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76" yWindow="65386" windowWidth="9405" windowHeight="11640" tabRatio="832" activeTab="0"/>
  </bookViews>
  <sheets>
    <sheet name="12-18 Sep' '08 (WK 37)" sheetId="1" r:id="rId1"/>
    <sheet name="04 Jan'-18 Sep'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Jan'-18 Sep' (Annual)'!$A$4:$J$208</definedName>
    <definedName name="_xlnm.Print_Area" localSheetId="0">'12-18 Sep' '08 (WK 37)'!$A$1:$O$128</definedName>
  </definedNames>
  <calcPr fullCalcOnLoad="1"/>
</workbook>
</file>

<file path=xl/sharedStrings.xml><?xml version="1.0" encoding="utf-8"?>
<sst xmlns="http://schemas.openxmlformats.org/spreadsheetml/2006/main" count="3141" uniqueCount="609">
  <si>
    <t>29-04</t>
  </si>
  <si>
    <t>September</t>
  </si>
  <si>
    <t>İKLİMLER</t>
  </si>
  <si>
    <t>CO PRODUCTIONS</t>
  </si>
  <si>
    <t>26</t>
  </si>
  <si>
    <t>GET SMART</t>
  </si>
  <si>
    <t>GARFIELD'S FUN FEST</t>
  </si>
  <si>
    <t>D PRODUCTION</t>
  </si>
  <si>
    <t>SPOT</t>
  </si>
  <si>
    <t>STAR WARS: CLONE WARS</t>
  </si>
  <si>
    <t>99 FRANK</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</si>
  <si>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</si>
  <si>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</si>
  <si>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</si>
  <si>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</si>
  <si>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</si>
  <si>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</si>
  <si>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</si>
  <si>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</si>
  <si>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</si>
  <si>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</si>
  <si>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</si>
  <si>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</si>
  <si>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</si>
  <si>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</si>
  <si>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</si>
  <si>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</si>
  <si>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</si>
  <si>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</si>
  <si>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</si>
  <si>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</si>
  <si>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SON OSMANLI YANDIM ALİ</t>
  </si>
  <si>
    <t>LIVES OF OTHERS</t>
  </si>
  <si>
    <t>BETA FILM</t>
  </si>
  <si>
    <t>VOLVER</t>
  </si>
  <si>
    <t>D.F.G.S.</t>
  </si>
  <si>
    <t>NEVER BACK DOWN</t>
  </si>
  <si>
    <t>A CRIME</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</si>
  <si>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</si>
  <si>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</si>
  <si>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</si>
  <si>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</si>
  <si>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</si>
  <si>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</si>
  <si>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</si>
  <si>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</si>
  <si>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</si>
  <si>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</si>
  <si>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</si>
  <si>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</si>
  <si>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</si>
  <si>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</si>
  <si>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</si>
  <si>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</si>
  <si>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</si>
  <si>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</si>
  <si>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</si>
  <si>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</si>
  <si>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61</t>
  </si>
  <si>
    <t>UNKNOWN, THE</t>
  </si>
  <si>
    <t>BOYUT FİLM</t>
  </si>
  <si>
    <t>SLEUTH</t>
  </si>
  <si>
    <t>ONE WAY</t>
  </si>
  <si>
    <t>SARAN GROUP</t>
  </si>
  <si>
    <t>REVOLVER</t>
  </si>
  <si>
    <t>ROMULUS MY FATHER</t>
  </si>
  <si>
    <t>FIDA FILM-FILMACASS</t>
  </si>
  <si>
    <t>HAIRSPRAY</t>
  </si>
  <si>
    <t>09-15</t>
  </si>
  <si>
    <t>20-26</t>
  </si>
  <si>
    <t>SPEED RACER</t>
  </si>
  <si>
    <t>UNTRACEABLE</t>
  </si>
  <si>
    <t>APARTMENT 1303</t>
  </si>
  <si>
    <t>MADE IN EUROPE</t>
  </si>
  <si>
    <t>ARA</t>
  </si>
  <si>
    <t>MY MOM'S NEW BOY FRIEND</t>
  </si>
  <si>
    <t>NATIVITY STORY, THE</t>
  </si>
  <si>
    <t>JEK FILM</t>
  </si>
  <si>
    <t>KIMMEL</t>
  </si>
  <si>
    <t xml:space="preserve">IRON MAN </t>
  </si>
  <si>
    <t>*Sorted according to Week Total G.B.O. - Haftalık toplam hasılat sütununa göre sıralanmıştır.</t>
  </si>
  <si>
    <t>MEDYAVIZYON</t>
  </si>
  <si>
    <t>TOTAL</t>
  </si>
  <si>
    <t>30-05</t>
  </si>
  <si>
    <t>June</t>
  </si>
  <si>
    <t>SEX AND THE CITY</t>
  </si>
  <si>
    <t>88 MINUTES</t>
  </si>
  <si>
    <t>FUNNY GAMES</t>
  </si>
  <si>
    <t>MÜNFERİT</t>
  </si>
  <si>
    <t>YENIDEN FILM</t>
  </si>
  <si>
    <t>SINGER, THE</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</si>
  <si>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</si>
  <si>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</si>
  <si>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</si>
  <si>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</si>
  <si>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</si>
  <si>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</si>
  <si>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</si>
  <si>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</si>
  <si>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</si>
  <si>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</si>
  <si>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</si>
  <si>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</si>
  <si>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</si>
  <si>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</si>
  <si>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</si>
  <si>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</si>
  <si>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</si>
  <si>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</si>
  <si>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</si>
  <si>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</si>
  <si>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PLANETE BLANCHE, LA</t>
  </si>
  <si>
    <t>85.203.53</t>
  </si>
  <si>
    <t>1.618.323.50</t>
  </si>
  <si>
    <t>JOURNEY TO THE CENTER OF THE EARTH</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</si>
  <si>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</si>
  <si>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</si>
  <si>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</si>
  <si>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</si>
  <si>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</si>
  <si>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</si>
  <si>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</si>
  <si>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</si>
  <si>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</si>
  <si>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</si>
  <si>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</si>
  <si>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</si>
  <si>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</si>
  <si>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</si>
  <si>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</si>
  <si>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ANIMALS IN LOVE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</si>
  <si>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</si>
  <si>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</si>
  <si>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</si>
  <si>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</si>
  <si>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</si>
  <si>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</si>
  <si>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</si>
  <si>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</si>
  <si>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</si>
  <si>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</si>
  <si>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</si>
  <si>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</si>
  <si>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</si>
  <si>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</si>
  <si>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</si>
  <si>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</si>
  <si>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</si>
  <si>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</si>
  <si>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</si>
  <si>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</si>
  <si>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</si>
  <si>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</si>
  <si>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</si>
  <si>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</si>
  <si>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</si>
  <si>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</si>
  <si>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HAZAN MEVSİMİ: BİR PANAYIR HİKAYESİ</t>
  </si>
  <si>
    <t xml:space="preserve">KINGDOM, THE </t>
  </si>
  <si>
    <t>MAMMA MIA</t>
  </si>
  <si>
    <t>DIARY OF THE DEAD</t>
  </si>
  <si>
    <t>LONELY HEARTS</t>
  </si>
  <si>
    <t>D YAPIM</t>
  </si>
  <si>
    <t>MARGOT AT THE WEDDING</t>
  </si>
  <si>
    <t>YERLI FILM</t>
  </si>
  <si>
    <t>CHANTIER FILMS</t>
  </si>
  <si>
    <t>O… ÇOCUKLARI</t>
  </si>
  <si>
    <t>FIDA FILM-   FILMACASS</t>
  </si>
  <si>
    <t>MAGFILM</t>
  </si>
  <si>
    <t>MASKELI BEŞLER: KIBRIS</t>
  </si>
  <si>
    <t>KARAKEDI</t>
  </si>
  <si>
    <t>DARK KNIGHT</t>
  </si>
  <si>
    <t>SMART PEOPLE</t>
  </si>
  <si>
    <t>BEN X</t>
  </si>
  <si>
    <t>ORPHANAGE</t>
  </si>
  <si>
    <t>BABAM VE OĞLUM</t>
  </si>
  <si>
    <t>ASTERIX AND THE VIKINGS</t>
  </si>
  <si>
    <t xml:space="preserve">IMAGINE FILM PRODUCTIONS </t>
  </si>
  <si>
    <t>TAPAS</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</si>
  <si>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</si>
  <si>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</si>
  <si>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</si>
  <si>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</si>
  <si>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</si>
  <si>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</si>
  <si>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</si>
  <si>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</si>
  <si>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</si>
  <si>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</si>
  <si>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</si>
  <si>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</si>
  <si>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</si>
  <si>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</si>
  <si>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FRONTIER(S)</t>
  </si>
  <si>
    <t>BETA</t>
  </si>
  <si>
    <t>PI FILM &amp; YALAN D.</t>
  </si>
  <si>
    <t>SECRET THINGS</t>
  </si>
  <si>
    <t>August</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</si>
  <si>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</si>
  <si>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</si>
  <si>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</si>
  <si>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</si>
  <si>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</si>
  <si>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</si>
  <si>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</si>
  <si>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</si>
  <si>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</si>
  <si>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</si>
  <si>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</si>
  <si>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</si>
  <si>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</si>
  <si>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</si>
  <si>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VANTAGE POINT</t>
  </si>
  <si>
    <t>OPEN SEASON</t>
  </si>
  <si>
    <t>TWO DAYS IN PARIS</t>
  </si>
  <si>
    <t>I COULD NEVER BE YOUR WOMAN</t>
  </si>
  <si>
    <t>CHARLIE WILSON'S WAR</t>
  </si>
  <si>
    <t>FIDA FILM</t>
  </si>
  <si>
    <t>FIDA    FILMACASS</t>
  </si>
  <si>
    <t>15-21</t>
  </si>
  <si>
    <t>CLOVERFIELD</t>
  </si>
  <si>
    <t>P.S I LOVE YOU</t>
  </si>
  <si>
    <t>Weekly Movie Magazine Antrakt Presents - Haftalık Antrakt Sinema Gazetesi Sunar</t>
  </si>
  <si>
    <t>35 MILIM</t>
  </si>
  <si>
    <t>ÇILGIN DERSANE KAMPTA</t>
  </si>
  <si>
    <t>A.S.K.D</t>
  </si>
  <si>
    <t>AVSAR FILM</t>
  </si>
  <si>
    <t>HANCOCK</t>
  </si>
  <si>
    <t>KUNG FU PANDA</t>
  </si>
  <si>
    <t>PATHOLOGY</t>
  </si>
  <si>
    <t>FORGETTING SARAH MARSHALL</t>
  </si>
  <si>
    <t>EUROPA CORP.</t>
  </si>
  <si>
    <t>SECOND WIND, THE</t>
  </si>
  <si>
    <t>MADE OF HONOUR</t>
  </si>
  <si>
    <t>NO COUNTRY FOR OLD MAN</t>
  </si>
  <si>
    <t>JUMPER</t>
  </si>
  <si>
    <t>LOVE IN THE TIME OF CHOLERA</t>
  </si>
  <si>
    <t>HAYATTAN KORKMA</t>
  </si>
  <si>
    <t>MÜLTECİ</t>
  </si>
  <si>
    <t>SICKO</t>
  </si>
  <si>
    <t>ORFANATO, EL</t>
  </si>
  <si>
    <t>CHIKO</t>
  </si>
  <si>
    <t>THE MATCH FACTORY</t>
  </si>
  <si>
    <t>SHINE A LIGHT</t>
  </si>
  <si>
    <t>ZONA, LA</t>
  </si>
  <si>
    <t>BIR TUGRA KAFTANCIOGLU FILMI</t>
  </si>
  <si>
    <t>BARAKA</t>
  </si>
  <si>
    <t>SUKIYAKI WESTERN DJANGO</t>
  </si>
  <si>
    <t>BREATH</t>
  </si>
  <si>
    <t>FIDA FILM-ARZU FILM</t>
  </si>
  <si>
    <t>ANKA KUŞU: BANA SIRRINI SÖYLE</t>
  </si>
  <si>
    <t>FIDA FILM- FILMACASS</t>
  </si>
  <si>
    <t>NANNY DIARIES</t>
  </si>
  <si>
    <t>CENNET</t>
  </si>
  <si>
    <t>TWICE UPON A TIME</t>
  </si>
  <si>
    <t>I AM LEGEND</t>
  </si>
  <si>
    <t>ULAK</t>
  </si>
  <si>
    <t>DONKEY XOTE</t>
  </si>
  <si>
    <t>INSIDE</t>
  </si>
  <si>
    <t>CALL ME ELISABETH</t>
  </si>
  <si>
    <t>PYRAMIDE</t>
  </si>
  <si>
    <t>HALLOWEEN</t>
  </si>
  <si>
    <t>YUMURTA</t>
  </si>
  <si>
    <t>KAPLAN</t>
  </si>
  <si>
    <t>20</t>
  </si>
  <si>
    <t>12</t>
  </si>
  <si>
    <t xml:space="preserve">AN OLD MISTRESS </t>
  </si>
  <si>
    <t>02-08</t>
  </si>
  <si>
    <t>FOOL'S GOLD</t>
  </si>
  <si>
    <t>WAZ</t>
  </si>
  <si>
    <t>GIRL CUT IN TWO, A</t>
  </si>
  <si>
    <t>BEREKETLİ TOPRAKLAR ÜZERİNDE</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</si>
  <si>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</si>
  <si>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</si>
  <si>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</si>
  <si>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</si>
  <si>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</si>
  <si>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</si>
  <si>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</si>
  <si>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</si>
  <si>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</si>
  <si>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</si>
  <si>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</si>
  <si>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</si>
  <si>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</si>
  <si>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</si>
  <si>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</si>
  <si>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</si>
  <si>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</si>
  <si>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CINECLICK</t>
  </si>
  <si>
    <t>NEW LINE</t>
  </si>
  <si>
    <t>MARSH, THE</t>
  </si>
  <si>
    <t>WELCOME BACK PINOCCHIO</t>
  </si>
  <si>
    <t>HORIZON</t>
  </si>
  <si>
    <t>SINEMA AJANS</t>
  </si>
  <si>
    <t>2 DAYS IN PARIS</t>
  </si>
  <si>
    <t>Production Company</t>
  </si>
  <si>
    <t>Türkiye Distributor</t>
  </si>
  <si>
    <t>WALT DISNEY</t>
  </si>
  <si>
    <t>LIONS FOR LAMBS</t>
  </si>
  <si>
    <t>GIDAM</t>
  </si>
  <si>
    <t>NATIONAL TREASURE: BOOK OF SECRET</t>
  </si>
  <si>
    <t>RENDITION</t>
  </si>
  <si>
    <t>UNICVISIONS</t>
  </si>
  <si>
    <t>SINETEL FILM</t>
  </si>
  <si>
    <t>FLIGHT OF THE RED BALLOON</t>
  </si>
  <si>
    <t>ALEXANDRA</t>
  </si>
  <si>
    <t>TEMELKURAN</t>
  </si>
  <si>
    <t>BUDDHA COLLAPSED OUT OF SHAME</t>
  </si>
  <si>
    <t>PAR /DW</t>
  </si>
  <si>
    <t>GOODBYE BAFANA</t>
  </si>
  <si>
    <t>DREAMACHINE</t>
  </si>
  <si>
    <t>WE OWN THE NIGHT</t>
  </si>
  <si>
    <t>ÇOCUK</t>
  </si>
  <si>
    <t>DIVING BELL AND THE BUTTERFLY, THE</t>
  </si>
  <si>
    <t xml:space="preserve">GOLDEN COMPASS, THE </t>
  </si>
  <si>
    <t>BİR İHTİMAL DAHA VAR</t>
  </si>
  <si>
    <t>CINEMEDYA - E.S.E.K.</t>
  </si>
  <si>
    <t>DIE HARD 4.0</t>
  </si>
  <si>
    <t>DEATH AT A FUNERAL</t>
  </si>
  <si>
    <t>THERE WILL BE BLOOD</t>
  </si>
  <si>
    <t>WEDDING DAZE</t>
  </si>
  <si>
    <t>16-22</t>
  </si>
  <si>
    <t>SMA</t>
  </si>
  <si>
    <t>LIST, THE</t>
  </si>
  <si>
    <t>BEFORE THE DEVIL KNOWS YOU'RE DEAD</t>
  </si>
  <si>
    <t>REDACTED</t>
  </si>
  <si>
    <t>14</t>
  </si>
  <si>
    <t xml:space="preserve">HORIZON </t>
  </si>
  <si>
    <t>ACROSS THE UNIVERSE</t>
  </si>
  <si>
    <t>MR MAGORIUM'S WONDER EMPORIUM</t>
  </si>
  <si>
    <t>JOHN RAMBO</t>
  </si>
  <si>
    <t>SINETEL</t>
  </si>
  <si>
    <t>GONE BABY GONE</t>
  </si>
  <si>
    <t>FIDA-FILMA-CASS</t>
  </si>
  <si>
    <t>OYUNCULAR</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</si>
  <si>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</si>
  <si>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</si>
  <si>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</si>
  <si>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</si>
  <si>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</si>
  <si>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</si>
  <si>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</si>
  <si>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</si>
  <si>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</si>
  <si>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</si>
  <si>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</si>
  <si>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</si>
  <si>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</si>
  <si>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</si>
  <si>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</si>
  <si>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</si>
  <si>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OTHER BOLEYN GIRL, THE</t>
  </si>
  <si>
    <t>İYİ SENELER LONDRA</t>
  </si>
  <si>
    <t>PATE</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</si>
  <si>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</si>
  <si>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</si>
  <si>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</si>
  <si>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</si>
  <si>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</si>
  <si>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</si>
  <si>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</si>
  <si>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</si>
  <si>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</si>
  <si>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</si>
  <si>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</si>
  <si>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</si>
  <si>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</si>
  <si>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</si>
  <si>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</si>
  <si>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</si>
  <si>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</si>
  <si>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</si>
  <si>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</si>
  <si>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</si>
  <si>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</si>
  <si>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</si>
  <si>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</si>
  <si>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</si>
  <si>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</si>
  <si>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</si>
  <si>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</si>
  <si>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</si>
  <si>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</si>
  <si>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</si>
  <si>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</si>
  <si>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</si>
  <si>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</si>
  <si>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</si>
  <si>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</si>
  <si>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</si>
  <si>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</si>
  <si>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</si>
  <si>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</si>
  <si>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</si>
  <si>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</si>
  <si>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</si>
  <si>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</si>
  <si>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</si>
  <si>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</si>
  <si>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</si>
  <si>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</si>
  <si>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</si>
  <si>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</si>
  <si>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SPIDERWICK CHRONICLES</t>
  </si>
  <si>
    <t>FLOCK, THE</t>
  </si>
  <si>
    <t>MİRAS</t>
  </si>
  <si>
    <t>RH POLITIK</t>
  </si>
  <si>
    <t>AN OLD MISTRESS</t>
  </si>
  <si>
    <t>14-20</t>
  </si>
  <si>
    <t>DEATHS OF IAN STONE</t>
  </si>
  <si>
    <t>IMPY'S ISLAND</t>
  </si>
  <si>
    <t>BESTLINE</t>
  </si>
  <si>
    <t>HARRY POTTER AND THE ORDER OF THE PHOENIX</t>
  </si>
  <si>
    <t>OZEN-UMUT</t>
  </si>
  <si>
    <t xml:space="preserve">NATIVITY STORY, THE </t>
  </si>
  <si>
    <t>25-31</t>
  </si>
  <si>
    <t>BLAME IT ON FIDEL</t>
  </si>
  <si>
    <t>SHREK THE THIRD</t>
  </si>
  <si>
    <t>4: RISE OF THE SILVER SURFER</t>
  </si>
  <si>
    <t>MIRRORS</t>
  </si>
  <si>
    <t>THREE KINGDOMS</t>
  </si>
  <si>
    <t>EASTERN LIGHT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</si>
  <si>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</si>
  <si>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</si>
  <si>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</si>
  <si>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</si>
  <si>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</si>
  <si>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</si>
  <si>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</si>
  <si>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</si>
  <si>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</si>
  <si>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</si>
  <si>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</si>
  <si>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MAG FILM</t>
  </si>
  <si>
    <t>3</t>
  </si>
  <si>
    <t>4</t>
  </si>
  <si>
    <t>OUTLAW</t>
  </si>
  <si>
    <t>RATATOUILLE</t>
  </si>
  <si>
    <t>27-03</t>
  </si>
  <si>
    <t>July</t>
  </si>
  <si>
    <t>WANTED</t>
  </si>
  <si>
    <t>ROGUE</t>
  </si>
  <si>
    <t>IT HAD TO BE YOU</t>
  </si>
  <si>
    <t>BABAM VE OGLUM</t>
  </si>
  <si>
    <t>KADER</t>
  </si>
  <si>
    <t>MAVI FILM</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</si>
  <si>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</si>
  <si>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</si>
  <si>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</si>
  <si>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</si>
  <si>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</si>
  <si>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</si>
  <si>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</si>
  <si>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</si>
  <si>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</si>
  <si>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</si>
  <si>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</si>
  <si>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</si>
  <si>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</si>
  <si>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</si>
  <si>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</si>
  <si>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</si>
  <si>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</si>
  <si>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</si>
  <si>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</si>
  <si>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</si>
  <si>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</si>
  <si>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</si>
  <si>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</si>
  <si>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</si>
  <si>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</si>
  <si>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</si>
  <si>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</si>
  <si>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</si>
  <si>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</si>
  <si>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</si>
  <si>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59</t>
  </si>
  <si>
    <t>FIDA FILM-ARZU</t>
  </si>
  <si>
    <t>RED KIT</t>
  </si>
  <si>
    <t>WINX CLUB: THE SECRET OF THE LOST KINGDOM</t>
  </si>
  <si>
    <t>HOTTIE&amp;NOTTIE, THE</t>
  </si>
  <si>
    <t>58</t>
  </si>
  <si>
    <t>GYD</t>
  </si>
  <si>
    <t>IRMAK FILM</t>
  </si>
  <si>
    <t>TROPA DE ELITE</t>
  </si>
  <si>
    <t>EVENING</t>
  </si>
  <si>
    <t>PARANOID PARK</t>
  </si>
  <si>
    <t>17</t>
  </si>
  <si>
    <t>RUSH HOUR 3</t>
  </si>
  <si>
    <t>NO MAN'S LAND</t>
  </si>
  <si>
    <t>CATCHER: CAT CITY 2</t>
  </si>
  <si>
    <t>CA$H</t>
  </si>
  <si>
    <t>VIRTUALLY A VIRGIN</t>
  </si>
  <si>
    <t>CLOSING THE RING</t>
  </si>
  <si>
    <t>CONTENT</t>
  </si>
  <si>
    <t>OZEN FILM-AKSOY FILM</t>
  </si>
  <si>
    <t>BONNEVILLE</t>
  </si>
  <si>
    <t>EVE DÖNÜŞ</t>
  </si>
  <si>
    <t>SON OSMANLI ''YANDIM ALİ'</t>
  </si>
  <si>
    <t>EVE GİDEN YOL 1914</t>
  </si>
  <si>
    <t>EPITAPH (aka GIDAM)</t>
  </si>
  <si>
    <t>AUF DER UNDEREN SEITE</t>
  </si>
  <si>
    <t>PERİ TOZU</t>
  </si>
  <si>
    <t>KİMMEL</t>
  </si>
  <si>
    <t>COLD PREY</t>
  </si>
  <si>
    <t>CHARLIE BARTLETT</t>
  </si>
  <si>
    <t>2929 ENT.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</si>
  <si>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</si>
  <si>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</si>
  <si>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</si>
  <si>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</si>
  <si>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</si>
  <si>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</si>
  <si>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</si>
  <si>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</si>
  <si>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</si>
  <si>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</si>
  <si>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</si>
  <si>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</si>
  <si>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CHRONICLES OF NARNIA: PRINCE CASPIAN, THE</t>
  </si>
  <si>
    <t>MEET DAVE</t>
  </si>
  <si>
    <t>21</t>
  </si>
  <si>
    <t>UNDER THE BOMBS</t>
  </si>
  <si>
    <t>MEMENTO FILMS</t>
  </si>
  <si>
    <t>IRREVERSIBLE</t>
  </si>
  <si>
    <t>EXCEPTION</t>
  </si>
  <si>
    <t>BUENA VISTA,</t>
  </si>
  <si>
    <t>PLATO FİLM</t>
  </si>
  <si>
    <t>BARBAR FİLM</t>
  </si>
  <si>
    <t>FAUTE A FIDEL, LA (BLAME IT ON FIDEL)</t>
  </si>
  <si>
    <t>ZERO FILM,</t>
  </si>
  <si>
    <t>STRANGERS</t>
  </si>
  <si>
    <t>POSTA FILM</t>
  </si>
  <si>
    <t>SHUTTER</t>
  </si>
  <si>
    <t>DARK FLOORS</t>
  </si>
  <si>
    <t>SLEEPWALKING</t>
  </si>
  <si>
    <t>ICON</t>
  </si>
  <si>
    <t>ZOHAN</t>
  </si>
  <si>
    <t>APOCALYPSE NOW: REDUX</t>
  </si>
  <si>
    <t>INDIANA JONES AND THE KINGDOM OF CRYSTAL SKULL</t>
  </si>
  <si>
    <t>SIFIR DEDİĞİMDE</t>
  </si>
  <si>
    <t>SEKANS</t>
  </si>
  <si>
    <t>22</t>
  </si>
  <si>
    <t>FIDA  FILM - FILMACASS</t>
  </si>
  <si>
    <t>G.B.O. YTL</t>
  </si>
  <si>
    <t>MARS</t>
  </si>
  <si>
    <t>EVERYONE'S HERO</t>
  </si>
  <si>
    <t>8</t>
  </si>
  <si>
    <t>57</t>
  </si>
  <si>
    <t>D PRODUCTIONS</t>
  </si>
  <si>
    <t>FILMPOP</t>
  </si>
  <si>
    <t>25-01</t>
  </si>
  <si>
    <t>May</t>
  </si>
  <si>
    <t>ONE MISSED CALL</t>
  </si>
  <si>
    <t>MEVLANA CELALEDDİN-İ RUMİ: AŞKIN DANSI</t>
  </si>
  <si>
    <t>RESERVATION ROAD</t>
  </si>
  <si>
    <t>FOCUS</t>
  </si>
  <si>
    <t>BE KIND REWIND</t>
  </si>
  <si>
    <t>SEMI PRO</t>
  </si>
  <si>
    <t>AGE OF IGNORANCE, THE</t>
  </si>
  <si>
    <t>UMUT-OZEN</t>
  </si>
  <si>
    <t>ERMAN FILM</t>
  </si>
  <si>
    <t>CORAZON-ANKA FILM</t>
  </si>
  <si>
    <t>TMC-AVSAR FILM</t>
  </si>
  <si>
    <t>QUEEN, THE</t>
  </si>
  <si>
    <t>18</t>
  </si>
  <si>
    <t>SOUTHLAND TALES</t>
  </si>
  <si>
    <t>05-11</t>
  </si>
  <si>
    <t>FLY ME TO THE MOON</t>
  </si>
  <si>
    <t>R FILM</t>
  </si>
  <si>
    <t>ANAMORPH</t>
  </si>
  <si>
    <t>MUMMY :  TOMB OF THE DRAGON EMPEROR, THE</t>
  </si>
  <si>
    <t>BROKEN ENGLISH</t>
  </si>
  <si>
    <t>BARBAR FILM</t>
  </si>
  <si>
    <t>DANTE 01</t>
  </si>
  <si>
    <t>KING OF THE HILL (EL REY DE LA MONTANA)</t>
  </si>
  <si>
    <t>YOUTH WITHOUT YOUTH</t>
  </si>
  <si>
    <t>AKSOY FILM</t>
  </si>
  <si>
    <t>27</t>
  </si>
  <si>
    <t>CO PRODUCTION</t>
  </si>
  <si>
    <t>UNE VIEILLE MAITRESSE (aka AN OLD MISTRESS)</t>
  </si>
  <si>
    <t>STEP UP: THE STREETS</t>
  </si>
  <si>
    <t>EPITAPH</t>
  </si>
  <si>
    <t>THREE ROBBERS</t>
  </si>
  <si>
    <t>ARCLIGHT FILM</t>
  </si>
  <si>
    <t>12-18</t>
  </si>
  <si>
    <r>
      <t xml:space="preserve">2008 Türkiye Annual Box Office Report  </t>
    </r>
    <r>
      <rPr>
        <sz val="16"/>
        <color indexed="9"/>
        <rFont val="Impact"/>
        <family val="0"/>
      </rPr>
      <t>04 January 2008-18 September 2008</t>
    </r>
  </si>
  <si>
    <r>
      <t>2008 Türkiye Ex Years Releases Annual Box Office Report</t>
    </r>
    <r>
      <rPr>
        <b/>
        <sz val="26"/>
        <color indexed="9"/>
        <rFont val="Impact"/>
        <family val="2"/>
      </rPr>
      <t xml:space="preserve">  </t>
    </r>
    <r>
      <rPr>
        <b/>
        <sz val="16"/>
        <color indexed="9"/>
        <rFont val="Impact"/>
        <family val="2"/>
      </rPr>
      <t>04 January 2008-18 September 2008</t>
    </r>
  </si>
  <si>
    <t>X-FILES: I WANT TO BELIEVE, THE</t>
  </si>
  <si>
    <t>WOMEN, THE</t>
  </si>
  <si>
    <t>LIVING FOREST</t>
  </si>
  <si>
    <t>HORIZON INT</t>
  </si>
  <si>
    <t>STUCK</t>
  </si>
  <si>
    <t>ENSEMBLE CEST TOUT</t>
  </si>
  <si>
    <t>TATİL KİTABI</t>
  </si>
  <si>
    <t>BULUT FILM</t>
  </si>
  <si>
    <t>39</t>
  </si>
  <si>
    <t>ASTERIX &amp; OBELIX TAKE ON CAESAR</t>
  </si>
  <si>
    <t>MASKELİ BEŞLER: KIBRIS</t>
  </si>
  <si>
    <t>ARZU FILM-FIDA FILM</t>
  </si>
  <si>
    <t>28</t>
  </si>
  <si>
    <t>DIJITAL SANATLAR&amp;UMIT UNAL</t>
  </si>
  <si>
    <t xml:space="preserve">RENKLER SANAT </t>
  </si>
  <si>
    <t>24</t>
  </si>
  <si>
    <t>TAŞ YASTIK</t>
  </si>
  <si>
    <t>SWING VOTE</t>
  </si>
  <si>
    <t>THE MUMMY: TOMB OF THE DRAGON EMPEROR</t>
  </si>
  <si>
    <t>48</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</si>
</sst>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0"/>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sz val="26"/>
      <color indexed="9"/>
      <name val="Impact"/>
      <family val="0"/>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medium"/>
      <bottom style="hair"/>
    </border>
    <border>
      <left style="medium"/>
      <right style="hair"/>
      <top style="hair"/>
      <bottom style="medium"/>
    </border>
    <border>
      <left style="hair"/>
      <right style="hair"/>
      <top style="hair"/>
      <bottom style="medium"/>
    </border>
    <border>
      <left style="hair"/>
      <right style="medium"/>
      <top style="medium"/>
      <bottom style="hair"/>
    </border>
    <border>
      <left style="medium"/>
      <right style="hair"/>
      <top>
        <color indexed="63"/>
      </top>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style="medium"/>
      <right>
        <color indexed="63"/>
      </right>
      <top style="hair"/>
      <bottom style="thin"/>
    </border>
    <border>
      <left style="hair"/>
      <right style="medium"/>
      <top style="hair"/>
      <bottom style="medium"/>
    </border>
    <border>
      <left style="medium"/>
      <right>
        <color indexed="63"/>
      </right>
      <top style="hair"/>
      <bottom style="hair"/>
    </border>
    <border>
      <left>
        <color indexed="63"/>
      </left>
      <right style="hair"/>
      <top>
        <color indexed="63"/>
      </top>
      <bottom style="hair"/>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style="thin"/>
    </border>
    <border>
      <left style="medium"/>
      <right style="thin"/>
      <top style="medium"/>
      <bottom style="thin"/>
    </border>
    <border>
      <left style="medium"/>
      <right style="thin"/>
      <top style="thin"/>
      <bottom>
        <color indexed="63"/>
      </botto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 applyNumberFormat="0" applyFill="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1" fillId="20" borderId="5" applyNumberFormat="0" applyAlignment="0" applyProtection="0"/>
    <xf numFmtId="0" fontId="82" fillId="21" borderId="6" applyNumberFormat="0" applyAlignment="0" applyProtection="0"/>
    <xf numFmtId="0" fontId="83" fillId="20" borderId="6" applyNumberFormat="0" applyAlignment="0" applyProtection="0"/>
    <xf numFmtId="0" fontId="84" fillId="22" borderId="7" applyNumberFormat="0" applyAlignment="0" applyProtection="0"/>
    <xf numFmtId="0" fontId="85"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9" applyNumberFormat="0" applyFill="0" applyAlignment="0" applyProtection="0"/>
    <xf numFmtId="0" fontId="89" fillId="0" borderId="0" applyNumberFormat="0" applyFill="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9" fontId="0" fillId="0" borderId="0" applyFont="0" applyFill="0" applyBorder="0" applyAlignment="0" applyProtection="0"/>
  </cellStyleXfs>
  <cellXfs count="536">
    <xf numFmtId="0" fontId="0" fillId="0" borderId="0" xfId="0" applyAlignment="1">
      <alignment/>
    </xf>
    <xf numFmtId="171"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0"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2" fillId="0" borderId="10" xfId="0" applyNumberFormat="1" applyFont="1" applyFill="1" applyBorder="1" applyAlignment="1" applyProtection="1">
      <alignment horizontal="center" vertical="center" wrapText="1"/>
      <protection/>
    </xf>
    <xf numFmtId="193" fontId="23" fillId="0" borderId="11" xfId="0" applyNumberFormat="1" applyFont="1" applyFill="1" applyBorder="1" applyAlignment="1" applyProtection="1">
      <alignment horizontal="center" vertical="center" wrapText="1"/>
      <protection/>
    </xf>
    <xf numFmtId="0" fontId="15" fillId="0" borderId="0" xfId="0" applyFont="1" applyBorder="1" applyAlignment="1">
      <alignment vertical="center"/>
    </xf>
    <xf numFmtId="0" fontId="23"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0" fillId="0" borderId="0" xfId="0" applyFont="1" applyBorder="1" applyAlignment="1">
      <alignment horizontal="right" vertical="center"/>
    </xf>
    <xf numFmtId="0" fontId="20" fillId="0" borderId="10" xfId="0" applyFont="1" applyFill="1" applyBorder="1" applyAlignment="1">
      <alignment horizontal="center" vertical="center"/>
    </xf>
    <xf numFmtId="184" fontId="14" fillId="33" borderId="12" xfId="0" applyNumberFormat="1"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192" fontId="14" fillId="33" borderId="13" xfId="0" applyNumberFormat="1" applyFont="1" applyFill="1" applyBorder="1" applyAlignment="1">
      <alignment horizontal="right" vertical="center"/>
    </xf>
    <xf numFmtId="0" fontId="29"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28"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1" fillId="0" borderId="16" xfId="0" applyFont="1" applyFill="1" applyBorder="1" applyAlignment="1">
      <alignment horizontal="center" vertical="center"/>
    </xf>
    <xf numFmtId="0" fontId="13" fillId="33" borderId="12" xfId="0" applyFont="1" applyFill="1" applyBorder="1" applyAlignment="1">
      <alignment horizontal="center" vertical="center"/>
    </xf>
    <xf numFmtId="3" fontId="13"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3" fillId="0" borderId="11" xfId="0" applyNumberFormat="1" applyFont="1" applyFill="1" applyBorder="1" applyAlignment="1" applyProtection="1">
      <alignment horizontal="center" wrapText="1"/>
      <protection/>
    </xf>
    <xf numFmtId="192" fontId="23"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3"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3"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5" fillId="0" borderId="0" xfId="0" applyNumberFormat="1" applyFont="1" applyFill="1" applyBorder="1" applyAlignment="1">
      <alignment vertical="center"/>
    </xf>
    <xf numFmtId="3" fontId="15"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4"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0" fillId="0" borderId="20" xfId="0" applyFont="1" applyBorder="1" applyAlignment="1" applyProtection="1">
      <alignment vertical="center"/>
      <protection locked="0"/>
    </xf>
    <xf numFmtId="0" fontId="30" fillId="0" borderId="21" xfId="0" applyFont="1" applyBorder="1" applyAlignment="1" applyProtection="1">
      <alignment vertical="center"/>
      <protection locked="0"/>
    </xf>
    <xf numFmtId="200" fontId="30" fillId="0" borderId="14" xfId="40" applyNumberFormat="1" applyFont="1" applyFill="1" applyBorder="1" applyAlignment="1" applyProtection="1">
      <alignment horizontal="right" vertical="center"/>
      <protection locked="0"/>
    </xf>
    <xf numFmtId="200" fontId="30"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3" fillId="0" borderId="11"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0" fillId="0" borderId="14" xfId="40" applyNumberFormat="1" applyFont="1" applyFill="1" applyBorder="1" applyAlignment="1" applyProtection="1">
      <alignment horizontal="right" vertical="center"/>
      <protection locked="0"/>
    </xf>
    <xf numFmtId="200" fontId="30" fillId="0" borderId="14" xfId="40" applyNumberFormat="1" applyFont="1" applyFill="1" applyBorder="1" applyAlignment="1" applyProtection="1">
      <alignment horizontal="right" vertical="center"/>
      <protection/>
    </xf>
    <xf numFmtId="193" fontId="30" fillId="0" borderId="14" xfId="0" applyNumberFormat="1" applyFont="1" applyFill="1" applyBorder="1" applyAlignment="1">
      <alignment horizontal="right" vertical="center"/>
    </xf>
    <xf numFmtId="200" fontId="30" fillId="0" borderId="14" xfId="0" applyNumberFormat="1" applyFont="1" applyFill="1" applyBorder="1" applyAlignment="1" applyProtection="1">
      <alignment horizontal="right" vertical="center"/>
      <protection/>
    </xf>
    <xf numFmtId="193" fontId="30" fillId="0" borderId="14" xfId="0" applyNumberFormat="1" applyFont="1" applyFill="1" applyBorder="1" applyAlignment="1" applyProtection="1">
      <alignment horizontal="right" vertical="center"/>
      <protection/>
    </xf>
    <xf numFmtId="200" fontId="17" fillId="0" borderId="0" xfId="0" applyNumberFormat="1" applyFont="1" applyFill="1" applyBorder="1" applyAlignment="1" applyProtection="1">
      <alignment horizontal="right" vertical="center"/>
      <protection/>
    </xf>
    <xf numFmtId="200" fontId="13" fillId="33" borderId="12" xfId="0" applyNumberFormat="1" applyFont="1" applyFill="1" applyBorder="1" applyAlignment="1">
      <alignment horizontal="right" vertical="center"/>
    </xf>
    <xf numFmtId="200" fontId="18" fillId="0" borderId="0" xfId="0"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4" fillId="0" borderId="16" xfId="0" applyNumberFormat="1" applyFont="1" applyFill="1" applyBorder="1" applyAlignment="1" applyProtection="1">
      <alignment horizontal="center" vertical="center" wrapText="1"/>
      <protection/>
    </xf>
    <xf numFmtId="193" fontId="30" fillId="0" borderId="14" xfId="40" applyNumberFormat="1" applyFont="1" applyFill="1" applyBorder="1" applyAlignment="1" applyProtection="1">
      <alignment horizontal="right" vertical="center"/>
      <protection/>
    </xf>
    <xf numFmtId="200" fontId="30" fillId="0" borderId="14" xfId="51" applyNumberFormat="1" applyFont="1" applyFill="1" applyBorder="1" applyAlignment="1">
      <alignment horizontal="right" vertical="center"/>
      <protection/>
    </xf>
    <xf numFmtId="0" fontId="12" fillId="0" borderId="23"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1" fillId="33" borderId="0" xfId="0" applyFont="1" applyFill="1" applyBorder="1" applyAlignment="1">
      <alignment horizontal="right" vertical="center"/>
    </xf>
    <xf numFmtId="0" fontId="32" fillId="33" borderId="0" xfId="0" applyFont="1" applyFill="1" applyBorder="1" applyAlignment="1">
      <alignment vertical="center"/>
    </xf>
    <xf numFmtId="0" fontId="32" fillId="33" borderId="0" xfId="0" applyFont="1" applyFill="1" applyBorder="1" applyAlignment="1">
      <alignment horizontal="center" vertical="center"/>
    </xf>
    <xf numFmtId="200" fontId="32" fillId="33" borderId="0" xfId="0" applyNumberFormat="1" applyFont="1" applyFill="1" applyAlignment="1">
      <alignment/>
    </xf>
    <xf numFmtId="193" fontId="32" fillId="33" borderId="0" xfId="0" applyNumberFormat="1" applyFont="1" applyFill="1" applyAlignment="1">
      <alignment/>
    </xf>
    <xf numFmtId="200" fontId="13" fillId="33" borderId="12" xfId="0" applyNumberFormat="1" applyFont="1" applyFill="1" applyBorder="1" applyAlignment="1">
      <alignment vertical="center"/>
    </xf>
    <xf numFmtId="193" fontId="13" fillId="33" borderId="12" xfId="0" applyNumberFormat="1" applyFont="1" applyFill="1" applyBorder="1" applyAlignment="1">
      <alignment vertical="center"/>
    </xf>
    <xf numFmtId="0" fontId="12" fillId="0" borderId="24" xfId="0" applyFont="1" applyFill="1" applyBorder="1" applyAlignment="1">
      <alignment horizontal="left" vertical="center"/>
    </xf>
    <xf numFmtId="0" fontId="12" fillId="0" borderId="25"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0"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5"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protection locked="0"/>
    </xf>
    <xf numFmtId="193" fontId="23" fillId="0" borderId="11" xfId="0" applyNumberFormat="1" applyFont="1" applyFill="1" applyBorder="1" applyAlignment="1" applyProtection="1">
      <alignment horizontal="center" wrapText="1"/>
      <protection/>
    </xf>
    <xf numFmtId="1" fontId="20" fillId="0" borderId="10" xfId="0" applyNumberFormat="1" applyFont="1" applyFill="1" applyBorder="1" applyAlignment="1" applyProtection="1">
      <alignment horizontal="center" vertical="center" wrapText="1"/>
      <protection/>
    </xf>
    <xf numFmtId="1" fontId="21" fillId="0" borderId="16" xfId="0" applyNumberFormat="1" applyFont="1" applyFill="1" applyBorder="1" applyAlignment="1" applyProtection="1">
      <alignment horizontal="center" vertical="center" wrapText="1"/>
      <protection/>
    </xf>
    <xf numFmtId="200" fontId="32" fillId="33" borderId="0" xfId="0" applyNumberFormat="1" applyFont="1" applyFill="1" applyBorder="1" applyAlignment="1">
      <alignment horizontal="center" vertical="center"/>
    </xf>
    <xf numFmtId="193" fontId="32" fillId="33" borderId="0" xfId="0" applyNumberFormat="1" applyFont="1" applyFill="1" applyBorder="1" applyAlignment="1">
      <alignment horizontal="center" vertical="center"/>
    </xf>
    <xf numFmtId="0" fontId="32"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6" fillId="0" borderId="0" xfId="0" applyFont="1" applyFill="1" applyBorder="1" applyAlignment="1" applyProtection="1">
      <alignment horizontal="center" vertical="center" wrapText="1"/>
      <protection locked="0"/>
    </xf>
    <xf numFmtId="0" fontId="20"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3"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184" fontId="12" fillId="0" borderId="12" xfId="0" applyNumberFormat="1" applyFont="1" applyFill="1" applyBorder="1" applyAlignment="1">
      <alignment horizontal="center" vertical="center"/>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0" fillId="0" borderId="14" xfId="40" applyNumberFormat="1" applyFont="1" applyFill="1" applyBorder="1" applyAlignment="1" applyProtection="1">
      <alignment vertical="center"/>
      <protection/>
    </xf>
    <xf numFmtId="193" fontId="30"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0" fillId="0" borderId="14" xfId="40" applyNumberFormat="1" applyFont="1" applyFill="1" applyBorder="1" applyAlignment="1" applyProtection="1">
      <alignment vertical="center"/>
      <protection locked="0"/>
    </xf>
    <xf numFmtId="193" fontId="30"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0" fillId="0" borderId="14" xfId="51" applyNumberFormat="1" applyFont="1" applyFill="1" applyBorder="1" applyAlignment="1">
      <alignment vertical="center"/>
      <protection/>
    </xf>
    <xf numFmtId="193" fontId="30"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0" fillId="0" borderId="14" xfId="0" applyNumberFormat="1" applyFont="1" applyFill="1" applyBorder="1" applyAlignment="1" applyProtection="1">
      <alignment vertical="center"/>
      <protection/>
    </xf>
    <xf numFmtId="193" fontId="30"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200" fontId="30" fillId="0" borderId="25" xfId="0" applyNumberFormat="1" applyFont="1" applyFill="1" applyBorder="1" applyAlignment="1">
      <alignment vertical="center"/>
    </xf>
    <xf numFmtId="193" fontId="30" fillId="0" borderId="25" xfId="0" applyNumberFormat="1" applyFont="1" applyFill="1" applyBorder="1" applyAlignment="1">
      <alignment vertical="center"/>
    </xf>
    <xf numFmtId="0" fontId="12" fillId="0" borderId="27"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0" fontId="20" fillId="0" borderId="0" xfId="0" applyFont="1" applyFill="1" applyBorder="1" applyAlignment="1">
      <alignment horizontal="right" vertical="center"/>
    </xf>
    <xf numFmtId="3" fontId="2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14" fillId="0" borderId="28" xfId="0" applyFont="1" applyFill="1" applyBorder="1" applyAlignment="1" applyProtection="1">
      <alignment vertical="center"/>
      <protection locked="0"/>
    </xf>
    <xf numFmtId="184" fontId="12" fillId="0" borderId="12" xfId="0" applyNumberFormat="1" applyFont="1" applyFill="1" applyBorder="1" applyAlignment="1" applyProtection="1">
      <alignment horizontal="center" vertical="center"/>
      <protection locked="0"/>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4"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3" fillId="0" borderId="0" xfId="0" applyNumberFormat="1" applyFont="1" applyFill="1" applyBorder="1" applyAlignment="1" applyProtection="1">
      <alignment horizontal="right" vertical="center"/>
      <protection/>
    </xf>
    <xf numFmtId="193" fontId="13"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2"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5"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2" fillId="33" borderId="0" xfId="0" applyNumberFormat="1" applyFont="1" applyFill="1" applyAlignment="1">
      <alignment/>
    </xf>
    <xf numFmtId="193" fontId="32" fillId="33" borderId="0" xfId="0" applyNumberFormat="1" applyFont="1" applyFill="1" applyAlignment="1">
      <alignment/>
    </xf>
    <xf numFmtId="192" fontId="32"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0" fillId="0" borderId="14" xfId="0" applyNumberFormat="1" applyFont="1" applyFill="1" applyBorder="1" applyAlignment="1" applyProtection="1">
      <alignment vertical="center"/>
      <protection locked="0"/>
    </xf>
    <xf numFmtId="193" fontId="30"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3" fillId="0" borderId="11" xfId="0" applyNumberFormat="1" applyFont="1" applyFill="1" applyBorder="1" applyAlignment="1" applyProtection="1">
      <alignment horizontal="center" wrapText="1"/>
      <protection/>
    </xf>
    <xf numFmtId="4" fontId="38" fillId="0" borderId="0" xfId="0" applyNumberFormat="1" applyFont="1" applyFill="1" applyBorder="1" applyAlignment="1">
      <alignment vertical="center"/>
    </xf>
    <xf numFmtId="4" fontId="35" fillId="0" borderId="0" xfId="0" applyNumberFormat="1" applyFont="1" applyFill="1" applyBorder="1" applyAlignment="1">
      <alignment horizontal="center" vertical="center"/>
    </xf>
    <xf numFmtId="4" fontId="28" fillId="0" borderId="0" xfId="0" applyNumberFormat="1" applyFont="1" applyFill="1" applyBorder="1" applyAlignment="1">
      <alignment vertical="center"/>
    </xf>
    <xf numFmtId="0" fontId="28" fillId="0" borderId="0" xfId="0" applyFont="1" applyFill="1" applyBorder="1" applyAlignment="1">
      <alignment/>
    </xf>
    <xf numFmtId="0" fontId="30" fillId="34" borderId="29" xfId="0" applyFont="1" applyFill="1" applyBorder="1" applyAlignment="1">
      <alignment horizontal="right"/>
    </xf>
    <xf numFmtId="49" fontId="30" fillId="34" borderId="30" xfId="0" applyNumberFormat="1" applyFont="1" applyFill="1" applyBorder="1" applyAlignment="1">
      <alignment horizontal="right"/>
    </xf>
    <xf numFmtId="4" fontId="30" fillId="35" borderId="30" xfId="0" applyNumberFormat="1" applyFont="1" applyFill="1" applyBorder="1" applyAlignment="1">
      <alignment horizontal="right"/>
    </xf>
    <xf numFmtId="4" fontId="30" fillId="34" borderId="30" xfId="0" applyNumberFormat="1" applyFont="1" applyFill="1" applyBorder="1" applyAlignment="1">
      <alignment horizontal="right"/>
    </xf>
    <xf numFmtId="3" fontId="30" fillId="34" borderId="30" xfId="0" applyNumberFormat="1" applyFont="1" applyFill="1" applyBorder="1" applyAlignment="1">
      <alignment horizontal="right"/>
    </xf>
    <xf numFmtId="3" fontId="30" fillId="35" borderId="30" xfId="0" applyNumberFormat="1" applyFont="1" applyFill="1" applyBorder="1" applyAlignment="1">
      <alignment horizontal="right"/>
    </xf>
    <xf numFmtId="0" fontId="30" fillId="0" borderId="0" xfId="0" applyFont="1" applyFill="1" applyAlignment="1">
      <alignment/>
    </xf>
    <xf numFmtId="0" fontId="30" fillId="34" borderId="0" xfId="0" applyFont="1" applyFill="1" applyBorder="1" applyAlignment="1">
      <alignment horizontal="right"/>
    </xf>
    <xf numFmtId="49" fontId="30" fillId="34" borderId="0" xfId="0" applyNumberFormat="1" applyFont="1" applyFill="1" applyBorder="1" applyAlignment="1">
      <alignment horizontal="right"/>
    </xf>
    <xf numFmtId="3" fontId="30" fillId="35" borderId="0" xfId="0" applyNumberFormat="1" applyFont="1" applyFill="1" applyBorder="1" applyAlignment="1">
      <alignment horizontal="right"/>
    </xf>
    <xf numFmtId="4" fontId="30" fillId="35" borderId="0" xfId="0" applyNumberFormat="1" applyFont="1" applyFill="1" applyBorder="1" applyAlignment="1">
      <alignment horizontal="right"/>
    </xf>
    <xf numFmtId="4" fontId="30" fillId="34" borderId="0" xfId="0" applyNumberFormat="1" applyFont="1" applyFill="1" applyBorder="1" applyAlignment="1">
      <alignment horizontal="right"/>
    </xf>
    <xf numFmtId="3" fontId="30" fillId="34" borderId="0" xfId="0" applyNumberFormat="1" applyFont="1" applyFill="1" applyBorder="1" applyAlignment="1">
      <alignment horizontal="right"/>
    </xf>
    <xf numFmtId="0" fontId="30" fillId="35" borderId="0" xfId="0" applyFont="1" applyFill="1" applyBorder="1" applyAlignment="1">
      <alignment horizontal="right"/>
    </xf>
    <xf numFmtId="0" fontId="30" fillId="34" borderId="0" xfId="0" applyFont="1" applyFill="1" applyAlignment="1">
      <alignment horizontal="right"/>
    </xf>
    <xf numFmtId="49" fontId="30" fillId="34" borderId="0" xfId="0" applyNumberFormat="1" applyFont="1" applyFill="1" applyAlignment="1">
      <alignment horizontal="right"/>
    </xf>
    <xf numFmtId="0" fontId="30" fillId="34" borderId="0" xfId="0" applyFont="1" applyFill="1" applyAlignment="1">
      <alignment/>
    </xf>
    <xf numFmtId="3" fontId="30" fillId="35" borderId="0" xfId="0" applyNumberFormat="1" applyFont="1" applyFill="1" applyAlignment="1">
      <alignment horizontal="right"/>
    </xf>
    <xf numFmtId="4" fontId="30" fillId="35" borderId="0" xfId="0" applyNumberFormat="1" applyFont="1" applyFill="1" applyAlignment="1">
      <alignment horizontal="right"/>
    </xf>
    <xf numFmtId="4" fontId="30" fillId="34" borderId="0" xfId="0" applyNumberFormat="1" applyFont="1" applyFill="1" applyAlignment="1">
      <alignment horizontal="right"/>
    </xf>
    <xf numFmtId="3" fontId="30" fillId="34" borderId="0" xfId="0" applyNumberFormat="1" applyFont="1" applyFill="1" applyAlignment="1">
      <alignment horizontal="right"/>
    </xf>
    <xf numFmtId="10" fontId="30" fillId="34" borderId="0" xfId="0" applyNumberFormat="1" applyFont="1" applyFill="1" applyAlignment="1">
      <alignment horizontal="right"/>
    </xf>
    <xf numFmtId="0" fontId="30" fillId="35" borderId="0" xfId="0" applyFont="1" applyFill="1" applyAlignment="1">
      <alignment horizontal="right"/>
    </xf>
    <xf numFmtId="10" fontId="30" fillId="35" borderId="0" xfId="0" applyNumberFormat="1" applyFont="1" applyFill="1" applyAlignment="1">
      <alignment horizontal="right"/>
    </xf>
    <xf numFmtId="0" fontId="46" fillId="0" borderId="0" xfId="0" applyFont="1" applyFill="1" applyAlignment="1">
      <alignment/>
    </xf>
    <xf numFmtId="2" fontId="30" fillId="34" borderId="0" xfId="0" applyNumberFormat="1" applyFont="1" applyFill="1" applyBorder="1" applyAlignment="1">
      <alignment horizontal="right"/>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30" fillId="34" borderId="30" xfId="0" applyFont="1" applyFill="1" applyBorder="1" applyAlignment="1">
      <alignment horizontal="right"/>
    </xf>
    <xf numFmtId="0" fontId="30" fillId="35" borderId="30" xfId="0" applyFont="1" applyFill="1" applyBorder="1" applyAlignment="1">
      <alignment horizontal="right"/>
    </xf>
    <xf numFmtId="0" fontId="30" fillId="34" borderId="31" xfId="0" applyFont="1" applyFill="1" applyBorder="1" applyAlignment="1">
      <alignment/>
    </xf>
    <xf numFmtId="3" fontId="30" fillId="35" borderId="31" xfId="0" applyNumberFormat="1" applyFont="1" applyFill="1" applyBorder="1" applyAlignment="1">
      <alignment horizontal="right"/>
    </xf>
    <xf numFmtId="3" fontId="30" fillId="35" borderId="32" xfId="0" applyNumberFormat="1" applyFont="1" applyFill="1" applyBorder="1" applyAlignment="1">
      <alignment horizontal="right"/>
    </xf>
    <xf numFmtId="10" fontId="30" fillId="34" borderId="31" xfId="0" applyNumberFormat="1" applyFont="1" applyFill="1" applyBorder="1" applyAlignment="1">
      <alignment horizontal="right"/>
    </xf>
    <xf numFmtId="10" fontId="30" fillId="35" borderId="31" xfId="0" applyNumberFormat="1" applyFont="1" applyFill="1" applyBorder="1" applyAlignment="1">
      <alignment horizontal="right"/>
    </xf>
    <xf numFmtId="0" fontId="30" fillId="0" borderId="33" xfId="0" applyFont="1" applyBorder="1" applyAlignment="1" applyProtection="1">
      <alignment vertical="center"/>
      <protection locked="0"/>
    </xf>
    <xf numFmtId="0" fontId="12" fillId="0" borderId="34" xfId="0" applyFont="1" applyFill="1" applyBorder="1" applyAlignment="1">
      <alignment horizontal="left" vertical="center"/>
    </xf>
    <xf numFmtId="0" fontId="12" fillId="0" borderId="35" xfId="0" applyFont="1" applyFill="1" applyBorder="1" applyAlignment="1">
      <alignment horizontal="center" vertical="center"/>
    </xf>
    <xf numFmtId="0" fontId="20" fillId="0" borderId="36" xfId="0" applyFont="1" applyFill="1" applyBorder="1" applyAlignment="1">
      <alignment horizontal="right" vertical="center"/>
    </xf>
    <xf numFmtId="4" fontId="30" fillId="0" borderId="0" xfId="0" applyNumberFormat="1" applyFont="1" applyFill="1" applyAlignment="1">
      <alignment/>
    </xf>
    <xf numFmtId="3" fontId="30" fillId="0" borderId="0" xfId="0" applyNumberFormat="1" applyFont="1" applyFill="1" applyAlignment="1">
      <alignment/>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0" fontId="40" fillId="0" borderId="28" xfId="0" applyFont="1" applyFill="1" applyBorder="1" applyAlignment="1" applyProtection="1">
      <alignment vertical="center"/>
      <protection locked="0"/>
    </xf>
    <xf numFmtId="0" fontId="41" fillId="0" borderId="28" xfId="0" applyFont="1" applyFill="1" applyBorder="1" applyAlignment="1" applyProtection="1">
      <alignment vertical="center"/>
      <protection locked="0"/>
    </xf>
    <xf numFmtId="0" fontId="14" fillId="0" borderId="28" xfId="0" applyFont="1" applyFill="1" applyBorder="1" applyAlignment="1">
      <alignment/>
    </xf>
    <xf numFmtId="0" fontId="14" fillId="0" borderId="28" xfId="0" applyFont="1" applyFill="1" applyBorder="1" applyAlignment="1">
      <alignment vertical="center"/>
    </xf>
    <xf numFmtId="0" fontId="31" fillId="0" borderId="0" xfId="0" applyFont="1" applyFill="1" applyBorder="1" applyAlignment="1" applyProtection="1">
      <alignment vertical="center"/>
      <protection locked="0"/>
    </xf>
    <xf numFmtId="0" fontId="33" fillId="0" borderId="0" xfId="0"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200" fontId="30" fillId="0" borderId="14" xfId="0" applyNumberFormat="1" applyFont="1" applyBorder="1" applyAlignment="1">
      <alignment vertical="center"/>
    </xf>
    <xf numFmtId="193" fontId="30" fillId="0" borderId="14" xfId="0" applyNumberFormat="1" applyFont="1" applyBorder="1" applyAlignment="1">
      <alignment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0" fontId="28" fillId="0" borderId="28" xfId="0" applyFont="1" applyFill="1" applyBorder="1" applyAlignment="1" applyProtection="1">
      <alignment vertical="center"/>
      <protection locked="0"/>
    </xf>
    <xf numFmtId="0" fontId="28" fillId="0" borderId="28" xfId="0" applyFont="1" applyFill="1" applyBorder="1" applyAlignment="1">
      <alignment/>
    </xf>
    <xf numFmtId="14" fontId="12" fillId="0" borderId="35" xfId="0" applyNumberFormat="1" applyFont="1" applyFill="1" applyBorder="1" applyAlignment="1">
      <alignment horizontal="left" vertical="center"/>
    </xf>
    <xf numFmtId="192" fontId="12" fillId="0" borderId="37" xfId="0" applyNumberFormat="1" applyFont="1" applyFill="1" applyBorder="1" applyAlignment="1">
      <alignment vertical="center"/>
    </xf>
    <xf numFmtId="49" fontId="12" fillId="0" borderId="27"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left" vertical="center"/>
      <protection locked="0"/>
    </xf>
    <xf numFmtId="49" fontId="12" fillId="0" borderId="12" xfId="0" applyNumberFormat="1" applyFont="1" applyFill="1" applyBorder="1" applyAlignment="1" applyProtection="1">
      <alignment horizontal="center" vertical="center"/>
      <protection locked="0"/>
    </xf>
    <xf numFmtId="0" fontId="12" fillId="0" borderId="35" xfId="0" applyFont="1" applyFill="1" applyBorder="1" applyAlignment="1">
      <alignment horizontal="left" vertical="center"/>
    </xf>
    <xf numFmtId="192" fontId="12" fillId="0" borderId="35" xfId="0" applyNumberFormat="1" applyFont="1" applyFill="1" applyBorder="1" applyAlignment="1">
      <alignment vertical="center"/>
    </xf>
    <xf numFmtId="200" fontId="30" fillId="0" borderId="14" xfId="40" applyNumberFormat="1" applyFont="1" applyFill="1" applyBorder="1" applyAlignment="1" applyProtection="1">
      <alignment vertical="center"/>
      <protection/>
    </xf>
    <xf numFmtId="193" fontId="30" fillId="0" borderId="14" xfId="40" applyNumberFormat="1" applyFont="1" applyFill="1" applyBorder="1" applyAlignment="1" applyProtection="1">
      <alignment vertical="center"/>
      <protection/>
    </xf>
    <xf numFmtId="200" fontId="30" fillId="0" borderId="14" xfId="40" applyNumberFormat="1" applyFont="1" applyFill="1" applyBorder="1" applyAlignment="1" applyProtection="1">
      <alignment vertical="center"/>
      <protection locked="0"/>
    </xf>
    <xf numFmtId="193" fontId="30" fillId="0" borderId="14" xfId="40" applyNumberFormat="1" applyFont="1" applyFill="1" applyBorder="1" applyAlignment="1" applyProtection="1">
      <alignment vertical="center"/>
      <protection locked="0"/>
    </xf>
    <xf numFmtId="200" fontId="30" fillId="0" borderId="14" xfId="0" applyNumberFormat="1" applyFont="1" applyFill="1" applyBorder="1" applyAlignment="1">
      <alignment vertical="center"/>
    </xf>
    <xf numFmtId="193" fontId="30" fillId="0" borderId="14" xfId="0" applyNumberFormat="1" applyFont="1" applyFill="1" applyBorder="1" applyAlignment="1">
      <alignment vertical="center"/>
    </xf>
    <xf numFmtId="184" fontId="12" fillId="0" borderId="14" xfId="0" applyNumberFormat="1" applyFont="1" applyFill="1" applyBorder="1" applyAlignment="1" applyProtection="1">
      <alignment horizontal="center" vertical="center"/>
      <protection/>
    </xf>
    <xf numFmtId="200" fontId="30" fillId="0" borderId="14" xfId="51" applyNumberFormat="1" applyFont="1" applyFill="1" applyBorder="1" applyAlignment="1">
      <alignment vertical="center"/>
      <protection/>
    </xf>
    <xf numFmtId="193" fontId="30" fillId="0" borderId="14" xfId="51" applyNumberFormat="1" applyFont="1" applyFill="1" applyBorder="1" applyAlignment="1">
      <alignment vertical="center"/>
      <protection/>
    </xf>
    <xf numFmtId="0" fontId="12" fillId="0" borderId="17" xfId="0" applyFont="1" applyFill="1" applyBorder="1" applyAlignment="1">
      <alignment horizontal="left" vertical="center"/>
    </xf>
    <xf numFmtId="184" fontId="12" fillId="0" borderId="35" xfId="0" applyNumberFormat="1" applyFont="1" applyFill="1" applyBorder="1" applyAlignment="1">
      <alignment horizontal="center" vertical="center"/>
    </xf>
    <xf numFmtId="193" fontId="12" fillId="0" borderId="35" xfId="0" applyNumberFormat="1" applyFont="1" applyFill="1" applyBorder="1" applyAlignment="1">
      <alignment vertical="center"/>
    </xf>
    <xf numFmtId="200" fontId="12" fillId="0" borderId="35" xfId="0" applyNumberFormat="1" applyFont="1" applyFill="1" applyBorder="1" applyAlignment="1">
      <alignment vertical="center"/>
    </xf>
    <xf numFmtId="200" fontId="30" fillId="0" borderId="14" xfId="0" applyNumberFormat="1" applyFont="1" applyFill="1" applyBorder="1" applyAlignment="1">
      <alignment horizontal="right" vertical="center"/>
    </xf>
    <xf numFmtId="193" fontId="30" fillId="0" borderId="14" xfId="0" applyNumberFormat="1" applyFont="1" applyFill="1" applyBorder="1" applyAlignment="1">
      <alignment horizontal="right" vertical="center"/>
    </xf>
    <xf numFmtId="200" fontId="30" fillId="0" borderId="15" xfId="0" applyNumberFormat="1" applyFont="1" applyFill="1" applyBorder="1" applyAlignment="1">
      <alignment horizontal="right" vertical="center"/>
    </xf>
    <xf numFmtId="193" fontId="30" fillId="0" borderId="15" xfId="0" applyNumberFormat="1" applyFont="1" applyFill="1" applyBorder="1" applyAlignment="1">
      <alignment horizontal="right" vertical="center"/>
    </xf>
    <xf numFmtId="200" fontId="30" fillId="0" borderId="14" xfId="0" applyNumberFormat="1" applyFont="1" applyFill="1" applyBorder="1" applyAlignment="1">
      <alignment horizontal="right" vertical="center"/>
    </xf>
    <xf numFmtId="193" fontId="30" fillId="0" borderId="14" xfId="0" applyNumberFormat="1" applyFont="1" applyFill="1" applyBorder="1" applyAlignment="1">
      <alignment horizontal="right" vertical="center"/>
    </xf>
    <xf numFmtId="200" fontId="30" fillId="0" borderId="12" xfId="0" applyNumberFormat="1" applyFont="1" applyFill="1" applyBorder="1" applyAlignment="1">
      <alignment vertical="center"/>
    </xf>
    <xf numFmtId="193" fontId="30" fillId="0" borderId="12" xfId="0" applyNumberFormat="1" applyFont="1" applyFill="1" applyBorder="1" applyAlignment="1">
      <alignment vertical="center"/>
    </xf>
    <xf numFmtId="200" fontId="30" fillId="0" borderId="14" xfId="40" applyNumberFormat="1" applyFont="1" applyFill="1" applyBorder="1" applyAlignment="1" applyProtection="1">
      <alignment horizontal="right" vertical="center"/>
      <protection/>
    </xf>
    <xf numFmtId="193" fontId="30" fillId="0" borderId="14" xfId="40" applyNumberFormat="1" applyFont="1" applyFill="1" applyBorder="1" applyAlignment="1" applyProtection="1">
      <alignment horizontal="right" vertical="center"/>
      <protection/>
    </xf>
    <xf numFmtId="200" fontId="30" fillId="0" borderId="14" xfId="40" applyNumberFormat="1" applyFont="1" applyFill="1" applyBorder="1" applyAlignment="1" applyProtection="1">
      <alignment vertical="center"/>
      <protection/>
    </xf>
    <xf numFmtId="193" fontId="30" fillId="0" borderId="14" xfId="40" applyNumberFormat="1" applyFont="1" applyFill="1" applyBorder="1" applyAlignment="1" applyProtection="1">
      <alignment vertical="center"/>
      <protection/>
    </xf>
    <xf numFmtId="200" fontId="30" fillId="0" borderId="14" xfId="0" applyNumberFormat="1" applyFont="1" applyBorder="1" applyAlignment="1">
      <alignment vertical="center"/>
    </xf>
    <xf numFmtId="193" fontId="30" fillId="0" borderId="14" xfId="0" applyNumberFormat="1" applyFont="1" applyBorder="1" applyAlignment="1">
      <alignment vertical="center"/>
    </xf>
    <xf numFmtId="0" fontId="12" fillId="0" borderId="14" xfId="51" applyNumberFormat="1" applyFont="1" applyFill="1" applyBorder="1" applyAlignment="1">
      <alignment horizontal="left" vertical="center"/>
      <protection/>
    </xf>
    <xf numFmtId="184" fontId="12" fillId="0" borderId="14" xfId="51" applyNumberFormat="1" applyFont="1" applyFill="1" applyBorder="1" applyAlignment="1">
      <alignment horizontal="center" vertical="center"/>
      <protection/>
    </xf>
    <xf numFmtId="0" fontId="12" fillId="0" borderId="14" xfId="51" applyNumberFormat="1" applyFont="1" applyFill="1" applyBorder="1" applyAlignment="1" applyProtection="1">
      <alignment horizontal="center" vertical="center"/>
      <protection locked="0"/>
    </xf>
    <xf numFmtId="0" fontId="12" fillId="0" borderId="14" xfId="51" applyNumberFormat="1" applyFont="1" applyFill="1" applyBorder="1" applyAlignment="1">
      <alignment horizontal="center" vertical="center"/>
      <protection/>
    </xf>
    <xf numFmtId="0" fontId="12" fillId="0" borderId="17" xfId="51" applyNumberFormat="1" applyFont="1" applyFill="1" applyBorder="1" applyAlignment="1">
      <alignment horizontal="left" vertical="center"/>
      <protection/>
    </xf>
    <xf numFmtId="200" fontId="37" fillId="0" borderId="11" xfId="0" applyNumberFormat="1" applyFont="1" applyFill="1" applyBorder="1" applyAlignment="1" applyProtection="1">
      <alignment horizontal="center" wrapText="1"/>
      <protection/>
    </xf>
    <xf numFmtId="193" fontId="37" fillId="0" borderId="11" xfId="0" applyNumberFormat="1" applyFont="1" applyFill="1" applyBorder="1" applyAlignment="1" applyProtection="1">
      <alignment horizontal="center" wrapText="1"/>
      <protection/>
    </xf>
    <xf numFmtId="192" fontId="37" fillId="0" borderId="11" xfId="0" applyNumberFormat="1" applyFont="1" applyFill="1" applyBorder="1" applyAlignment="1" applyProtection="1">
      <alignment horizontal="center" wrapText="1"/>
      <protection/>
    </xf>
    <xf numFmtId="200" fontId="37" fillId="0" borderId="11" xfId="0" applyNumberFormat="1" applyFont="1" applyFill="1" applyBorder="1" applyAlignment="1" applyProtection="1">
      <alignment horizontal="right" wrapText="1"/>
      <protection/>
    </xf>
    <xf numFmtId="192" fontId="37" fillId="0" borderId="18" xfId="0" applyNumberFormat="1" applyFont="1" applyFill="1" applyBorder="1" applyAlignment="1" applyProtection="1">
      <alignment horizontal="center" wrapText="1"/>
      <protection/>
    </xf>
    <xf numFmtId="0" fontId="20" fillId="0" borderId="38" xfId="0" applyFont="1" applyFill="1" applyBorder="1" applyAlignment="1" applyProtection="1">
      <alignment horizontal="right" vertical="center"/>
      <protection/>
    </xf>
    <xf numFmtId="200" fontId="30" fillId="0" borderId="35" xfId="0" applyNumberFormat="1" applyFont="1" applyFill="1" applyBorder="1" applyAlignment="1">
      <alignment vertical="center"/>
    </xf>
    <xf numFmtId="193" fontId="30" fillId="0" borderId="35" xfId="0" applyNumberFormat="1" applyFont="1" applyFill="1" applyBorder="1" applyAlignment="1">
      <alignment vertical="center"/>
    </xf>
    <xf numFmtId="3" fontId="12" fillId="0" borderId="14" xfId="0" applyNumberFormat="1" applyFont="1" applyFill="1" applyBorder="1" applyAlignment="1">
      <alignment horizontal="right" vertical="center"/>
    </xf>
    <xf numFmtId="3" fontId="12" fillId="0" borderId="14" xfId="40" applyNumberFormat="1" applyFont="1" applyFill="1" applyBorder="1" applyAlignment="1" applyProtection="1">
      <alignment horizontal="right" vertical="center"/>
      <protection/>
    </xf>
    <xf numFmtId="184" fontId="12" fillId="0" borderId="25" xfId="0" applyNumberFormat="1" applyFont="1" applyFill="1" applyBorder="1" applyAlignment="1">
      <alignment horizontal="center" vertical="center"/>
    </xf>
    <xf numFmtId="0" fontId="14" fillId="0" borderId="28" xfId="0" applyFont="1" applyFill="1" applyBorder="1" applyAlignment="1" applyProtection="1">
      <alignment horizontal="right" vertical="center"/>
      <protection locked="0"/>
    </xf>
    <xf numFmtId="3" fontId="30" fillId="0" borderId="14" xfId="0" applyNumberFormat="1" applyFont="1" applyFill="1" applyBorder="1" applyAlignment="1">
      <alignment horizontal="right" vertical="center"/>
    </xf>
    <xf numFmtId="10" fontId="30" fillId="34" borderId="32" xfId="0" applyNumberFormat="1" applyFont="1" applyFill="1" applyBorder="1" applyAlignment="1">
      <alignment horizontal="right"/>
    </xf>
    <xf numFmtId="0" fontId="30" fillId="34" borderId="32" xfId="0" applyFont="1" applyFill="1" applyBorder="1" applyAlignment="1">
      <alignment/>
    </xf>
    <xf numFmtId="192" fontId="12" fillId="0" borderId="14" xfId="0" applyNumberFormat="1" applyFont="1" applyFill="1" applyBorder="1" applyAlignment="1" applyProtection="1">
      <alignment vertical="center"/>
      <protection locked="0"/>
    </xf>
    <xf numFmtId="192" fontId="12" fillId="0" borderId="19" xfId="0" applyNumberFormat="1" applyFont="1" applyFill="1" applyBorder="1" applyAlignment="1" applyProtection="1">
      <alignment vertical="center"/>
      <protection locked="0"/>
    </xf>
    <xf numFmtId="192" fontId="12" fillId="0" borderId="39" xfId="0" applyNumberFormat="1" applyFont="1" applyFill="1" applyBorder="1" applyAlignment="1">
      <alignment vertical="center"/>
    </xf>
    <xf numFmtId="192" fontId="12" fillId="0" borderId="19" xfId="0" applyNumberFormat="1" applyFont="1" applyFill="1" applyBorder="1" applyAlignment="1" applyProtection="1">
      <alignment horizontal="right" vertical="center"/>
      <protection locked="0"/>
    </xf>
    <xf numFmtId="0" fontId="28" fillId="0" borderId="0" xfId="0" applyFont="1" applyFill="1" applyAlignment="1">
      <alignment/>
    </xf>
    <xf numFmtId="200" fontId="30" fillId="0" borderId="14" xfId="0" applyNumberFormat="1" applyFont="1" applyFill="1" applyBorder="1" applyAlignment="1" applyProtection="1">
      <alignment horizontal="right" vertical="center"/>
      <protection locked="0"/>
    </xf>
    <xf numFmtId="184" fontId="12" fillId="0" borderId="15" xfId="0" applyNumberFormat="1" applyFont="1" applyFill="1" applyBorder="1" applyAlignment="1" applyProtection="1">
      <alignment horizontal="center" vertical="center"/>
      <protection locked="0"/>
    </xf>
    <xf numFmtId="192" fontId="12" fillId="0" borderId="25" xfId="40" applyNumberFormat="1" applyFont="1" applyFill="1" applyBorder="1" applyAlignment="1" applyProtection="1">
      <alignment horizontal="right" vertical="center"/>
      <protection/>
    </xf>
    <xf numFmtId="192" fontId="12" fillId="0" borderId="39" xfId="40" applyNumberFormat="1" applyFont="1" applyFill="1" applyBorder="1" applyAlignment="1" applyProtection="1">
      <alignment horizontal="right" vertical="center"/>
      <protection/>
    </xf>
    <xf numFmtId="200" fontId="30" fillId="0" borderId="12" xfId="40" applyNumberFormat="1" applyFont="1" applyFill="1" applyBorder="1" applyAlignment="1" applyProtection="1">
      <alignment horizontal="right" vertical="center"/>
      <protection locked="0"/>
    </xf>
    <xf numFmtId="200" fontId="30" fillId="0" borderId="35" xfId="0" applyNumberFormat="1" applyFont="1" applyFill="1" applyBorder="1" applyAlignment="1">
      <alignment horizontal="right" vertical="center"/>
    </xf>
    <xf numFmtId="200" fontId="30" fillId="0" borderId="15" xfId="0" applyNumberFormat="1" applyFont="1" applyFill="1" applyBorder="1" applyAlignment="1">
      <alignment horizontal="right" vertical="center"/>
    </xf>
    <xf numFmtId="10" fontId="30" fillId="35" borderId="32" xfId="0" applyNumberFormat="1" applyFont="1" applyFill="1" applyBorder="1" applyAlignment="1">
      <alignment horizontal="right"/>
    </xf>
    <xf numFmtId="193" fontId="30" fillId="0" borderId="14" xfId="0" applyNumberFormat="1" applyFont="1" applyFill="1" applyBorder="1" applyAlignment="1" applyProtection="1">
      <alignment horizontal="right" vertical="center"/>
      <protection locked="0"/>
    </xf>
    <xf numFmtId="0" fontId="12" fillId="0" borderId="28" xfId="0" applyFont="1" applyFill="1" applyBorder="1" applyAlignment="1" applyProtection="1">
      <alignment vertical="center"/>
      <protection locked="0"/>
    </xf>
    <xf numFmtId="200" fontId="30" fillId="0" borderId="25" xfId="0" applyNumberFormat="1" applyFont="1" applyFill="1" applyBorder="1" applyAlignment="1">
      <alignment horizontal="right" vertical="center"/>
    </xf>
    <xf numFmtId="193" fontId="30" fillId="0" borderId="25" xfId="0" applyNumberFormat="1" applyFont="1" applyFill="1" applyBorder="1" applyAlignment="1">
      <alignment horizontal="right" vertical="center"/>
    </xf>
    <xf numFmtId="193" fontId="12" fillId="0" borderId="25" xfId="40" applyNumberFormat="1" applyFont="1" applyFill="1" applyBorder="1" applyAlignment="1" applyProtection="1">
      <alignment horizontal="right" vertical="center"/>
      <protection/>
    </xf>
    <xf numFmtId="200" fontId="12" fillId="0" borderId="25" xfId="0" applyNumberFormat="1" applyFont="1" applyFill="1" applyBorder="1" applyAlignment="1">
      <alignment horizontal="right" vertical="center"/>
    </xf>
    <xf numFmtId="193" fontId="12" fillId="0" borderId="25" xfId="0" applyNumberFormat="1" applyFont="1" applyFill="1" applyBorder="1" applyAlignment="1">
      <alignment horizontal="right" vertical="center"/>
    </xf>
    <xf numFmtId="49" fontId="12" fillId="0" borderId="15" xfId="0" applyNumberFormat="1" applyFont="1" applyFill="1" applyBorder="1" applyAlignment="1" applyProtection="1">
      <alignment horizontal="left" vertical="center"/>
      <protection locked="0"/>
    </xf>
    <xf numFmtId="193" fontId="12" fillId="0" borderId="15" xfId="40" applyNumberFormat="1" applyFont="1" applyFill="1" applyBorder="1" applyAlignment="1" applyProtection="1">
      <alignment vertical="center"/>
      <protection/>
    </xf>
    <xf numFmtId="192" fontId="12" fillId="0" borderId="15" xfId="40" applyNumberFormat="1" applyFont="1" applyFill="1" applyBorder="1" applyAlignment="1" applyProtection="1">
      <alignment vertical="center"/>
      <protection/>
    </xf>
    <xf numFmtId="193" fontId="12" fillId="0" borderId="15" xfId="40" applyNumberFormat="1" applyFont="1" applyFill="1" applyBorder="1" applyAlignment="1" applyProtection="1">
      <alignment vertical="center"/>
      <protection locked="0"/>
    </xf>
    <xf numFmtId="192" fontId="12" fillId="0" borderId="26" xfId="40" applyNumberFormat="1" applyFont="1" applyFill="1" applyBorder="1" applyAlignment="1" applyProtection="1">
      <alignment vertical="center"/>
      <protection/>
    </xf>
    <xf numFmtId="193" fontId="12" fillId="0" borderId="25" xfId="40" applyNumberFormat="1" applyFont="1" applyFill="1" applyBorder="1" applyAlignment="1" applyProtection="1">
      <alignment vertical="center"/>
      <protection/>
    </xf>
    <xf numFmtId="192" fontId="12" fillId="0" borderId="25" xfId="40" applyNumberFormat="1" applyFont="1" applyFill="1" applyBorder="1" applyAlignment="1" applyProtection="1">
      <alignment vertical="center"/>
      <protection/>
    </xf>
    <xf numFmtId="193" fontId="12" fillId="0" borderId="25" xfId="0" applyNumberFormat="1" applyFont="1" applyFill="1" applyBorder="1" applyAlignment="1">
      <alignment vertical="center"/>
    </xf>
    <xf numFmtId="192" fontId="12" fillId="0" borderId="39" xfId="40" applyNumberFormat="1" applyFont="1" applyFill="1" applyBorder="1" applyAlignment="1" applyProtection="1">
      <alignment vertical="center"/>
      <protection/>
    </xf>
    <xf numFmtId="0" fontId="12" fillId="0" borderId="27"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protection locked="0"/>
    </xf>
    <xf numFmtId="193" fontId="30" fillId="0" borderId="12" xfId="40" applyNumberFormat="1" applyFont="1" applyFill="1" applyBorder="1" applyAlignment="1" applyProtection="1">
      <alignment vertical="center"/>
      <protection locked="0"/>
    </xf>
    <xf numFmtId="193" fontId="12" fillId="0" borderId="12" xfId="40" applyNumberFormat="1" applyFont="1" applyFill="1" applyBorder="1" applyAlignment="1" applyProtection="1">
      <alignment vertical="center"/>
      <protection/>
    </xf>
    <xf numFmtId="192" fontId="12" fillId="0" borderId="12" xfId="40" applyNumberFormat="1" applyFont="1" applyFill="1" applyBorder="1" applyAlignment="1" applyProtection="1">
      <alignment vertical="center"/>
      <protection/>
    </xf>
    <xf numFmtId="193" fontId="12" fillId="0" borderId="12" xfId="40" applyNumberFormat="1" applyFont="1" applyFill="1" applyBorder="1" applyAlignment="1" applyProtection="1">
      <alignment vertical="center"/>
      <protection locked="0"/>
    </xf>
    <xf numFmtId="192" fontId="12" fillId="0" borderId="13" xfId="40" applyNumberFormat="1" applyFont="1" applyFill="1" applyBorder="1" applyAlignment="1" applyProtection="1">
      <alignment vertical="center"/>
      <protection/>
    </xf>
    <xf numFmtId="0" fontId="12" fillId="0" borderId="34" xfId="0" applyFont="1" applyFill="1" applyBorder="1" applyAlignment="1" applyProtection="1">
      <alignment horizontal="left" vertical="center"/>
      <protection locked="0"/>
    </xf>
    <xf numFmtId="184" fontId="12" fillId="0" borderId="35" xfId="0" applyNumberFormat="1" applyFont="1" applyFill="1" applyBorder="1" applyAlignment="1" applyProtection="1">
      <alignment horizontal="center" vertical="center"/>
      <protection locked="0"/>
    </xf>
    <xf numFmtId="184" fontId="12" fillId="0" borderId="35" xfId="0" applyNumberFormat="1" applyFont="1" applyFill="1" applyBorder="1" applyAlignment="1" applyProtection="1">
      <alignment horizontal="left" vertical="center"/>
      <protection locked="0"/>
    </xf>
    <xf numFmtId="0" fontId="12" fillId="0" borderId="35" xfId="0" applyFont="1" applyFill="1" applyBorder="1" applyAlignment="1" applyProtection="1">
      <alignment horizontal="left" vertical="center"/>
      <protection locked="0"/>
    </xf>
    <xf numFmtId="0" fontId="12" fillId="0" borderId="35" xfId="0" applyFont="1" applyFill="1" applyBorder="1" applyAlignment="1" applyProtection="1">
      <alignment horizontal="center" vertical="center"/>
      <protection locked="0"/>
    </xf>
    <xf numFmtId="193" fontId="12" fillId="0" borderId="35" xfId="40" applyNumberFormat="1" applyFont="1" applyFill="1" applyBorder="1" applyAlignment="1" applyProtection="1">
      <alignment vertical="center"/>
      <protection/>
    </xf>
    <xf numFmtId="192" fontId="12" fillId="0" borderId="35" xfId="40" applyNumberFormat="1" applyFont="1" applyFill="1" applyBorder="1" applyAlignment="1" applyProtection="1">
      <alignment vertical="center"/>
      <protection/>
    </xf>
    <xf numFmtId="193" fontId="12" fillId="0" borderId="35" xfId="40" applyNumberFormat="1" applyFont="1" applyFill="1" applyBorder="1" applyAlignment="1" applyProtection="1">
      <alignment vertical="center"/>
      <protection locked="0"/>
    </xf>
    <xf numFmtId="192" fontId="12" fillId="0" borderId="37" xfId="40" applyNumberFormat="1" applyFont="1" applyFill="1" applyBorder="1" applyAlignment="1" applyProtection="1">
      <alignment vertical="center"/>
      <protection/>
    </xf>
    <xf numFmtId="193" fontId="30" fillId="0" borderId="15" xfId="0" applyNumberFormat="1" applyFont="1" applyFill="1" applyBorder="1" applyAlignment="1">
      <alignment vertical="center"/>
    </xf>
    <xf numFmtId="193" fontId="30" fillId="0" borderId="35" xfId="0" applyNumberFormat="1" applyFont="1" applyFill="1" applyBorder="1" applyAlignment="1">
      <alignment vertical="center"/>
    </xf>
    <xf numFmtId="200" fontId="30" fillId="0" borderId="0" xfId="0" applyNumberFormat="1" applyFont="1" applyFill="1" applyBorder="1" applyAlignment="1">
      <alignment horizontal="right" vertical="center"/>
    </xf>
    <xf numFmtId="193" fontId="30" fillId="0" borderId="0" xfId="0" applyNumberFormat="1" applyFont="1" applyFill="1" applyBorder="1" applyAlignment="1">
      <alignment horizontal="righ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4" fontId="12" fillId="0" borderId="14" xfId="0" applyNumberFormat="1" applyFont="1" applyFill="1" applyBorder="1" applyAlignment="1">
      <alignment vertical="center" wrapText="1"/>
    </xf>
    <xf numFmtId="3" fontId="12" fillId="0" borderId="14" xfId="0" applyNumberFormat="1" applyFont="1" applyFill="1" applyBorder="1" applyAlignment="1">
      <alignment vertical="center" wrapText="1"/>
    </xf>
    <xf numFmtId="4" fontId="12" fillId="0" borderId="14" xfId="0" applyNumberFormat="1" applyFont="1" applyFill="1" applyBorder="1" applyAlignment="1">
      <alignment vertical="center"/>
    </xf>
    <xf numFmtId="3" fontId="12" fillId="0" borderId="14" xfId="0" applyNumberFormat="1" applyFont="1" applyFill="1" applyBorder="1" applyAlignment="1">
      <alignment vertical="center"/>
    </xf>
    <xf numFmtId="184" fontId="12" fillId="0" borderId="14" xfId="0" applyNumberFormat="1" applyFont="1" applyFill="1" applyBorder="1" applyAlignment="1">
      <alignment horizontal="center" vertical="center" wrapText="1"/>
    </xf>
    <xf numFmtId="200" fontId="12" fillId="0" borderId="15" xfId="40" applyNumberFormat="1" applyFont="1" applyFill="1" applyBorder="1" applyAlignment="1" applyProtection="1">
      <alignment vertical="center"/>
      <protection locked="0"/>
    </xf>
    <xf numFmtId="4" fontId="12" fillId="0" borderId="19" xfId="0" applyNumberFormat="1" applyFont="1" applyFill="1" applyBorder="1" applyAlignment="1">
      <alignment vertical="center" wrapText="1"/>
    </xf>
    <xf numFmtId="0" fontId="12" fillId="0" borderId="17" xfId="0" applyFont="1" applyFill="1" applyBorder="1" applyAlignment="1">
      <alignment horizontal="left" vertical="center" wrapText="1"/>
    </xf>
    <xf numFmtId="4" fontId="12" fillId="0" borderId="19" xfId="0" applyNumberFormat="1" applyFont="1" applyFill="1" applyBorder="1" applyAlignment="1">
      <alignment vertical="center"/>
    </xf>
    <xf numFmtId="200" fontId="12" fillId="0" borderId="25" xfId="0" applyNumberFormat="1" applyFont="1" applyFill="1" applyBorder="1" applyAlignment="1">
      <alignment vertical="center"/>
    </xf>
    <xf numFmtId="14" fontId="12" fillId="0" borderId="14" xfId="0" applyNumberFormat="1" applyFont="1" applyFill="1" applyBorder="1" applyAlignment="1">
      <alignment horizontal="left" vertical="center" wrapText="1"/>
    </xf>
    <xf numFmtId="0" fontId="12" fillId="0" borderId="14" xfId="0" applyFont="1" applyFill="1" applyBorder="1" applyAlignment="1">
      <alignment horizontal="center" vertical="center" wrapText="1"/>
    </xf>
    <xf numFmtId="187" fontId="12" fillId="0" borderId="14" xfId="0" applyNumberFormat="1" applyFont="1" applyFill="1" applyBorder="1" applyAlignment="1" applyProtection="1">
      <alignment vertical="center"/>
      <protection/>
    </xf>
    <xf numFmtId="187" fontId="12" fillId="0" borderId="14" xfId="40" applyNumberFormat="1" applyFont="1" applyFill="1" applyBorder="1" applyAlignment="1" applyProtection="1">
      <alignment vertical="center"/>
      <protection locked="0"/>
    </xf>
    <xf numFmtId="187" fontId="12" fillId="0" borderId="14" xfId="0" applyNumberFormat="1" applyFont="1" applyFill="1" applyBorder="1" applyAlignment="1">
      <alignment vertical="center" wrapText="1"/>
    </xf>
    <xf numFmtId="187" fontId="12" fillId="0" borderId="14" xfId="0" applyNumberFormat="1" applyFont="1" applyFill="1" applyBorder="1" applyAlignment="1">
      <alignment vertical="center"/>
    </xf>
    <xf numFmtId="187" fontId="12" fillId="0" borderId="14" xfId="40" applyNumberFormat="1" applyFont="1" applyFill="1" applyBorder="1" applyAlignment="1" applyProtection="1">
      <alignment vertical="center"/>
      <protection/>
    </xf>
    <xf numFmtId="187" fontId="12" fillId="0" borderId="25" xfId="0" applyNumberFormat="1" applyFont="1" applyFill="1" applyBorder="1" applyAlignment="1">
      <alignment vertical="center"/>
    </xf>
    <xf numFmtId="187" fontId="12" fillId="0" borderId="15" xfId="40" applyNumberFormat="1" applyFont="1" applyFill="1" applyBorder="1" applyAlignment="1" applyProtection="1">
      <alignment horizontal="right" vertical="center"/>
      <protection locked="0"/>
    </xf>
    <xf numFmtId="187" fontId="12" fillId="0" borderId="14" xfId="0" applyNumberFormat="1" applyFont="1" applyFill="1" applyBorder="1" applyAlignment="1" applyProtection="1">
      <alignment horizontal="right" vertical="center"/>
      <protection/>
    </xf>
    <xf numFmtId="187" fontId="12" fillId="0" borderId="14" xfId="40" applyNumberFormat="1" applyFont="1" applyFill="1" applyBorder="1" applyAlignment="1" applyProtection="1">
      <alignment horizontal="right" vertical="center"/>
      <protection locked="0"/>
    </xf>
    <xf numFmtId="187" fontId="12" fillId="0" borderId="14" xfId="0" applyNumberFormat="1" applyFont="1" applyFill="1" applyBorder="1" applyAlignment="1">
      <alignment horizontal="right" vertical="center" wrapText="1"/>
    </xf>
    <xf numFmtId="187" fontId="12" fillId="0" borderId="14" xfId="0" applyNumberFormat="1" applyFont="1" applyFill="1" applyBorder="1" applyAlignment="1">
      <alignment horizontal="right" vertical="center"/>
    </xf>
    <xf numFmtId="187" fontId="12" fillId="0" borderId="14" xfId="0" applyNumberFormat="1" applyFont="1" applyFill="1" applyBorder="1" applyAlignment="1" applyProtection="1">
      <alignment horizontal="right" vertical="center"/>
      <protection locked="0"/>
    </xf>
    <xf numFmtId="187" fontId="12" fillId="0" borderId="14" xfId="40" applyNumberFormat="1" applyFont="1" applyFill="1" applyBorder="1" applyAlignment="1" applyProtection="1">
      <alignment horizontal="right" vertical="center"/>
      <protection/>
    </xf>
    <xf numFmtId="193" fontId="12" fillId="0" borderId="14" xfId="0" applyNumberFormat="1" applyFont="1" applyFill="1" applyBorder="1" applyAlignment="1">
      <alignment vertical="center" wrapText="1"/>
    </xf>
    <xf numFmtId="192" fontId="12" fillId="0" borderId="14" xfId="0" applyNumberFormat="1" applyFont="1" applyFill="1" applyBorder="1" applyAlignment="1">
      <alignment vertical="center" wrapText="1"/>
    </xf>
    <xf numFmtId="192" fontId="12" fillId="0" borderId="19" xfId="0" applyNumberFormat="1" applyFont="1" applyFill="1" applyBorder="1" applyAlignment="1">
      <alignment vertical="center" wrapText="1"/>
    </xf>
    <xf numFmtId="200" fontId="12" fillId="0" borderId="14" xfId="0" applyNumberFormat="1" applyFont="1" applyFill="1" applyBorder="1" applyAlignment="1">
      <alignment vertical="center" wrapText="1"/>
    </xf>
    <xf numFmtId="187" fontId="12" fillId="0" borderId="12" xfId="40" applyNumberFormat="1" applyFont="1" applyFill="1" applyBorder="1" applyAlignment="1" applyProtection="1">
      <alignment horizontal="right" vertical="center"/>
      <protection locked="0"/>
    </xf>
    <xf numFmtId="200" fontId="12" fillId="0" borderId="12" xfId="40" applyNumberFormat="1" applyFont="1" applyFill="1" applyBorder="1" applyAlignment="1" applyProtection="1">
      <alignment vertical="center"/>
      <protection locked="0"/>
    </xf>
    <xf numFmtId="187" fontId="12" fillId="0" borderId="35" xfId="40" applyNumberFormat="1" applyFont="1" applyFill="1" applyBorder="1" applyAlignment="1" applyProtection="1">
      <alignment horizontal="right" vertical="center"/>
      <protection locked="0"/>
    </xf>
    <xf numFmtId="200" fontId="12" fillId="0" borderId="35" xfId="40" applyNumberFormat="1" applyFont="1" applyFill="1" applyBorder="1" applyAlignment="1" applyProtection="1">
      <alignment vertical="center"/>
      <protection locked="0"/>
    </xf>
    <xf numFmtId="0" fontId="12" fillId="0" borderId="14" xfId="0" applyFont="1" applyFill="1" applyBorder="1" applyAlignment="1">
      <alignment horizontal="center" wrapText="1"/>
    </xf>
    <xf numFmtId="4" fontId="12" fillId="0" borderId="14" xfId="0" applyNumberFormat="1" applyFont="1" applyFill="1" applyBorder="1" applyAlignment="1">
      <alignment horizontal="right" wrapText="1"/>
    </xf>
    <xf numFmtId="3" fontId="12" fillId="0" borderId="14" xfId="0" applyNumberFormat="1" applyFont="1" applyFill="1" applyBorder="1" applyAlignment="1">
      <alignment horizontal="right" wrapText="1"/>
    </xf>
    <xf numFmtId="4" fontId="12" fillId="0" borderId="14" xfId="0" applyNumberFormat="1" applyFont="1" applyFill="1" applyBorder="1" applyAlignment="1">
      <alignment horizontal="center" wrapText="1"/>
    </xf>
    <xf numFmtId="4" fontId="12" fillId="0" borderId="19" xfId="0" applyNumberFormat="1" applyFont="1" applyFill="1" applyBorder="1" applyAlignment="1">
      <alignment horizontal="right" wrapText="1"/>
    </xf>
    <xf numFmtId="14" fontId="12" fillId="0" borderId="28" xfId="0" applyNumberFormat="1" applyFont="1" applyFill="1" applyBorder="1" applyAlignment="1">
      <alignment horizontal="center" wrapText="1"/>
    </xf>
    <xf numFmtId="14" fontId="12" fillId="0" borderId="14" xfId="0" applyNumberFormat="1" applyFont="1" applyFill="1" applyBorder="1" applyAlignment="1">
      <alignment horizontal="center" wrapText="1"/>
    </xf>
    <xf numFmtId="14" fontId="12" fillId="0" borderId="12" xfId="0" applyNumberFormat="1" applyFont="1" applyFill="1" applyBorder="1" applyAlignment="1">
      <alignment horizontal="center" wrapText="1"/>
    </xf>
    <xf numFmtId="0" fontId="12" fillId="0" borderId="27" xfId="0" applyFont="1" applyFill="1" applyBorder="1" applyAlignment="1">
      <alignment horizontal="left"/>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xf>
    <xf numFmtId="0" fontId="9" fillId="0" borderId="0" xfId="0" applyFont="1" applyAlignment="1">
      <alignment horizontal="right" vertical="center" wrapText="1"/>
    </xf>
    <xf numFmtId="0" fontId="14" fillId="33" borderId="40" xfId="0" applyFont="1" applyFill="1" applyBorder="1" applyAlignment="1">
      <alignment horizontal="right" vertical="center"/>
    </xf>
    <xf numFmtId="0" fontId="0" fillId="0" borderId="41" xfId="0" applyBorder="1" applyAlignment="1">
      <alignment/>
    </xf>
    <xf numFmtId="0" fontId="27"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0" fontId="39" fillId="33" borderId="42" xfId="0" applyFont="1" applyFill="1" applyBorder="1" applyAlignment="1" applyProtection="1">
      <alignment horizontal="center" vertical="center"/>
      <protection/>
    </xf>
    <xf numFmtId="0" fontId="0" fillId="0" borderId="42" xfId="0" applyBorder="1" applyAlignment="1">
      <alignment/>
    </xf>
    <xf numFmtId="181" fontId="23" fillId="0" borderId="43" xfId="0" applyNumberFormat="1" applyFont="1" applyFill="1" applyBorder="1" applyAlignment="1" applyProtection="1">
      <alignment horizontal="center" vertical="center" wrapText="1"/>
      <protection/>
    </xf>
    <xf numFmtId="0" fontId="0" fillId="0" borderId="44" xfId="0" applyBorder="1" applyAlignment="1">
      <alignment/>
    </xf>
    <xf numFmtId="0" fontId="0" fillId="0" borderId="45" xfId="0" applyBorder="1" applyAlignment="1">
      <alignment/>
    </xf>
    <xf numFmtId="0" fontId="23" fillId="0" borderId="46" xfId="0" applyNumberFormat="1" applyFont="1" applyFill="1" applyBorder="1" applyAlignment="1" applyProtection="1">
      <alignment horizontal="center" vertical="center" wrapText="1"/>
      <protection/>
    </xf>
    <xf numFmtId="0" fontId="0" fillId="0" borderId="47" xfId="0" applyBorder="1" applyAlignment="1">
      <alignment/>
    </xf>
    <xf numFmtId="171" fontId="23" fillId="0" borderId="46" xfId="40" applyFont="1" applyFill="1" applyBorder="1" applyAlignment="1" applyProtection="1">
      <alignment horizontal="center" vertical="center" wrapText="1"/>
      <protection/>
    </xf>
    <xf numFmtId="0" fontId="23" fillId="0" borderId="46" xfId="0" applyFont="1" applyFill="1" applyBorder="1" applyAlignment="1" applyProtection="1">
      <alignment horizontal="center" vertical="center" wrapText="1"/>
      <protection/>
    </xf>
    <xf numFmtId="4" fontId="23" fillId="0" borderId="43" xfId="0" applyNumberFormat="1" applyFont="1" applyFill="1" applyBorder="1" applyAlignment="1" applyProtection="1">
      <alignment horizontal="center" vertical="center" wrapText="1"/>
      <protection/>
    </xf>
    <xf numFmtId="4" fontId="23" fillId="0" borderId="44" xfId="0" applyNumberFormat="1" applyFont="1" applyFill="1" applyBorder="1" applyAlignment="1" applyProtection="1">
      <alignment horizontal="center" vertical="center" wrapText="1"/>
      <protection/>
    </xf>
    <xf numFmtId="4" fontId="23" fillId="0" borderId="48" xfId="0" applyNumberFormat="1" applyFont="1" applyFill="1" applyBorder="1" applyAlignment="1" applyProtection="1">
      <alignment horizontal="center" vertical="center" wrapText="1"/>
      <protection/>
    </xf>
    <xf numFmtId="184" fontId="23" fillId="0" borderId="46" xfId="0" applyNumberFormat="1" applyFont="1" applyFill="1" applyBorder="1" applyAlignment="1" applyProtection="1">
      <alignment horizontal="center" vertical="center" wrapText="1"/>
      <protection/>
    </xf>
    <xf numFmtId="0" fontId="13" fillId="33" borderId="12" xfId="0" applyFont="1" applyFill="1" applyBorder="1" applyAlignment="1">
      <alignment horizontal="center" vertical="center"/>
    </xf>
    <xf numFmtId="0" fontId="23" fillId="0" borderId="46" xfId="0" applyNumberFormat="1" applyFont="1" applyFill="1" applyBorder="1" applyAlignment="1">
      <alignment horizontal="center" vertical="center" wrapText="1"/>
    </xf>
    <xf numFmtId="0" fontId="23" fillId="0" borderId="47" xfId="0" applyNumberFormat="1" applyFont="1" applyFill="1" applyBorder="1" applyAlignment="1">
      <alignment horizontal="center" vertical="center" wrapText="1"/>
    </xf>
    <xf numFmtId="0" fontId="23" fillId="0" borderId="47" xfId="0" applyNumberFormat="1" applyFont="1" applyFill="1" applyBorder="1" applyAlignment="1" applyProtection="1">
      <alignment horizontal="center" vertical="center" wrapText="1"/>
      <protection/>
    </xf>
    <xf numFmtId="0" fontId="23" fillId="0" borderId="43" xfId="0" applyNumberFormat="1" applyFont="1" applyFill="1" applyBorder="1" applyAlignment="1" applyProtection="1">
      <alignment horizontal="center" vertical="center" wrapText="1"/>
      <protection/>
    </xf>
    <xf numFmtId="0" fontId="23" fillId="0" borderId="48" xfId="0" applyNumberFormat="1" applyFont="1" applyFill="1" applyBorder="1" applyAlignment="1" applyProtection="1">
      <alignment horizontal="center" vertical="center" wrapText="1"/>
      <protection/>
    </xf>
    <xf numFmtId="192" fontId="23" fillId="0" borderId="49" xfId="0" applyNumberFormat="1" applyFont="1" applyFill="1" applyBorder="1" applyAlignment="1" applyProtection="1">
      <alignment horizontal="center" vertical="center" wrapText="1"/>
      <protection/>
    </xf>
    <xf numFmtId="192" fontId="23" fillId="0" borderId="50" xfId="0" applyNumberFormat="1" applyFont="1" applyFill="1" applyBorder="1" applyAlignment="1" applyProtection="1">
      <alignment horizontal="center" vertical="center" wrapText="1"/>
      <protection/>
    </xf>
    <xf numFmtId="0" fontId="26" fillId="36" borderId="42" xfId="0" applyFont="1" applyFill="1" applyBorder="1" applyAlignment="1">
      <alignment horizontal="center" vertical="center" wrapText="1"/>
    </xf>
    <xf numFmtId="0" fontId="37" fillId="0" borderId="51" xfId="0" applyFont="1" applyFill="1" applyBorder="1" applyAlignment="1" applyProtection="1">
      <alignment horizontal="center" vertical="center" wrapText="1"/>
      <protection/>
    </xf>
    <xf numFmtId="0" fontId="10" fillId="0" borderId="11" xfId="0" applyFont="1" applyBorder="1" applyAlignment="1">
      <alignment horizontal="center" vertical="center"/>
    </xf>
    <xf numFmtId="0" fontId="37" fillId="0" borderId="51" xfId="0" applyNumberFormat="1" applyFont="1" applyFill="1" applyBorder="1" applyAlignment="1" applyProtection="1">
      <alignment horizontal="center" vertical="center" wrapText="1"/>
      <protection/>
    </xf>
    <xf numFmtId="0" fontId="47" fillId="36" borderId="42" xfId="0" applyFont="1" applyFill="1" applyBorder="1" applyAlignment="1">
      <alignment horizontal="center" vertical="center" wrapText="1"/>
    </xf>
    <xf numFmtId="0" fontId="49" fillId="36" borderId="42" xfId="0" applyFont="1" applyFill="1" applyBorder="1" applyAlignment="1">
      <alignment vertical="center" wrapText="1"/>
    </xf>
    <xf numFmtId="0" fontId="10" fillId="36" borderId="42" xfId="0" applyFont="1" applyFill="1" applyBorder="1" applyAlignment="1">
      <alignment wrapText="1"/>
    </xf>
    <xf numFmtId="0" fontId="10" fillId="36" borderId="42" xfId="0" applyFont="1" applyFill="1" applyBorder="1" applyAlignment="1">
      <alignment wrapText="1"/>
    </xf>
    <xf numFmtId="0" fontId="0" fillId="0" borderId="0" xfId="0" applyBorder="1" applyAlignment="1">
      <alignment horizontal="right" vertical="center" wrapText="1"/>
    </xf>
    <xf numFmtId="171" fontId="37" fillId="0" borderId="52" xfId="40" applyFont="1" applyFill="1" applyBorder="1" applyAlignment="1" applyProtection="1">
      <alignment horizontal="center" vertical="center" wrapText="1"/>
      <protection/>
    </xf>
    <xf numFmtId="0" fontId="10" fillId="0" borderId="53" xfId="0" applyFont="1" applyBorder="1" applyAlignment="1">
      <alignment horizontal="center" vertical="center"/>
    </xf>
    <xf numFmtId="184" fontId="37" fillId="0" borderId="51" xfId="0" applyNumberFormat="1" applyFont="1" applyFill="1" applyBorder="1" applyAlignment="1" applyProtection="1">
      <alignment horizontal="center" vertical="center" wrapText="1"/>
      <protection/>
    </xf>
    <xf numFmtId="184" fontId="10" fillId="0" borderId="11" xfId="0" applyNumberFormat="1" applyFont="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vertical="center" wrapText="1"/>
    </xf>
    <xf numFmtId="0" fontId="37" fillId="0" borderId="46" xfId="0" applyNumberFormat="1" applyFont="1" applyFill="1" applyBorder="1" applyAlignment="1" applyProtection="1">
      <alignment horizontal="center" vertical="center" wrapText="1"/>
      <protection/>
    </xf>
    <xf numFmtId="0" fontId="10" fillId="0" borderId="47" xfId="0" applyFont="1" applyBorder="1" applyAlignment="1">
      <alignment horizontal="center" vertical="center" wrapText="1"/>
    </xf>
    <xf numFmtId="4" fontId="37" fillId="0" borderId="51" xfId="0" applyNumberFormat="1" applyFont="1" applyFill="1" applyBorder="1" applyAlignment="1" applyProtection="1">
      <alignment horizontal="center" vertical="center" wrapText="1"/>
      <protection/>
    </xf>
    <xf numFmtId="181" fontId="37" fillId="0" borderId="51" xfId="0" applyNumberFormat="1" applyFont="1" applyFill="1" applyBorder="1" applyAlignment="1" applyProtection="1">
      <alignment horizontal="center" vertical="center" wrapText="1"/>
      <protection/>
    </xf>
    <xf numFmtId="181" fontId="37" fillId="0" borderId="54" xfId="0" applyNumberFormat="1" applyFont="1" applyFill="1" applyBorder="1" applyAlignment="1" applyProtection="1">
      <alignment horizontal="center" vertical="center" wrapText="1"/>
      <protection/>
    </xf>
    <xf numFmtId="0" fontId="30"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12" fillId="34" borderId="32" xfId="0" applyNumberFormat="1" applyFon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xf numFmtId="0" fontId="45" fillId="34" borderId="32"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476250</xdr:colOff>
      <xdr:row>0</xdr:row>
      <xdr:rowOff>1066800</xdr:rowOff>
    </xdr:to>
    <xdr:sp>
      <xdr:nvSpPr>
        <xdr:cNvPr id="1" name="Text Box 1"/>
        <xdr:cNvSpPr txBox="1">
          <a:spLocks noChangeArrowheads="1"/>
        </xdr:cNvSpPr>
      </xdr:nvSpPr>
      <xdr:spPr>
        <a:xfrm>
          <a:off x="0" y="19050"/>
          <a:ext cx="15592425"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1944350" y="466725"/>
          <a:ext cx="35718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37
</a:t>
          </a:r>
          <a:r>
            <a:rPr lang="en-US" cap="none" sz="1600" b="0" i="0" u="none" baseline="0">
              <a:solidFill>
                <a:srgbClr val="FFFFFF"/>
              </a:solidFill>
              <a:latin typeface="Impact"/>
              <a:ea typeface="Impact"/>
              <a:cs typeface="Impact"/>
            </a:rPr>
            <a:t>12-18 September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40</xdr:row>
      <xdr:rowOff>0</xdr:rowOff>
    </xdr:from>
    <xdr:to>
      <xdr:col>13</xdr:col>
      <xdr:colOff>504825</xdr:colOff>
      <xdr:row>42</xdr:row>
      <xdr:rowOff>95250</xdr:rowOff>
    </xdr:to>
    <xdr:sp>
      <xdr:nvSpPr>
        <xdr:cNvPr id="1" name="Text Box 2"/>
        <xdr:cNvSpPr txBox="1">
          <a:spLocks noChangeArrowheads="1"/>
        </xdr:cNvSpPr>
      </xdr:nvSpPr>
      <xdr:spPr>
        <a:xfrm>
          <a:off x="76200" y="7972425"/>
          <a:ext cx="8458200" cy="4762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44"/>
  <sheetViews>
    <sheetView showGridLines="0" tabSelected="1" zoomScale="70" zoomScaleNormal="7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5.28125" style="26" bestFit="1" customWidth="1"/>
    <col min="2" max="2" width="58.28125" style="4" bestFit="1" customWidth="1"/>
    <col min="3" max="3" width="11.28125" style="12" customWidth="1"/>
    <col min="4" max="4" width="16.00390625" style="15" customWidth="1"/>
    <col min="5" max="5" width="30.28125" style="15" bestFit="1" customWidth="1"/>
    <col min="6" max="6" width="8.28125" style="6" customWidth="1"/>
    <col min="7" max="7" width="10.421875" style="6" customWidth="1"/>
    <col min="8" max="8" width="12.140625" style="6" customWidth="1"/>
    <col min="9" max="9" width="15.7109375" style="101" bestFit="1" customWidth="1"/>
    <col min="10" max="10" width="10.28125" style="245" bestFit="1" customWidth="1"/>
    <col min="11" max="11" width="11.140625" style="245" customWidth="1"/>
    <col min="12" max="12" width="11.00390625" style="22" customWidth="1"/>
    <col min="13" max="13" width="14.421875" style="105" customWidth="1"/>
    <col min="14" max="14" width="12.140625" style="110" bestFit="1" customWidth="1"/>
    <col min="15" max="15" width="9.140625" style="22" customWidth="1"/>
    <col min="16" max="16" width="3.00390625" style="320" bestFit="1" customWidth="1"/>
    <col min="17" max="16384" width="9.140625" style="4" customWidth="1"/>
  </cols>
  <sheetData>
    <row r="1" spans="1:16" s="2" customFormat="1" ht="90.75" customHeight="1">
      <c r="A1" s="25"/>
      <c r="B1" s="1"/>
      <c r="C1" s="10"/>
      <c r="D1" s="13"/>
      <c r="E1" s="13"/>
      <c r="F1" s="5"/>
      <c r="G1" s="5"/>
      <c r="H1" s="5"/>
      <c r="I1" s="98"/>
      <c r="J1" s="241"/>
      <c r="K1" s="241"/>
      <c r="L1" s="20"/>
      <c r="M1" s="103"/>
      <c r="N1" s="108"/>
      <c r="O1" s="20"/>
      <c r="P1" s="320"/>
    </row>
    <row r="2" spans="1:16" s="9" customFormat="1" ht="27.75" thickBot="1">
      <c r="A2" s="489" t="s">
        <v>222</v>
      </c>
      <c r="B2" s="490"/>
      <c r="C2" s="490"/>
      <c r="D2" s="490"/>
      <c r="E2" s="490"/>
      <c r="F2" s="490"/>
      <c r="G2" s="490"/>
      <c r="H2" s="490"/>
      <c r="I2" s="490"/>
      <c r="J2" s="490"/>
      <c r="K2" s="490"/>
      <c r="L2" s="490"/>
      <c r="M2" s="490"/>
      <c r="N2" s="490"/>
      <c r="O2" s="490"/>
      <c r="P2" s="320"/>
    </row>
    <row r="3" spans="1:16" s="160" customFormat="1" ht="16.5">
      <c r="A3" s="28"/>
      <c r="B3" s="496" t="s">
        <v>433</v>
      </c>
      <c r="C3" s="501" t="s">
        <v>131</v>
      </c>
      <c r="D3" s="497" t="s">
        <v>40</v>
      </c>
      <c r="E3" s="497" t="s">
        <v>39</v>
      </c>
      <c r="F3" s="494" t="s">
        <v>132</v>
      </c>
      <c r="G3" s="494" t="s">
        <v>139</v>
      </c>
      <c r="H3" s="494" t="s">
        <v>141</v>
      </c>
      <c r="I3" s="498" t="s">
        <v>133</v>
      </c>
      <c r="J3" s="499"/>
      <c r="K3" s="499"/>
      <c r="L3" s="500"/>
      <c r="M3" s="491" t="s">
        <v>134</v>
      </c>
      <c r="N3" s="492"/>
      <c r="O3" s="493"/>
      <c r="P3" s="321"/>
    </row>
    <row r="4" spans="1:16" s="160" customFormat="1" ht="43.5" thickBot="1">
      <c r="A4" s="115"/>
      <c r="B4" s="495"/>
      <c r="C4" s="495"/>
      <c r="D4" s="495"/>
      <c r="E4" s="495"/>
      <c r="F4" s="495"/>
      <c r="G4" s="495"/>
      <c r="H4" s="495"/>
      <c r="I4" s="266" t="s">
        <v>135</v>
      </c>
      <c r="J4" s="161" t="s">
        <v>136</v>
      </c>
      <c r="K4" s="161" t="s">
        <v>377</v>
      </c>
      <c r="L4" s="59" t="s">
        <v>137</v>
      </c>
      <c r="M4" s="266" t="s">
        <v>135</v>
      </c>
      <c r="N4" s="161" t="s">
        <v>136</v>
      </c>
      <c r="O4" s="60" t="s">
        <v>138</v>
      </c>
      <c r="P4" s="321"/>
    </row>
    <row r="5" spans="1:16" s="3" customFormat="1" ht="15">
      <c r="A5" s="83">
        <v>1</v>
      </c>
      <c r="B5" s="118" t="s">
        <v>589</v>
      </c>
      <c r="C5" s="394">
        <v>39703</v>
      </c>
      <c r="D5" s="408" t="s">
        <v>50</v>
      </c>
      <c r="E5" s="300" t="s">
        <v>44</v>
      </c>
      <c r="F5" s="120">
        <v>63</v>
      </c>
      <c r="G5" s="120">
        <v>65</v>
      </c>
      <c r="H5" s="120">
        <v>1</v>
      </c>
      <c r="I5" s="458">
        <v>274289</v>
      </c>
      <c r="J5" s="411">
        <v>28733</v>
      </c>
      <c r="K5" s="409">
        <f aca="true" t="shared" si="0" ref="K5:K14">J5/G5</f>
        <v>442.04615384615386</v>
      </c>
      <c r="L5" s="410">
        <f>I5/J5</f>
        <v>9.54613162565691</v>
      </c>
      <c r="M5" s="445">
        <v>274289</v>
      </c>
      <c r="N5" s="411">
        <v>28733</v>
      </c>
      <c r="O5" s="412">
        <f>M5/N5</f>
        <v>9.54613162565691</v>
      </c>
      <c r="P5" s="232"/>
    </row>
    <row r="6" spans="1:16" s="3" customFormat="1" ht="15">
      <c r="A6" s="83">
        <v>2</v>
      </c>
      <c r="B6" s="56" t="s">
        <v>590</v>
      </c>
      <c r="C6" s="347">
        <v>39703</v>
      </c>
      <c r="D6" s="48" t="s">
        <v>165</v>
      </c>
      <c r="E6" s="48" t="s">
        <v>165</v>
      </c>
      <c r="F6" s="76">
        <v>54</v>
      </c>
      <c r="G6" s="76">
        <v>54</v>
      </c>
      <c r="H6" s="76">
        <v>1</v>
      </c>
      <c r="I6" s="459">
        <v>264540</v>
      </c>
      <c r="J6" s="211">
        <v>25715</v>
      </c>
      <c r="K6" s="206">
        <f t="shared" si="0"/>
        <v>476.2037037037037</v>
      </c>
      <c r="L6" s="207">
        <f>I6/J6</f>
        <v>10.287380906085943</v>
      </c>
      <c r="M6" s="213">
        <v>264540</v>
      </c>
      <c r="N6" s="211">
        <v>25715</v>
      </c>
      <c r="O6" s="218">
        <f>+M6/N6</f>
        <v>10.287380906085943</v>
      </c>
      <c r="P6" s="232"/>
    </row>
    <row r="7" spans="1:16" s="3" customFormat="1" ht="15">
      <c r="A7" s="308">
        <v>3</v>
      </c>
      <c r="B7" s="425" t="s">
        <v>5</v>
      </c>
      <c r="C7" s="426">
        <v>39689</v>
      </c>
      <c r="D7" s="427" t="s">
        <v>41</v>
      </c>
      <c r="E7" s="428" t="s">
        <v>140</v>
      </c>
      <c r="F7" s="429">
        <v>87</v>
      </c>
      <c r="G7" s="429">
        <v>80</v>
      </c>
      <c r="H7" s="429">
        <v>3</v>
      </c>
      <c r="I7" s="471">
        <v>146403</v>
      </c>
      <c r="J7" s="432">
        <v>16216</v>
      </c>
      <c r="K7" s="430">
        <f t="shared" si="0"/>
        <v>202.7</v>
      </c>
      <c r="L7" s="431">
        <f>I7/J7</f>
        <v>9.028305377405031</v>
      </c>
      <c r="M7" s="472">
        <f>412827+260944+146403</f>
        <v>820174</v>
      </c>
      <c r="N7" s="432">
        <f>45777+28195+16216</f>
        <v>90188</v>
      </c>
      <c r="O7" s="433">
        <f>+M7/N7</f>
        <v>9.09404798864594</v>
      </c>
      <c r="P7" s="232"/>
    </row>
    <row r="8" spans="1:16" s="3" customFormat="1" ht="15">
      <c r="A8" s="84">
        <v>4</v>
      </c>
      <c r="B8" s="417" t="s">
        <v>569</v>
      </c>
      <c r="C8" s="233">
        <v>39696</v>
      </c>
      <c r="D8" s="418" t="s">
        <v>570</v>
      </c>
      <c r="E8" s="418" t="s">
        <v>570</v>
      </c>
      <c r="F8" s="419">
        <v>50</v>
      </c>
      <c r="G8" s="419">
        <v>50</v>
      </c>
      <c r="H8" s="419">
        <v>2</v>
      </c>
      <c r="I8" s="469">
        <v>145419</v>
      </c>
      <c r="J8" s="423">
        <v>12254</v>
      </c>
      <c r="K8" s="421">
        <f t="shared" si="0"/>
        <v>245.08</v>
      </c>
      <c r="L8" s="422">
        <f>I8/J8</f>
        <v>11.86706381589685</v>
      </c>
      <c r="M8" s="470">
        <v>411946</v>
      </c>
      <c r="N8" s="423">
        <v>34681</v>
      </c>
      <c r="O8" s="424">
        <f>+M8/N8</f>
        <v>11.878146535567025</v>
      </c>
      <c r="P8" s="232"/>
    </row>
    <row r="9" spans="1:16" s="7" customFormat="1" ht="15">
      <c r="A9" s="83">
        <v>5</v>
      </c>
      <c r="B9" s="350" t="s">
        <v>6</v>
      </c>
      <c r="C9" s="444">
        <v>39689</v>
      </c>
      <c r="D9" s="450" t="s">
        <v>42</v>
      </c>
      <c r="E9" s="450" t="s">
        <v>217</v>
      </c>
      <c r="F9" s="451">
        <v>127</v>
      </c>
      <c r="G9" s="451">
        <v>126</v>
      </c>
      <c r="H9" s="451">
        <v>3</v>
      </c>
      <c r="I9" s="461">
        <v>142703</v>
      </c>
      <c r="J9" s="441">
        <v>17547</v>
      </c>
      <c r="K9" s="441">
        <f t="shared" si="0"/>
        <v>139.26190476190476</v>
      </c>
      <c r="L9" s="440">
        <f>+I9/J9</f>
        <v>8.132615261868125</v>
      </c>
      <c r="M9" s="440">
        <v>739253</v>
      </c>
      <c r="N9" s="441">
        <v>92095</v>
      </c>
      <c r="O9" s="446">
        <f>+M9/N9</f>
        <v>8.02706987350019</v>
      </c>
      <c r="P9" s="232"/>
    </row>
    <row r="10" spans="1:16" s="7" customFormat="1" ht="15">
      <c r="A10" s="83">
        <v>6</v>
      </c>
      <c r="B10" s="56" t="s">
        <v>571</v>
      </c>
      <c r="C10" s="42">
        <v>39696</v>
      </c>
      <c r="D10" s="46" t="s">
        <v>414</v>
      </c>
      <c r="E10" s="46" t="s">
        <v>414</v>
      </c>
      <c r="F10" s="43">
        <v>48</v>
      </c>
      <c r="G10" s="43">
        <v>48</v>
      </c>
      <c r="H10" s="43">
        <v>2</v>
      </c>
      <c r="I10" s="462">
        <v>119856.5</v>
      </c>
      <c r="J10" s="189">
        <v>12596</v>
      </c>
      <c r="K10" s="206">
        <f t="shared" si="0"/>
        <v>262.4166666666667</v>
      </c>
      <c r="L10" s="207">
        <f>I10/J10</f>
        <v>9.51544140997142</v>
      </c>
      <c r="M10" s="191">
        <f>186468.5+119856.5</f>
        <v>306325</v>
      </c>
      <c r="N10" s="189">
        <f>19349+12596</f>
        <v>31945</v>
      </c>
      <c r="O10" s="218">
        <f>+M10/N10</f>
        <v>9.589137580215997</v>
      </c>
      <c r="P10" s="232"/>
    </row>
    <row r="11" spans="1:16" s="7" customFormat="1" ht="15">
      <c r="A11" s="83">
        <v>7</v>
      </c>
      <c r="B11" s="56" t="s">
        <v>420</v>
      </c>
      <c r="C11" s="42">
        <v>39682</v>
      </c>
      <c r="D11" s="47" t="s">
        <v>50</v>
      </c>
      <c r="E11" s="46" t="s">
        <v>44</v>
      </c>
      <c r="F11" s="43">
        <v>57</v>
      </c>
      <c r="G11" s="43">
        <v>57</v>
      </c>
      <c r="H11" s="43">
        <v>4</v>
      </c>
      <c r="I11" s="460">
        <v>92465</v>
      </c>
      <c r="J11" s="200">
        <v>13094</v>
      </c>
      <c r="K11" s="206">
        <f t="shared" si="0"/>
        <v>229.71929824561403</v>
      </c>
      <c r="L11" s="207">
        <f>I11/J11</f>
        <v>7.0616312815029785</v>
      </c>
      <c r="M11" s="199">
        <f>250521.5+215776.5+154982+92465</f>
        <v>713745</v>
      </c>
      <c r="N11" s="200">
        <f>27427+24071+17303+13094</f>
        <v>81895</v>
      </c>
      <c r="O11" s="218">
        <f>M11/N11</f>
        <v>8.715367238537151</v>
      </c>
      <c r="P11" s="232"/>
    </row>
    <row r="12" spans="1:16" s="7" customFormat="1" ht="15">
      <c r="A12" s="83">
        <v>8</v>
      </c>
      <c r="B12" s="447" t="s">
        <v>606</v>
      </c>
      <c r="C12" s="42">
        <v>39703</v>
      </c>
      <c r="D12" s="87" t="s">
        <v>42</v>
      </c>
      <c r="E12" s="87" t="s">
        <v>152</v>
      </c>
      <c r="F12" s="43">
        <v>48</v>
      </c>
      <c r="G12" s="43">
        <v>48</v>
      </c>
      <c r="H12" s="43">
        <v>1</v>
      </c>
      <c r="I12" s="462">
        <v>82632</v>
      </c>
      <c r="J12" s="443">
        <v>8428</v>
      </c>
      <c r="K12" s="443">
        <f t="shared" si="0"/>
        <v>175.58333333333334</v>
      </c>
      <c r="L12" s="442">
        <f>+I12/J12</f>
        <v>9.804461319411486</v>
      </c>
      <c r="M12" s="442">
        <v>82632</v>
      </c>
      <c r="N12" s="443">
        <v>8428</v>
      </c>
      <c r="O12" s="448">
        <f>+M12/N12</f>
        <v>9.804461319411486</v>
      </c>
      <c r="P12" s="232"/>
    </row>
    <row r="13" spans="1:16" s="7" customFormat="1" ht="15">
      <c r="A13" s="83">
        <v>9</v>
      </c>
      <c r="B13" s="55" t="s">
        <v>591</v>
      </c>
      <c r="C13" s="41">
        <v>39703</v>
      </c>
      <c r="D13" s="44" t="s">
        <v>223</v>
      </c>
      <c r="E13" s="44" t="s">
        <v>592</v>
      </c>
      <c r="F13" s="58">
        <v>78</v>
      </c>
      <c r="G13" s="58">
        <v>77</v>
      </c>
      <c r="H13" s="58">
        <v>1</v>
      </c>
      <c r="I13" s="463">
        <v>61188.5</v>
      </c>
      <c r="J13" s="264">
        <v>7217</v>
      </c>
      <c r="K13" s="206">
        <f t="shared" si="0"/>
        <v>93.72727272727273</v>
      </c>
      <c r="L13" s="388">
        <f>I13/J13</f>
        <v>8.47838437023694</v>
      </c>
      <c r="M13" s="263">
        <v>61188.5</v>
      </c>
      <c r="N13" s="264">
        <v>7217</v>
      </c>
      <c r="O13" s="389">
        <f>+M13/N13</f>
        <v>8.47838437023694</v>
      </c>
      <c r="P13" s="232"/>
    </row>
    <row r="14" spans="1:16" s="7" customFormat="1" ht="15">
      <c r="A14" s="83">
        <v>10</v>
      </c>
      <c r="B14" s="447" t="s">
        <v>607</v>
      </c>
      <c r="C14" s="42">
        <v>39661</v>
      </c>
      <c r="D14" s="87" t="s">
        <v>42</v>
      </c>
      <c r="E14" s="87" t="s">
        <v>47</v>
      </c>
      <c r="F14" s="43">
        <v>148</v>
      </c>
      <c r="G14" s="43">
        <v>87</v>
      </c>
      <c r="H14" s="43">
        <v>7</v>
      </c>
      <c r="I14" s="462">
        <v>50535</v>
      </c>
      <c r="J14" s="443">
        <v>8739</v>
      </c>
      <c r="K14" s="443">
        <f t="shared" si="0"/>
        <v>100.44827586206897</v>
      </c>
      <c r="L14" s="442">
        <f>+I14/J14</f>
        <v>5.7826982492276</v>
      </c>
      <c r="M14" s="442">
        <v>3348665</v>
      </c>
      <c r="N14" s="443">
        <v>433034</v>
      </c>
      <c r="O14" s="448">
        <f>+M14/N14</f>
        <v>7.733030200861826</v>
      </c>
      <c r="P14" s="232"/>
    </row>
    <row r="15" spans="1:16" s="7" customFormat="1" ht="15">
      <c r="A15" s="83">
        <v>11</v>
      </c>
      <c r="B15" s="55" t="s">
        <v>114</v>
      </c>
      <c r="C15" s="41">
        <v>39647</v>
      </c>
      <c r="D15" s="44" t="s">
        <v>81</v>
      </c>
      <c r="E15" s="44" t="s">
        <v>290</v>
      </c>
      <c r="F15" s="63">
        <v>108</v>
      </c>
      <c r="G15" s="63">
        <v>55</v>
      </c>
      <c r="H15" s="63">
        <v>9</v>
      </c>
      <c r="I15" s="464">
        <v>48263</v>
      </c>
      <c r="J15" s="206">
        <v>5511</v>
      </c>
      <c r="K15" s="194">
        <f>IF(I15&lt;&gt;0,J15/G15,"")</f>
        <v>100.2</v>
      </c>
      <c r="L15" s="195">
        <f>IF(I15&lt;&gt;0,I15/J15,"")</f>
        <v>8.757575757575758</v>
      </c>
      <c r="M15" s="196">
        <f>1222515+828853.5+616915.5+465273+341230+269480+214782+33294.5+48263</f>
        <v>4040606.5</v>
      </c>
      <c r="N15" s="189">
        <f>124195+81105+60538+46526+36523+29809+22690+5484+5511</f>
        <v>412381</v>
      </c>
      <c r="O15" s="216">
        <f>IF(M15&lt;&gt;0,M15/N15,"")</f>
        <v>9.798236339695572</v>
      </c>
      <c r="P15" s="232"/>
    </row>
    <row r="16" spans="1:16" s="7" customFormat="1" ht="15">
      <c r="A16" s="83">
        <v>12</v>
      </c>
      <c r="B16" s="55" t="s">
        <v>593</v>
      </c>
      <c r="C16" s="41">
        <v>39703</v>
      </c>
      <c r="D16" s="44" t="s">
        <v>81</v>
      </c>
      <c r="E16" s="44" t="s">
        <v>562</v>
      </c>
      <c r="F16" s="63">
        <v>15</v>
      </c>
      <c r="G16" s="63">
        <v>15</v>
      </c>
      <c r="H16" s="63">
        <v>1</v>
      </c>
      <c r="I16" s="464">
        <v>44094</v>
      </c>
      <c r="J16" s="206">
        <v>4314</v>
      </c>
      <c r="K16" s="194">
        <f>IF(I16&lt;&gt;0,J16/G16,"")</f>
        <v>287.6</v>
      </c>
      <c r="L16" s="195">
        <f>IF(I16&lt;&gt;0,I16/J16,"")</f>
        <v>10.221140472878998</v>
      </c>
      <c r="M16" s="196">
        <v>44094</v>
      </c>
      <c r="N16" s="189">
        <v>4314</v>
      </c>
      <c r="O16" s="216">
        <f>IF(M16&lt;&gt;0,M16/N16,"")</f>
        <v>10.221140472878998</v>
      </c>
      <c r="P16" s="232"/>
    </row>
    <row r="17" spans="1:16" s="7" customFormat="1" ht="15">
      <c r="A17" s="83">
        <v>13</v>
      </c>
      <c r="B17" s="55" t="s">
        <v>171</v>
      </c>
      <c r="C17" s="41">
        <v>39654</v>
      </c>
      <c r="D17" s="45" t="s">
        <v>41</v>
      </c>
      <c r="E17" s="44" t="s">
        <v>140</v>
      </c>
      <c r="F17" s="63">
        <v>158</v>
      </c>
      <c r="G17" s="63">
        <v>34</v>
      </c>
      <c r="H17" s="63">
        <v>8</v>
      </c>
      <c r="I17" s="460">
        <v>38515</v>
      </c>
      <c r="J17" s="200">
        <v>4468</v>
      </c>
      <c r="K17" s="206">
        <f>J17/G17</f>
        <v>131.41176470588235</v>
      </c>
      <c r="L17" s="207">
        <f>I17/J17</f>
        <v>8.62018800358102</v>
      </c>
      <c r="M17" s="199">
        <f>1499167+765833+498798+219+345996+180620+120657+85001+38515</f>
        <v>3534806</v>
      </c>
      <c r="N17" s="200">
        <f>168641+87154+58708+22+41361+24139+15950+10313+4468</f>
        <v>410756</v>
      </c>
      <c r="O17" s="218">
        <f>+M17/N17</f>
        <v>8.60561014324806</v>
      </c>
      <c r="P17" s="232"/>
    </row>
    <row r="18" spans="1:16" s="7" customFormat="1" ht="15">
      <c r="A18" s="83">
        <v>14</v>
      </c>
      <c r="B18" s="55" t="s">
        <v>573</v>
      </c>
      <c r="C18" s="41">
        <v>39696</v>
      </c>
      <c r="D18" s="44" t="s">
        <v>223</v>
      </c>
      <c r="E18" s="44" t="s">
        <v>574</v>
      </c>
      <c r="F18" s="58">
        <v>9</v>
      </c>
      <c r="G18" s="58">
        <v>9</v>
      </c>
      <c r="H18" s="58">
        <v>2</v>
      </c>
      <c r="I18" s="463">
        <v>34847.5</v>
      </c>
      <c r="J18" s="264">
        <v>2949</v>
      </c>
      <c r="K18" s="206">
        <f>J18/G18</f>
        <v>327.6666666666667</v>
      </c>
      <c r="L18" s="388">
        <f>I18/J18</f>
        <v>11.816717531366566</v>
      </c>
      <c r="M18" s="263">
        <v>92038.63</v>
      </c>
      <c r="N18" s="264">
        <v>8050</v>
      </c>
      <c r="O18" s="389">
        <f>+M18/N18</f>
        <v>11.433370186335404</v>
      </c>
      <c r="P18" s="232"/>
    </row>
    <row r="19" spans="1:16" s="7" customFormat="1" ht="15">
      <c r="A19" s="83">
        <v>15</v>
      </c>
      <c r="B19" s="55" t="s">
        <v>538</v>
      </c>
      <c r="C19" s="41">
        <v>39675</v>
      </c>
      <c r="D19" s="45" t="s">
        <v>41</v>
      </c>
      <c r="E19" s="44" t="s">
        <v>46</v>
      </c>
      <c r="F19" s="63">
        <v>51</v>
      </c>
      <c r="G19" s="63">
        <v>40</v>
      </c>
      <c r="H19" s="63">
        <v>5</v>
      </c>
      <c r="I19" s="460">
        <v>33126</v>
      </c>
      <c r="J19" s="200">
        <v>5430</v>
      </c>
      <c r="K19" s="206">
        <f>J19/G19</f>
        <v>135.75</v>
      </c>
      <c r="L19" s="207">
        <f>I19/J19</f>
        <v>6.100552486187845</v>
      </c>
      <c r="M19" s="199">
        <f>3571+334271+201561+123971+75809+33126</f>
        <v>772309</v>
      </c>
      <c r="N19" s="200">
        <f>196+34368+21371+13150+10970+5430</f>
        <v>85485</v>
      </c>
      <c r="O19" s="218">
        <f>+M19/N19</f>
        <v>9.03443879043107</v>
      </c>
      <c r="P19" s="232"/>
    </row>
    <row r="20" spans="1:16" s="7" customFormat="1" ht="15">
      <c r="A20" s="83">
        <v>16</v>
      </c>
      <c r="B20" s="62" t="s">
        <v>594</v>
      </c>
      <c r="C20" s="41">
        <v>39703</v>
      </c>
      <c r="D20" s="47" t="s">
        <v>468</v>
      </c>
      <c r="E20" s="47" t="s">
        <v>550</v>
      </c>
      <c r="F20" s="58">
        <v>5</v>
      </c>
      <c r="G20" s="58">
        <v>5</v>
      </c>
      <c r="H20" s="58">
        <v>1</v>
      </c>
      <c r="I20" s="460">
        <v>31142</v>
      </c>
      <c r="J20" s="200">
        <v>2590</v>
      </c>
      <c r="K20" s="194">
        <f>+J20/G20</f>
        <v>518</v>
      </c>
      <c r="L20" s="195">
        <f>+I20/J20</f>
        <v>12.023938223938224</v>
      </c>
      <c r="M20" s="199">
        <v>31142</v>
      </c>
      <c r="N20" s="200">
        <v>2590</v>
      </c>
      <c r="O20" s="216">
        <f>+M20/N20</f>
        <v>12.023938223938224</v>
      </c>
      <c r="P20" s="232"/>
    </row>
    <row r="21" spans="1:16" s="7" customFormat="1" ht="15">
      <c r="A21" s="83">
        <v>17</v>
      </c>
      <c r="B21" s="56" t="s">
        <v>534</v>
      </c>
      <c r="C21" s="42">
        <v>39668</v>
      </c>
      <c r="D21" s="47" t="s">
        <v>50</v>
      </c>
      <c r="E21" s="46" t="s">
        <v>44</v>
      </c>
      <c r="F21" s="43">
        <v>30</v>
      </c>
      <c r="G21" s="43">
        <v>31</v>
      </c>
      <c r="H21" s="43">
        <v>6</v>
      </c>
      <c r="I21" s="460">
        <v>28219</v>
      </c>
      <c r="J21" s="200">
        <v>4503</v>
      </c>
      <c r="K21" s="206">
        <f>J21/G21</f>
        <v>145.25806451612902</v>
      </c>
      <c r="L21" s="207">
        <f>I21/J21</f>
        <v>6.266711081501222</v>
      </c>
      <c r="M21" s="199">
        <f>89054.5+57486.5+37042+30101+44531+28219</f>
        <v>286434</v>
      </c>
      <c r="N21" s="200">
        <f>9455+7403+4904+5003+7318+4503</f>
        <v>38586</v>
      </c>
      <c r="O21" s="218">
        <f>M21/N21</f>
        <v>7.423262323122376</v>
      </c>
      <c r="P21" s="232">
        <v>1</v>
      </c>
    </row>
    <row r="22" spans="1:16" s="7" customFormat="1" ht="15">
      <c r="A22" s="83">
        <v>18</v>
      </c>
      <c r="B22" s="55" t="s">
        <v>75</v>
      </c>
      <c r="C22" s="41">
        <v>39675</v>
      </c>
      <c r="D22" s="44" t="s">
        <v>223</v>
      </c>
      <c r="E22" s="44" t="s">
        <v>304</v>
      </c>
      <c r="F22" s="58">
        <v>38</v>
      </c>
      <c r="G22" s="58">
        <v>37</v>
      </c>
      <c r="H22" s="58">
        <v>5</v>
      </c>
      <c r="I22" s="463">
        <v>26030.5</v>
      </c>
      <c r="J22" s="264">
        <v>3593</v>
      </c>
      <c r="K22" s="206">
        <f>J22/G22</f>
        <v>97.10810810810811</v>
      </c>
      <c r="L22" s="388">
        <f>I22/J22</f>
        <v>7.244781519621486</v>
      </c>
      <c r="M22" s="263">
        <v>475799.11</v>
      </c>
      <c r="N22" s="264">
        <v>52103</v>
      </c>
      <c r="O22" s="389">
        <f>+M22/N22</f>
        <v>9.131894708558049</v>
      </c>
      <c r="P22" s="232"/>
    </row>
    <row r="23" spans="1:16" s="7" customFormat="1" ht="15">
      <c r="A23" s="83">
        <v>19</v>
      </c>
      <c r="B23" s="350" t="s">
        <v>532</v>
      </c>
      <c r="C23" s="42">
        <v>39668</v>
      </c>
      <c r="D23" s="87" t="s">
        <v>42</v>
      </c>
      <c r="E23" s="450" t="s">
        <v>550</v>
      </c>
      <c r="F23" s="43">
        <v>51</v>
      </c>
      <c r="G23" s="43">
        <v>40</v>
      </c>
      <c r="H23" s="43">
        <v>6</v>
      </c>
      <c r="I23" s="455">
        <v>24335</v>
      </c>
      <c r="J23" s="189">
        <v>3767</v>
      </c>
      <c r="K23" s="189">
        <f>J23/G23</f>
        <v>94.175</v>
      </c>
      <c r="L23" s="190">
        <f>+I23/J23</f>
        <v>6.460047783382001</v>
      </c>
      <c r="M23" s="191">
        <v>637273</v>
      </c>
      <c r="N23" s="189">
        <v>77145</v>
      </c>
      <c r="O23" s="215">
        <f>+M23/N23</f>
        <v>8.260716831939854</v>
      </c>
      <c r="P23" s="232"/>
    </row>
    <row r="24" spans="1:16" s="7" customFormat="1" ht="15">
      <c r="A24" s="83">
        <v>20</v>
      </c>
      <c r="B24" s="62" t="s">
        <v>421</v>
      </c>
      <c r="C24" s="41">
        <v>39682</v>
      </c>
      <c r="D24" s="47" t="s">
        <v>468</v>
      </c>
      <c r="E24" s="47" t="s">
        <v>422</v>
      </c>
      <c r="F24" s="58">
        <v>32</v>
      </c>
      <c r="G24" s="58">
        <v>32</v>
      </c>
      <c r="H24" s="58">
        <v>4</v>
      </c>
      <c r="I24" s="453">
        <v>18809</v>
      </c>
      <c r="J24" s="200">
        <v>2994</v>
      </c>
      <c r="K24" s="194">
        <f>+J24/G24</f>
        <v>93.5625</v>
      </c>
      <c r="L24" s="195">
        <f>+I24/J24</f>
        <v>6.282231128924516</v>
      </c>
      <c r="M24" s="199">
        <v>269824</v>
      </c>
      <c r="N24" s="200">
        <v>29741</v>
      </c>
      <c r="O24" s="216">
        <f>+M24/N24</f>
        <v>9.072458895127937</v>
      </c>
      <c r="P24" s="232">
        <v>1</v>
      </c>
    </row>
    <row r="25" spans="1:16" s="7" customFormat="1" ht="15">
      <c r="A25" s="83">
        <v>21</v>
      </c>
      <c r="B25" s="56" t="s">
        <v>595</v>
      </c>
      <c r="C25" s="42">
        <v>39703</v>
      </c>
      <c r="D25" s="47" t="s">
        <v>50</v>
      </c>
      <c r="E25" s="46" t="s">
        <v>596</v>
      </c>
      <c r="F25" s="43">
        <v>6</v>
      </c>
      <c r="G25" s="43">
        <v>6</v>
      </c>
      <c r="H25" s="43">
        <v>1</v>
      </c>
      <c r="I25" s="453">
        <v>18453</v>
      </c>
      <c r="J25" s="200">
        <v>1896</v>
      </c>
      <c r="K25" s="206">
        <f aca="true" t="shared" si="1" ref="K25:K37">J25/G25</f>
        <v>316</v>
      </c>
      <c r="L25" s="207">
        <f>I25/J25</f>
        <v>9.73259493670886</v>
      </c>
      <c r="M25" s="199">
        <v>18453</v>
      </c>
      <c r="N25" s="200">
        <v>1896</v>
      </c>
      <c r="O25" s="218">
        <f>M25/N25</f>
        <v>9.73259493670886</v>
      </c>
      <c r="P25" s="232"/>
    </row>
    <row r="26" spans="1:16" s="7" customFormat="1" ht="15">
      <c r="A26" s="83">
        <v>22</v>
      </c>
      <c r="B26" s="350" t="s">
        <v>492</v>
      </c>
      <c r="C26" s="42">
        <v>39682</v>
      </c>
      <c r="D26" s="87" t="s">
        <v>42</v>
      </c>
      <c r="E26" s="87" t="s">
        <v>152</v>
      </c>
      <c r="F26" s="43">
        <v>21</v>
      </c>
      <c r="G26" s="43">
        <v>21</v>
      </c>
      <c r="H26" s="43">
        <v>3</v>
      </c>
      <c r="I26" s="455">
        <v>16691</v>
      </c>
      <c r="J26" s="189">
        <v>2677</v>
      </c>
      <c r="K26" s="189">
        <f t="shared" si="1"/>
        <v>127.47619047619048</v>
      </c>
      <c r="L26" s="190">
        <f>+I26/J26</f>
        <v>6.234964512514008</v>
      </c>
      <c r="M26" s="191">
        <v>194067</v>
      </c>
      <c r="N26" s="189">
        <v>20241</v>
      </c>
      <c r="O26" s="215">
        <f>+M26/N26</f>
        <v>9.587816807469986</v>
      </c>
      <c r="P26" s="232">
        <v>1</v>
      </c>
    </row>
    <row r="27" spans="1:16" s="7" customFormat="1" ht="15">
      <c r="A27" s="83">
        <v>23</v>
      </c>
      <c r="B27" s="56" t="s">
        <v>575</v>
      </c>
      <c r="C27" s="42">
        <v>39696</v>
      </c>
      <c r="D27" s="47" t="s">
        <v>50</v>
      </c>
      <c r="E27" s="46" t="s">
        <v>425</v>
      </c>
      <c r="F27" s="43">
        <v>15</v>
      </c>
      <c r="G27" s="43">
        <v>15</v>
      </c>
      <c r="H27" s="43">
        <v>2</v>
      </c>
      <c r="I27" s="453">
        <v>16502</v>
      </c>
      <c r="J27" s="200">
        <v>1830</v>
      </c>
      <c r="K27" s="206">
        <f t="shared" si="1"/>
        <v>122</v>
      </c>
      <c r="L27" s="207">
        <f aca="true" t="shared" si="2" ref="L27:L33">I27/J27</f>
        <v>9.017486338797815</v>
      </c>
      <c r="M27" s="199">
        <f>48728+16502</f>
        <v>65230</v>
      </c>
      <c r="N27" s="200">
        <f>4540+1830</f>
        <v>6370</v>
      </c>
      <c r="O27" s="218">
        <f>M27/N27</f>
        <v>10.240188383045526</v>
      </c>
      <c r="P27" s="232"/>
    </row>
    <row r="28" spans="1:16" s="7" customFormat="1" ht="15">
      <c r="A28" s="83">
        <v>24</v>
      </c>
      <c r="B28" s="56" t="s">
        <v>494</v>
      </c>
      <c r="C28" s="42">
        <v>39689</v>
      </c>
      <c r="D28" s="47" t="s">
        <v>50</v>
      </c>
      <c r="E28" s="46" t="s">
        <v>495</v>
      </c>
      <c r="F28" s="43">
        <v>20</v>
      </c>
      <c r="G28" s="43">
        <v>20</v>
      </c>
      <c r="H28" s="43">
        <v>3</v>
      </c>
      <c r="I28" s="453">
        <v>15995.5</v>
      </c>
      <c r="J28" s="200">
        <v>2008</v>
      </c>
      <c r="K28" s="206">
        <f t="shared" si="1"/>
        <v>100.4</v>
      </c>
      <c r="L28" s="207">
        <f t="shared" si="2"/>
        <v>7.965886454183267</v>
      </c>
      <c r="M28" s="199">
        <f>9050+94575.5+58004+15995.5</f>
        <v>177625</v>
      </c>
      <c r="N28" s="200">
        <f>689+8946+5338+2008</f>
        <v>16981</v>
      </c>
      <c r="O28" s="218">
        <f>M28/N28</f>
        <v>10.460220246157471</v>
      </c>
      <c r="P28" s="232"/>
    </row>
    <row r="29" spans="1:16" s="7" customFormat="1" ht="15">
      <c r="A29" s="83">
        <v>25</v>
      </c>
      <c r="B29" s="56">
        <v>120</v>
      </c>
      <c r="C29" s="42">
        <v>39493</v>
      </c>
      <c r="D29" s="46" t="s">
        <v>43</v>
      </c>
      <c r="E29" s="46" t="s">
        <v>533</v>
      </c>
      <c r="F29" s="43">
        <v>179</v>
      </c>
      <c r="G29" s="43">
        <v>8</v>
      </c>
      <c r="H29" s="43">
        <v>29</v>
      </c>
      <c r="I29" s="455">
        <v>10067</v>
      </c>
      <c r="J29" s="189">
        <v>3114</v>
      </c>
      <c r="K29" s="206">
        <f t="shared" si="1"/>
        <v>389.25</v>
      </c>
      <c r="L29" s="207">
        <f t="shared" si="2"/>
        <v>3.2328195247270393</v>
      </c>
      <c r="M29" s="191">
        <f>940515+844172.5+750489+533469+396399.5+362067.5+228159+211115.5+153941.5+48+73076.5+60280+47290.5+46690+13789+13717.5+9809+2709.5+1288.5+22597.5+10821.5+12218+7313+44774.5+111294+3629+0.5+41599.5+20470.5+5217-3719.5+10067</f>
        <v>4975309.5</v>
      </c>
      <c r="N29" s="189">
        <f>135921+127724+124508+97493+101422+99063+62455+57586+44490+6+19837+19877+15923+15427+4822+4847+3310+822+280+7405+3528+4050+2428+14923+37098+1709+6180+3303+3114</f>
        <v>1019551</v>
      </c>
      <c r="O29" s="218">
        <f aca="true" t="shared" si="3" ref="O29:O34">+M29/N29</f>
        <v>4.879902525719655</v>
      </c>
      <c r="P29" s="232"/>
    </row>
    <row r="30" spans="1:16" s="7" customFormat="1" ht="15">
      <c r="A30" s="83">
        <v>26</v>
      </c>
      <c r="B30" s="56" t="s">
        <v>491</v>
      </c>
      <c r="C30" s="42">
        <v>39682</v>
      </c>
      <c r="D30" s="46" t="s">
        <v>43</v>
      </c>
      <c r="E30" s="46" t="s">
        <v>8</v>
      </c>
      <c r="F30" s="43">
        <v>60</v>
      </c>
      <c r="G30" s="43">
        <v>45</v>
      </c>
      <c r="H30" s="43">
        <v>4</v>
      </c>
      <c r="I30" s="455">
        <v>9412.5</v>
      </c>
      <c r="J30" s="189">
        <v>1694</v>
      </c>
      <c r="K30" s="206">
        <f t="shared" si="1"/>
        <v>37.644444444444446</v>
      </c>
      <c r="L30" s="207">
        <f t="shared" si="2"/>
        <v>5.556375442739079</v>
      </c>
      <c r="M30" s="191">
        <f>111737+37434.5+11042+9412+0.5</f>
        <v>169626</v>
      </c>
      <c r="N30" s="189">
        <f>13345+4357+1377+1694</f>
        <v>20773</v>
      </c>
      <c r="O30" s="218">
        <f t="shared" si="3"/>
        <v>8.165695855196649</v>
      </c>
      <c r="P30" s="232">
        <v>1</v>
      </c>
    </row>
    <row r="31" spans="1:16" s="7" customFormat="1" ht="15">
      <c r="A31" s="83">
        <v>27</v>
      </c>
      <c r="B31" s="57" t="s">
        <v>166</v>
      </c>
      <c r="C31" s="41">
        <v>39584</v>
      </c>
      <c r="D31" s="47" t="s">
        <v>323</v>
      </c>
      <c r="E31" s="47" t="s">
        <v>323</v>
      </c>
      <c r="F31" s="64">
        <v>167</v>
      </c>
      <c r="G31" s="64" t="s">
        <v>597</v>
      </c>
      <c r="H31" s="64" t="s">
        <v>566</v>
      </c>
      <c r="I31" s="453">
        <v>9316</v>
      </c>
      <c r="J31" s="200">
        <v>1689</v>
      </c>
      <c r="K31" s="206">
        <f t="shared" si="1"/>
        <v>43.30769230769231</v>
      </c>
      <c r="L31" s="207">
        <f t="shared" si="2"/>
        <v>5.5156897572528125</v>
      </c>
      <c r="M31" s="199">
        <v>5307359.095</v>
      </c>
      <c r="N31" s="200">
        <v>713545.61</v>
      </c>
      <c r="O31" s="218">
        <f t="shared" si="3"/>
        <v>7.4380095968917805</v>
      </c>
      <c r="P31" s="232"/>
    </row>
    <row r="32" spans="1:16" s="7" customFormat="1" ht="15">
      <c r="A32" s="83">
        <v>28</v>
      </c>
      <c r="B32" s="56" t="s">
        <v>535</v>
      </c>
      <c r="C32" s="42">
        <v>39668</v>
      </c>
      <c r="D32" s="46" t="s">
        <v>414</v>
      </c>
      <c r="E32" s="46" t="s">
        <v>414</v>
      </c>
      <c r="F32" s="43">
        <v>33</v>
      </c>
      <c r="G32" s="43">
        <v>17</v>
      </c>
      <c r="H32" s="43">
        <v>6</v>
      </c>
      <c r="I32" s="455">
        <v>9239</v>
      </c>
      <c r="J32" s="189">
        <v>1643</v>
      </c>
      <c r="K32" s="206">
        <f t="shared" si="1"/>
        <v>96.6470588235294</v>
      </c>
      <c r="L32" s="207">
        <f t="shared" si="2"/>
        <v>5.623250152160682</v>
      </c>
      <c r="M32" s="191">
        <f>57923.5+37457+30660.5+23373+17370+9239</f>
        <v>176023</v>
      </c>
      <c r="N32" s="189">
        <f>6263+4058+4481+3773+2979+1643</f>
        <v>23197</v>
      </c>
      <c r="O32" s="218">
        <f t="shared" si="3"/>
        <v>7.5881795059706</v>
      </c>
      <c r="P32" s="232"/>
    </row>
    <row r="33" spans="1:16" s="7" customFormat="1" ht="15">
      <c r="A33" s="83">
        <v>29</v>
      </c>
      <c r="B33" s="55" t="s">
        <v>9</v>
      </c>
      <c r="C33" s="41">
        <v>39675</v>
      </c>
      <c r="D33" s="45" t="s">
        <v>41</v>
      </c>
      <c r="E33" s="44" t="s">
        <v>140</v>
      </c>
      <c r="F33" s="63">
        <v>99</v>
      </c>
      <c r="G33" s="63">
        <v>43</v>
      </c>
      <c r="H33" s="63">
        <v>5</v>
      </c>
      <c r="I33" s="453">
        <v>8827</v>
      </c>
      <c r="J33" s="200">
        <v>1478</v>
      </c>
      <c r="K33" s="206">
        <f t="shared" si="1"/>
        <v>34.372093023255815</v>
      </c>
      <c r="L33" s="207">
        <f t="shared" si="2"/>
        <v>5.972259810554804</v>
      </c>
      <c r="M33" s="199">
        <f>203796+107114+30031+11268+8827</f>
        <v>361036</v>
      </c>
      <c r="N33" s="200">
        <f>23580+12861+4029+1667+1478</f>
        <v>43615</v>
      </c>
      <c r="O33" s="218">
        <f t="shared" si="3"/>
        <v>8.27779433681073</v>
      </c>
      <c r="P33" s="232"/>
    </row>
    <row r="34" spans="1:16" s="7" customFormat="1" ht="15">
      <c r="A34" s="83">
        <v>30</v>
      </c>
      <c r="B34" s="350" t="s">
        <v>159</v>
      </c>
      <c r="C34" s="42">
        <v>39647</v>
      </c>
      <c r="D34" s="87" t="s">
        <v>42</v>
      </c>
      <c r="E34" s="87" t="s">
        <v>47</v>
      </c>
      <c r="F34" s="43">
        <v>45</v>
      </c>
      <c r="G34" s="43">
        <v>10</v>
      </c>
      <c r="H34" s="43">
        <v>9</v>
      </c>
      <c r="I34" s="455">
        <v>7789</v>
      </c>
      <c r="J34" s="189">
        <v>1289</v>
      </c>
      <c r="K34" s="189">
        <f t="shared" si="1"/>
        <v>128.9</v>
      </c>
      <c r="L34" s="190">
        <f>+I34/J34</f>
        <v>6.04266873545384</v>
      </c>
      <c r="M34" s="191">
        <v>846283</v>
      </c>
      <c r="N34" s="189">
        <v>91086</v>
      </c>
      <c r="O34" s="215">
        <f t="shared" si="3"/>
        <v>9.291032650462201</v>
      </c>
      <c r="P34" s="232">
        <v>1</v>
      </c>
    </row>
    <row r="35" spans="1:16" s="7" customFormat="1" ht="15">
      <c r="A35" s="83">
        <v>31</v>
      </c>
      <c r="B35" s="57" t="s">
        <v>160</v>
      </c>
      <c r="C35" s="42">
        <v>39647</v>
      </c>
      <c r="D35" s="47" t="s">
        <v>425</v>
      </c>
      <c r="E35" s="47" t="s">
        <v>50</v>
      </c>
      <c r="F35" s="88">
        <v>25</v>
      </c>
      <c r="G35" s="89">
        <v>20</v>
      </c>
      <c r="H35" s="88">
        <v>9</v>
      </c>
      <c r="I35" s="453">
        <v>7785</v>
      </c>
      <c r="J35" s="200">
        <v>1488</v>
      </c>
      <c r="K35" s="206">
        <f t="shared" si="1"/>
        <v>74.4</v>
      </c>
      <c r="L35" s="207">
        <f>I35/J35</f>
        <v>5.231854838709677</v>
      </c>
      <c r="M35" s="199">
        <v>222176</v>
      </c>
      <c r="N35" s="200">
        <v>31861</v>
      </c>
      <c r="O35" s="218">
        <f>M35/N35</f>
        <v>6.973290229434104</v>
      </c>
      <c r="P35" s="232"/>
    </row>
    <row r="36" spans="1:16" s="7" customFormat="1" ht="15">
      <c r="A36" s="83">
        <v>32</v>
      </c>
      <c r="B36" s="56" t="s">
        <v>88</v>
      </c>
      <c r="C36" s="42">
        <v>39577</v>
      </c>
      <c r="D36" s="46" t="s">
        <v>43</v>
      </c>
      <c r="E36" s="46" t="s">
        <v>89</v>
      </c>
      <c r="F36" s="43">
        <v>30</v>
      </c>
      <c r="G36" s="43">
        <v>30</v>
      </c>
      <c r="H36" s="43">
        <v>10</v>
      </c>
      <c r="I36" s="455">
        <v>7519</v>
      </c>
      <c r="J36" s="189">
        <v>1182</v>
      </c>
      <c r="K36" s="206">
        <f t="shared" si="1"/>
        <v>39.4</v>
      </c>
      <c r="L36" s="207">
        <f>I36/J36</f>
        <v>6.361252115059222</v>
      </c>
      <c r="M36" s="191">
        <f>28833+8997.5+7985+2166+588+2829.5+211+619+240+7519</f>
        <v>59988</v>
      </c>
      <c r="N36" s="189">
        <f>3560+1419+1368+456+81+683+38+138+48+1182</f>
        <v>8973</v>
      </c>
      <c r="O36" s="218">
        <f>+M36/N36</f>
        <v>6.68538950183885</v>
      </c>
      <c r="P36" s="232">
        <v>1</v>
      </c>
    </row>
    <row r="37" spans="1:16" s="7" customFormat="1" ht="15">
      <c r="A37" s="83">
        <v>33</v>
      </c>
      <c r="B37" s="57" t="s">
        <v>173</v>
      </c>
      <c r="C37" s="42">
        <v>39654</v>
      </c>
      <c r="D37" s="47" t="s">
        <v>425</v>
      </c>
      <c r="E37" s="47" t="s">
        <v>116</v>
      </c>
      <c r="F37" s="88">
        <v>4</v>
      </c>
      <c r="G37" s="89">
        <v>4</v>
      </c>
      <c r="H37" s="88">
        <v>8</v>
      </c>
      <c r="I37" s="453">
        <v>5111</v>
      </c>
      <c r="J37" s="200">
        <v>559</v>
      </c>
      <c r="K37" s="206">
        <f t="shared" si="1"/>
        <v>139.75</v>
      </c>
      <c r="L37" s="207">
        <f>I37/J37</f>
        <v>9.143112701252235</v>
      </c>
      <c r="M37" s="199">
        <v>46821</v>
      </c>
      <c r="N37" s="200">
        <v>6160</v>
      </c>
      <c r="O37" s="218">
        <f>M37/N37</f>
        <v>7.600811688311689</v>
      </c>
      <c r="P37" s="232"/>
    </row>
    <row r="38" spans="1:16" s="7" customFormat="1" ht="15">
      <c r="A38" s="83">
        <v>34</v>
      </c>
      <c r="B38" s="62" t="s">
        <v>229</v>
      </c>
      <c r="C38" s="41">
        <v>39633</v>
      </c>
      <c r="D38" s="47" t="s">
        <v>468</v>
      </c>
      <c r="E38" s="47" t="s">
        <v>550</v>
      </c>
      <c r="F38" s="58">
        <v>28</v>
      </c>
      <c r="G38" s="58">
        <v>11</v>
      </c>
      <c r="H38" s="58">
        <v>11</v>
      </c>
      <c r="I38" s="453">
        <v>4776</v>
      </c>
      <c r="J38" s="200">
        <v>737</v>
      </c>
      <c r="K38" s="194">
        <f>+J38/G38</f>
        <v>67</v>
      </c>
      <c r="L38" s="195">
        <f>+I38/J38</f>
        <v>6.480325644504749</v>
      </c>
      <c r="M38" s="199">
        <v>299795</v>
      </c>
      <c r="N38" s="200">
        <v>39624</v>
      </c>
      <c r="O38" s="216">
        <f>+M38/N38</f>
        <v>7.565995356349687</v>
      </c>
      <c r="P38" s="232"/>
    </row>
    <row r="39" spans="1:16" s="7" customFormat="1" ht="15">
      <c r="A39" s="83">
        <v>35</v>
      </c>
      <c r="B39" s="56" t="s">
        <v>576</v>
      </c>
      <c r="C39" s="42">
        <v>39696</v>
      </c>
      <c r="D39" s="47" t="s">
        <v>50</v>
      </c>
      <c r="E39" s="46" t="s">
        <v>425</v>
      </c>
      <c r="F39" s="43">
        <v>5</v>
      </c>
      <c r="G39" s="43">
        <v>5</v>
      </c>
      <c r="H39" s="43">
        <v>2</v>
      </c>
      <c r="I39" s="453">
        <v>4701</v>
      </c>
      <c r="J39" s="200">
        <v>458</v>
      </c>
      <c r="K39" s="206">
        <f aca="true" t="shared" si="4" ref="K39:K47">J39/G39</f>
        <v>91.6</v>
      </c>
      <c r="L39" s="207">
        <f>I39/J39</f>
        <v>10.264192139737991</v>
      </c>
      <c r="M39" s="199">
        <f>17804.5+4701</f>
        <v>22505.5</v>
      </c>
      <c r="N39" s="200">
        <f>1632+458</f>
        <v>2090</v>
      </c>
      <c r="O39" s="218">
        <f>M39/N39</f>
        <v>10.768181818181818</v>
      </c>
      <c r="P39" s="232"/>
    </row>
    <row r="40" spans="1:16" s="7" customFormat="1" ht="15">
      <c r="A40" s="83">
        <v>36</v>
      </c>
      <c r="B40" s="350" t="s">
        <v>228</v>
      </c>
      <c r="C40" s="444">
        <v>39633</v>
      </c>
      <c r="D40" s="450" t="s">
        <v>42</v>
      </c>
      <c r="E40" s="450" t="s">
        <v>38</v>
      </c>
      <c r="F40" s="451">
        <v>123</v>
      </c>
      <c r="G40" s="451">
        <v>19</v>
      </c>
      <c r="H40" s="451">
        <v>11</v>
      </c>
      <c r="I40" s="454">
        <v>3837</v>
      </c>
      <c r="J40" s="465">
        <v>628</v>
      </c>
      <c r="K40" s="465">
        <f t="shared" si="4"/>
        <v>33.05263157894737</v>
      </c>
      <c r="L40" s="466">
        <f>+I40/J40</f>
        <v>6.109872611464968</v>
      </c>
      <c r="M40" s="468">
        <v>1520101</v>
      </c>
      <c r="N40" s="465">
        <v>207136</v>
      </c>
      <c r="O40" s="467">
        <f aca="true" t="shared" si="5" ref="O40:O45">+M40/N40</f>
        <v>7.3386615556928785</v>
      </c>
      <c r="P40" s="232"/>
    </row>
    <row r="41" spans="1:16" s="7" customFormat="1" ht="15">
      <c r="A41" s="83">
        <v>37</v>
      </c>
      <c r="B41" s="56" t="s">
        <v>175</v>
      </c>
      <c r="C41" s="42">
        <v>38674</v>
      </c>
      <c r="D41" s="46" t="s">
        <v>43</v>
      </c>
      <c r="E41" s="46" t="s">
        <v>226</v>
      </c>
      <c r="F41" s="43">
        <v>135</v>
      </c>
      <c r="G41" s="43">
        <v>1</v>
      </c>
      <c r="H41" s="43">
        <v>75</v>
      </c>
      <c r="I41" s="455">
        <v>3630</v>
      </c>
      <c r="J41" s="189">
        <v>1210</v>
      </c>
      <c r="K41" s="206">
        <f t="shared" si="4"/>
        <v>1210</v>
      </c>
      <c r="L41" s="207">
        <f>I41/J41</f>
        <v>3</v>
      </c>
      <c r="M41" s="19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f>
        <v>25459383.5</v>
      </c>
      <c r="N41" s="18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f>
        <v>3837876</v>
      </c>
      <c r="O41" s="218">
        <f t="shared" si="5"/>
        <v>6.633717061207814</v>
      </c>
      <c r="P41" s="232"/>
    </row>
    <row r="42" spans="1:16" s="7" customFormat="1" ht="15">
      <c r="A42" s="83">
        <v>38</v>
      </c>
      <c r="B42" s="56" t="s">
        <v>598</v>
      </c>
      <c r="C42" s="42">
        <v>36553</v>
      </c>
      <c r="D42" s="46" t="s">
        <v>414</v>
      </c>
      <c r="E42" s="46" t="s">
        <v>414</v>
      </c>
      <c r="F42" s="43">
        <v>50</v>
      </c>
      <c r="G42" s="43">
        <v>1</v>
      </c>
      <c r="H42" s="43">
        <v>50</v>
      </c>
      <c r="I42" s="455">
        <v>3630</v>
      </c>
      <c r="J42" s="189">
        <v>1210</v>
      </c>
      <c r="K42" s="206">
        <f t="shared" si="4"/>
        <v>1210</v>
      </c>
      <c r="L42" s="207">
        <f>I42/J42</f>
        <v>3</v>
      </c>
      <c r="M42" s="191">
        <f>(478126648+604066+46500+712500+712500+238000+475000+238000+238000+301500+504000+594000+2194500)/1000+2376+3630</f>
        <v>490991.214</v>
      </c>
      <c r="N42" s="189">
        <f>271307+605+30+570+475+238+475+238+238+201+336+396+1463+1188+252+403+504+1210</f>
        <v>280129</v>
      </c>
      <c r="O42" s="218">
        <f t="shared" si="5"/>
        <v>1.7527325410792884</v>
      </c>
      <c r="P42" s="232"/>
    </row>
    <row r="43" spans="1:16" s="7" customFormat="1" ht="15">
      <c r="A43" s="83">
        <v>39</v>
      </c>
      <c r="B43" s="56" t="s">
        <v>599</v>
      </c>
      <c r="C43" s="42">
        <v>38653</v>
      </c>
      <c r="D43" s="46" t="s">
        <v>43</v>
      </c>
      <c r="E43" s="46" t="s">
        <v>600</v>
      </c>
      <c r="F43" s="43">
        <v>233</v>
      </c>
      <c r="G43" s="43">
        <v>1</v>
      </c>
      <c r="H43" s="43">
        <v>24</v>
      </c>
      <c r="I43" s="455">
        <v>3630</v>
      </c>
      <c r="J43" s="189">
        <v>1210</v>
      </c>
      <c r="K43" s="206">
        <f t="shared" si="4"/>
        <v>1210</v>
      </c>
      <c r="L43" s="207">
        <f>I43/J43</f>
        <v>3</v>
      </c>
      <c r="M43" s="191">
        <f>1350319+1981946+674687+495931+221393.5+106280+35943.5+15737+10017+3134+1274+2376+2951-5+5409+32+32+196+291+3021+1188+2376+197+3020+3630</f>
        <v>4921376</v>
      </c>
      <c r="N43" s="189">
        <f>208954+300860+104860+82209+41215+22985+6363+3444+2831+685+270+1188+383+1986+8+8+49+97+1007+396+792+49+755+1210</f>
        <v>782604</v>
      </c>
      <c r="O43" s="218">
        <f t="shared" si="5"/>
        <v>6.288462619664607</v>
      </c>
      <c r="P43" s="232"/>
    </row>
    <row r="44" spans="1:16" s="7" customFormat="1" ht="15">
      <c r="A44" s="83">
        <v>40</v>
      </c>
      <c r="B44" s="447" t="s">
        <v>520</v>
      </c>
      <c r="C44" s="42">
        <v>39640</v>
      </c>
      <c r="D44" s="87" t="s">
        <v>42</v>
      </c>
      <c r="E44" s="87" t="s">
        <v>47</v>
      </c>
      <c r="F44" s="43">
        <v>137</v>
      </c>
      <c r="G44" s="43">
        <v>9</v>
      </c>
      <c r="H44" s="43">
        <v>10</v>
      </c>
      <c r="I44" s="455">
        <v>3484</v>
      </c>
      <c r="J44" s="189">
        <v>680</v>
      </c>
      <c r="K44" s="189">
        <f t="shared" si="4"/>
        <v>75.55555555555556</v>
      </c>
      <c r="L44" s="190">
        <f>+I44/J44</f>
        <v>5.123529411764705</v>
      </c>
      <c r="M44" s="191">
        <v>1618290</v>
      </c>
      <c r="N44" s="189">
        <v>214812</v>
      </c>
      <c r="O44" s="215">
        <f t="shared" si="5"/>
        <v>7.533517680576504</v>
      </c>
      <c r="P44" s="232"/>
    </row>
    <row r="45" spans="1:16" s="7" customFormat="1" ht="15">
      <c r="A45" s="83">
        <v>41</v>
      </c>
      <c r="B45" s="57" t="s">
        <v>161</v>
      </c>
      <c r="C45" s="41">
        <v>39647</v>
      </c>
      <c r="D45" s="44" t="s">
        <v>223</v>
      </c>
      <c r="E45" s="44" t="s">
        <v>304</v>
      </c>
      <c r="F45" s="64" t="s">
        <v>566</v>
      </c>
      <c r="G45" s="64" t="s">
        <v>106</v>
      </c>
      <c r="H45" s="64" t="s">
        <v>515</v>
      </c>
      <c r="I45" s="453">
        <v>2551</v>
      </c>
      <c r="J45" s="200">
        <v>434</v>
      </c>
      <c r="K45" s="206">
        <f t="shared" si="4"/>
        <v>62</v>
      </c>
      <c r="L45" s="207">
        <f>I45/J45</f>
        <v>5.877880184331797</v>
      </c>
      <c r="M45" s="199">
        <v>120286</v>
      </c>
      <c r="N45" s="200">
        <v>14221</v>
      </c>
      <c r="O45" s="218">
        <f t="shared" si="5"/>
        <v>8.458336263272624</v>
      </c>
      <c r="P45" s="232"/>
    </row>
    <row r="46" spans="1:16" s="7" customFormat="1" ht="15">
      <c r="A46" s="83">
        <v>42</v>
      </c>
      <c r="B46" s="57" t="s">
        <v>443</v>
      </c>
      <c r="C46" s="42">
        <v>39626</v>
      </c>
      <c r="D46" s="47" t="s">
        <v>425</v>
      </c>
      <c r="E46" s="47" t="s">
        <v>403</v>
      </c>
      <c r="F46" s="88">
        <v>17</v>
      </c>
      <c r="G46" s="89">
        <v>3</v>
      </c>
      <c r="H46" s="88">
        <v>12</v>
      </c>
      <c r="I46" s="453">
        <v>2292</v>
      </c>
      <c r="J46" s="200">
        <v>467</v>
      </c>
      <c r="K46" s="206">
        <f t="shared" si="4"/>
        <v>155.66666666666666</v>
      </c>
      <c r="L46" s="207">
        <f>I46/J46</f>
        <v>4.907922912205567</v>
      </c>
      <c r="M46" s="199">
        <v>116526</v>
      </c>
      <c r="N46" s="200">
        <v>15616</v>
      </c>
      <c r="O46" s="218">
        <f>M46/N46</f>
        <v>7.461962090163935</v>
      </c>
      <c r="P46" s="232"/>
    </row>
    <row r="47" spans="1:16" s="7" customFormat="1" ht="15">
      <c r="A47" s="83">
        <v>43</v>
      </c>
      <c r="B47" s="350" t="s">
        <v>441</v>
      </c>
      <c r="C47" s="42">
        <v>39626</v>
      </c>
      <c r="D47" s="87" t="s">
        <v>42</v>
      </c>
      <c r="E47" s="87" t="s">
        <v>47</v>
      </c>
      <c r="F47" s="43">
        <v>118</v>
      </c>
      <c r="G47" s="43">
        <v>8</v>
      </c>
      <c r="H47" s="43">
        <v>12</v>
      </c>
      <c r="I47" s="455">
        <v>2193</v>
      </c>
      <c r="J47" s="189">
        <v>351</v>
      </c>
      <c r="K47" s="189">
        <f t="shared" si="4"/>
        <v>43.875</v>
      </c>
      <c r="L47" s="190">
        <f>+I47/J47</f>
        <v>6.247863247863248</v>
      </c>
      <c r="M47" s="191">
        <v>2408285</v>
      </c>
      <c r="N47" s="189">
        <v>296093</v>
      </c>
      <c r="O47" s="215">
        <f>+M47/N47</f>
        <v>8.133542501849082</v>
      </c>
      <c r="P47" s="232"/>
    </row>
    <row r="48" spans="1:16" s="7" customFormat="1" ht="15">
      <c r="A48" s="83">
        <v>44</v>
      </c>
      <c r="B48" s="62" t="s">
        <v>10</v>
      </c>
      <c r="C48" s="41">
        <v>39689</v>
      </c>
      <c r="D48" s="47" t="s">
        <v>468</v>
      </c>
      <c r="E48" s="47" t="s">
        <v>550</v>
      </c>
      <c r="F48" s="58">
        <v>4</v>
      </c>
      <c r="G48" s="58">
        <v>4</v>
      </c>
      <c r="H48" s="58">
        <v>3</v>
      </c>
      <c r="I48" s="453">
        <v>2161</v>
      </c>
      <c r="J48" s="200">
        <v>207</v>
      </c>
      <c r="K48" s="194">
        <f>+J48/G48</f>
        <v>51.75</v>
      </c>
      <c r="L48" s="195">
        <f>+I48/J48</f>
        <v>10.439613526570048</v>
      </c>
      <c r="M48" s="199">
        <v>34542</v>
      </c>
      <c r="N48" s="200">
        <v>2723</v>
      </c>
      <c r="O48" s="216">
        <f>+M48/N48</f>
        <v>12.685273595299302</v>
      </c>
      <c r="P48" s="232"/>
    </row>
    <row r="49" spans="1:16" s="7" customFormat="1" ht="15">
      <c r="A49" s="83">
        <v>45</v>
      </c>
      <c r="B49" s="56" t="s">
        <v>493</v>
      </c>
      <c r="C49" s="42">
        <v>39682</v>
      </c>
      <c r="D49" s="47" t="s">
        <v>50</v>
      </c>
      <c r="E49" s="46" t="s">
        <v>374</v>
      </c>
      <c r="F49" s="43">
        <v>6</v>
      </c>
      <c r="G49" s="43">
        <v>6</v>
      </c>
      <c r="H49" s="43">
        <v>4</v>
      </c>
      <c r="I49" s="453">
        <v>2117</v>
      </c>
      <c r="J49" s="200">
        <v>310</v>
      </c>
      <c r="K49" s="206">
        <f aca="true" t="shared" si="6" ref="K49:K54">J49/G49</f>
        <v>51.666666666666664</v>
      </c>
      <c r="L49" s="207">
        <f>I49/J49</f>
        <v>6.829032258064516</v>
      </c>
      <c r="M49" s="199">
        <f>11018.5+3088.5+6583+2117</f>
        <v>22807</v>
      </c>
      <c r="N49" s="200">
        <f>979+358+789+310</f>
        <v>2436</v>
      </c>
      <c r="O49" s="218">
        <f>M49/N49</f>
        <v>9.36247947454844</v>
      </c>
      <c r="P49" s="232"/>
    </row>
    <row r="50" spans="1:16" s="7" customFormat="1" ht="15">
      <c r="A50" s="83">
        <v>46</v>
      </c>
      <c r="B50" s="350" t="s">
        <v>230</v>
      </c>
      <c r="C50" s="42">
        <v>39633</v>
      </c>
      <c r="D50" s="87" t="s">
        <v>42</v>
      </c>
      <c r="E50" s="87" t="s">
        <v>47</v>
      </c>
      <c r="F50" s="43">
        <v>36</v>
      </c>
      <c r="G50" s="43">
        <v>2</v>
      </c>
      <c r="H50" s="43">
        <v>11</v>
      </c>
      <c r="I50" s="455">
        <v>2109</v>
      </c>
      <c r="J50" s="189">
        <v>289</v>
      </c>
      <c r="K50" s="189">
        <f t="shared" si="6"/>
        <v>144.5</v>
      </c>
      <c r="L50" s="190">
        <f>+I50/J50</f>
        <v>7.29757785467128</v>
      </c>
      <c r="M50" s="191">
        <v>229641</v>
      </c>
      <c r="N50" s="189">
        <v>28543</v>
      </c>
      <c r="O50" s="215">
        <f>+M50/N50</f>
        <v>8.045440213011947</v>
      </c>
      <c r="P50" s="232"/>
    </row>
    <row r="51" spans="1:16" s="7" customFormat="1" ht="15">
      <c r="A51" s="83">
        <v>47</v>
      </c>
      <c r="B51" s="57" t="s">
        <v>373</v>
      </c>
      <c r="C51" s="42">
        <v>39549</v>
      </c>
      <c r="D51" s="47" t="s">
        <v>425</v>
      </c>
      <c r="E51" s="47" t="s">
        <v>374</v>
      </c>
      <c r="F51" s="88">
        <v>4</v>
      </c>
      <c r="G51" s="89">
        <v>3</v>
      </c>
      <c r="H51" s="88">
        <v>23</v>
      </c>
      <c r="I51" s="453">
        <v>1848</v>
      </c>
      <c r="J51" s="200">
        <v>332</v>
      </c>
      <c r="K51" s="206">
        <f t="shared" si="6"/>
        <v>110.66666666666667</v>
      </c>
      <c r="L51" s="207">
        <f>I51/J51</f>
        <v>5.566265060240964</v>
      </c>
      <c r="M51" s="199">
        <v>110959</v>
      </c>
      <c r="N51" s="200">
        <v>16514</v>
      </c>
      <c r="O51" s="218">
        <f>M51/N51</f>
        <v>6.719086835412377</v>
      </c>
      <c r="P51" s="232"/>
    </row>
    <row r="52" spans="1:16" s="7" customFormat="1" ht="15">
      <c r="A52" s="83">
        <v>48</v>
      </c>
      <c r="B52" s="57" t="s">
        <v>480</v>
      </c>
      <c r="C52" s="42">
        <v>39500</v>
      </c>
      <c r="D52" s="47" t="s">
        <v>425</v>
      </c>
      <c r="E52" s="47" t="s">
        <v>403</v>
      </c>
      <c r="F52" s="88">
        <v>100</v>
      </c>
      <c r="G52" s="89">
        <v>2</v>
      </c>
      <c r="H52" s="88">
        <v>30</v>
      </c>
      <c r="I52" s="453">
        <v>1802</v>
      </c>
      <c r="J52" s="200">
        <v>451</v>
      </c>
      <c r="K52" s="206">
        <f t="shared" si="6"/>
        <v>225.5</v>
      </c>
      <c r="L52" s="207">
        <f>I52/J52</f>
        <v>3.9955654101995566</v>
      </c>
      <c r="M52" s="199">
        <v>1748034.4</v>
      </c>
      <c r="N52" s="200">
        <v>237648</v>
      </c>
      <c r="O52" s="218">
        <f>M52/N52</f>
        <v>7.355561166094391</v>
      </c>
      <c r="P52" s="232"/>
    </row>
    <row r="53" spans="1:16" s="7" customFormat="1" ht="15">
      <c r="A53" s="83">
        <v>49</v>
      </c>
      <c r="B53" s="56" t="s">
        <v>193</v>
      </c>
      <c r="C53" s="347">
        <v>39612</v>
      </c>
      <c r="D53" s="48" t="s">
        <v>165</v>
      </c>
      <c r="E53" s="48" t="s">
        <v>231</v>
      </c>
      <c r="F53" s="76">
        <v>25</v>
      </c>
      <c r="G53" s="76">
        <v>4</v>
      </c>
      <c r="H53" s="76">
        <v>14</v>
      </c>
      <c r="I53" s="452">
        <v>1764</v>
      </c>
      <c r="J53" s="211">
        <v>304</v>
      </c>
      <c r="K53" s="206">
        <f t="shared" si="6"/>
        <v>76</v>
      </c>
      <c r="L53" s="207">
        <f>I53/J53</f>
        <v>5.802631578947368</v>
      </c>
      <c r="M53" s="213">
        <v>208970</v>
      </c>
      <c r="N53" s="211">
        <v>29819</v>
      </c>
      <c r="O53" s="218">
        <f aca="true" t="shared" si="7" ref="O53:O58">+M53/N53</f>
        <v>7.0079479526476405</v>
      </c>
      <c r="P53" s="232"/>
    </row>
    <row r="54" spans="1:16" s="7" customFormat="1" ht="15">
      <c r="A54" s="83">
        <v>50</v>
      </c>
      <c r="B54" s="350" t="s">
        <v>85</v>
      </c>
      <c r="C54" s="444">
        <v>39598</v>
      </c>
      <c r="D54" s="450" t="s">
        <v>42</v>
      </c>
      <c r="E54" s="450" t="s">
        <v>217</v>
      </c>
      <c r="F54" s="451">
        <v>122</v>
      </c>
      <c r="G54" s="451">
        <v>1</v>
      </c>
      <c r="H54" s="451">
        <v>16</v>
      </c>
      <c r="I54" s="454">
        <v>1750</v>
      </c>
      <c r="J54" s="465">
        <v>525</v>
      </c>
      <c r="K54" s="465">
        <f t="shared" si="6"/>
        <v>525</v>
      </c>
      <c r="L54" s="466">
        <f>+I54/J54</f>
        <v>3.3333333333333335</v>
      </c>
      <c r="M54" s="468">
        <v>1559138</v>
      </c>
      <c r="N54" s="465">
        <v>162882</v>
      </c>
      <c r="O54" s="467">
        <f t="shared" si="7"/>
        <v>9.572193366977322</v>
      </c>
      <c r="P54" s="232"/>
    </row>
    <row r="55" spans="1:16" s="7" customFormat="1" ht="15">
      <c r="A55" s="83">
        <v>51</v>
      </c>
      <c r="B55" s="62" t="s">
        <v>506</v>
      </c>
      <c r="C55" s="41">
        <v>39507</v>
      </c>
      <c r="D55" s="47" t="s">
        <v>468</v>
      </c>
      <c r="E55" s="47" t="s">
        <v>78</v>
      </c>
      <c r="F55" s="58">
        <v>13</v>
      </c>
      <c r="G55" s="58">
        <v>3</v>
      </c>
      <c r="H55" s="58">
        <v>30</v>
      </c>
      <c r="I55" s="453">
        <v>1685</v>
      </c>
      <c r="J55" s="200">
        <v>247</v>
      </c>
      <c r="K55" s="194">
        <f>+J55/G55</f>
        <v>82.33333333333333</v>
      </c>
      <c r="L55" s="195">
        <f>+I55/J55</f>
        <v>6.821862348178137</v>
      </c>
      <c r="M55" s="199">
        <v>31163</v>
      </c>
      <c r="N55" s="200">
        <v>3608</v>
      </c>
      <c r="O55" s="216">
        <f t="shared" si="7"/>
        <v>8.637195121951219</v>
      </c>
      <c r="P55" s="232"/>
    </row>
    <row r="56" spans="1:16" s="7" customFormat="1" ht="15">
      <c r="A56" s="83">
        <v>52</v>
      </c>
      <c r="B56" s="62" t="s">
        <v>497</v>
      </c>
      <c r="C56" s="41">
        <v>39668</v>
      </c>
      <c r="D56" s="47" t="s">
        <v>468</v>
      </c>
      <c r="E56" s="47" t="s">
        <v>550</v>
      </c>
      <c r="F56" s="58">
        <v>7</v>
      </c>
      <c r="G56" s="58">
        <v>7</v>
      </c>
      <c r="H56" s="58">
        <v>6</v>
      </c>
      <c r="I56" s="453">
        <v>1480</v>
      </c>
      <c r="J56" s="200">
        <v>252</v>
      </c>
      <c r="K56" s="194">
        <f>+J56/G56</f>
        <v>36</v>
      </c>
      <c r="L56" s="195">
        <f>+I56/J56</f>
        <v>5.873015873015873</v>
      </c>
      <c r="M56" s="199">
        <v>36257</v>
      </c>
      <c r="N56" s="200">
        <v>3767</v>
      </c>
      <c r="O56" s="216">
        <f t="shared" si="7"/>
        <v>9.624900451287496</v>
      </c>
      <c r="P56" s="232"/>
    </row>
    <row r="57" spans="1:16" s="7" customFormat="1" ht="15">
      <c r="A57" s="83">
        <v>53</v>
      </c>
      <c r="B57" s="62" t="s">
        <v>174</v>
      </c>
      <c r="C57" s="41">
        <v>39598</v>
      </c>
      <c r="D57" s="47" t="s">
        <v>468</v>
      </c>
      <c r="E57" s="47" t="s">
        <v>550</v>
      </c>
      <c r="F57" s="58">
        <v>6</v>
      </c>
      <c r="G57" s="58">
        <v>6</v>
      </c>
      <c r="H57" s="58">
        <v>16</v>
      </c>
      <c r="I57" s="453">
        <v>992</v>
      </c>
      <c r="J57" s="200">
        <v>187</v>
      </c>
      <c r="K57" s="194">
        <f>+J57/G57</f>
        <v>31.166666666666668</v>
      </c>
      <c r="L57" s="195">
        <f>+I57/J57</f>
        <v>5.304812834224599</v>
      </c>
      <c r="M57" s="199">
        <v>79587</v>
      </c>
      <c r="N57" s="200">
        <v>9471</v>
      </c>
      <c r="O57" s="216">
        <f t="shared" si="7"/>
        <v>8.403230915426038</v>
      </c>
      <c r="P57" s="232">
        <v>1</v>
      </c>
    </row>
    <row r="58" spans="1:16" s="7" customFormat="1" ht="15">
      <c r="A58" s="83">
        <v>54</v>
      </c>
      <c r="B58" s="56" t="s">
        <v>536</v>
      </c>
      <c r="C58" s="347">
        <v>39668</v>
      </c>
      <c r="D58" s="48" t="s">
        <v>165</v>
      </c>
      <c r="E58" s="48" t="s">
        <v>537</v>
      </c>
      <c r="F58" s="76">
        <v>11</v>
      </c>
      <c r="G58" s="76">
        <v>7</v>
      </c>
      <c r="H58" s="76">
        <v>6</v>
      </c>
      <c r="I58" s="452">
        <v>964</v>
      </c>
      <c r="J58" s="211">
        <v>153</v>
      </c>
      <c r="K58" s="206">
        <f>J58/G58</f>
        <v>21.857142857142858</v>
      </c>
      <c r="L58" s="207">
        <f>I58/J58</f>
        <v>6.300653594771242</v>
      </c>
      <c r="M58" s="213">
        <v>43619</v>
      </c>
      <c r="N58" s="211">
        <v>4985</v>
      </c>
      <c r="O58" s="218">
        <f t="shared" si="7"/>
        <v>8.750050150451354</v>
      </c>
      <c r="P58" s="232"/>
    </row>
    <row r="59" spans="1:16" s="7" customFormat="1" ht="15">
      <c r="A59" s="83">
        <v>55</v>
      </c>
      <c r="B59" s="57" t="s">
        <v>410</v>
      </c>
      <c r="C59" s="42">
        <v>39451</v>
      </c>
      <c r="D59" s="47" t="s">
        <v>425</v>
      </c>
      <c r="E59" s="47" t="s">
        <v>50</v>
      </c>
      <c r="F59" s="88">
        <v>25</v>
      </c>
      <c r="G59" s="89">
        <v>1</v>
      </c>
      <c r="H59" s="88">
        <v>26</v>
      </c>
      <c r="I59" s="453">
        <v>801</v>
      </c>
      <c r="J59" s="200">
        <v>149</v>
      </c>
      <c r="K59" s="206">
        <f>J59/G59</f>
        <v>149</v>
      </c>
      <c r="L59" s="207">
        <f>I59/J59</f>
        <v>5.375838926174497</v>
      </c>
      <c r="M59" s="199">
        <v>263536.5</v>
      </c>
      <c r="N59" s="200">
        <v>32800</v>
      </c>
      <c r="O59" s="218">
        <f>M59/N59</f>
        <v>8.034649390243903</v>
      </c>
      <c r="P59" s="232">
        <v>1</v>
      </c>
    </row>
    <row r="60" spans="1:16" s="7" customFormat="1" ht="15">
      <c r="A60" s="83">
        <v>56</v>
      </c>
      <c r="B60" s="55" t="s">
        <v>227</v>
      </c>
      <c r="C60" s="41">
        <v>39633</v>
      </c>
      <c r="D60" s="45" t="s">
        <v>41</v>
      </c>
      <c r="E60" s="44" t="s">
        <v>46</v>
      </c>
      <c r="F60" s="63">
        <v>142</v>
      </c>
      <c r="G60" s="63">
        <v>5</v>
      </c>
      <c r="H60" s="63">
        <v>11</v>
      </c>
      <c r="I60" s="453">
        <v>696</v>
      </c>
      <c r="J60" s="200">
        <v>141</v>
      </c>
      <c r="K60" s="206">
        <f>J60/G60</f>
        <v>28.2</v>
      </c>
      <c r="L60" s="207">
        <f>I60/J60</f>
        <v>4.9361702127659575</v>
      </c>
      <c r="M60" s="199">
        <f>1199651+648074+354971-239+213613+76961+51453+10+30872+12006+6725+2326+696</f>
        <v>2597119</v>
      </c>
      <c r="N60" s="200">
        <f>143901+78583+44154-17+27689+11757+9313+5638+2056+1089+502+141</f>
        <v>324806</v>
      </c>
      <c r="O60" s="218">
        <f>+M60/N60</f>
        <v>7.995908326816623</v>
      </c>
      <c r="P60" s="232"/>
    </row>
    <row r="61" spans="1:16" s="7" customFormat="1" ht="15">
      <c r="A61" s="83">
        <v>57</v>
      </c>
      <c r="B61" s="350" t="s">
        <v>470</v>
      </c>
      <c r="C61" s="444">
        <v>39430</v>
      </c>
      <c r="D61" s="450" t="s">
        <v>42</v>
      </c>
      <c r="E61" s="450" t="s">
        <v>66</v>
      </c>
      <c r="F61" s="451">
        <v>242</v>
      </c>
      <c r="G61" s="451">
        <v>1</v>
      </c>
      <c r="H61" s="451">
        <v>40</v>
      </c>
      <c r="I61" s="454">
        <v>580</v>
      </c>
      <c r="J61" s="465">
        <v>200</v>
      </c>
      <c r="K61" s="465">
        <f>J61/G61</f>
        <v>200</v>
      </c>
      <c r="L61" s="466">
        <f>+I61/J61</f>
        <v>2.9</v>
      </c>
      <c r="M61" s="468">
        <v>15331514</v>
      </c>
      <c r="N61" s="465">
        <v>2002005</v>
      </c>
      <c r="O61" s="467">
        <f>+M61/N61</f>
        <v>7.658079775025537</v>
      </c>
      <c r="P61" s="232"/>
    </row>
    <row r="62" spans="1:16" s="7" customFormat="1" ht="15">
      <c r="A62" s="83">
        <v>58</v>
      </c>
      <c r="B62" s="62" t="s">
        <v>577</v>
      </c>
      <c r="C62" s="41">
        <v>39696</v>
      </c>
      <c r="D62" s="47" t="s">
        <v>468</v>
      </c>
      <c r="E62" s="47" t="s">
        <v>342</v>
      </c>
      <c r="F62" s="58">
        <v>1</v>
      </c>
      <c r="G62" s="58">
        <v>1</v>
      </c>
      <c r="H62" s="58">
        <v>2</v>
      </c>
      <c r="I62" s="453">
        <v>555</v>
      </c>
      <c r="J62" s="200">
        <v>47</v>
      </c>
      <c r="K62" s="194">
        <f>+J62/G62</f>
        <v>47</v>
      </c>
      <c r="L62" s="195">
        <f>+I62/J62</f>
        <v>11.808510638297872</v>
      </c>
      <c r="M62" s="199">
        <v>3918</v>
      </c>
      <c r="N62" s="200">
        <v>343</v>
      </c>
      <c r="O62" s="216">
        <f>+M62/N62</f>
        <v>11.422740524781341</v>
      </c>
      <c r="P62" s="232"/>
    </row>
    <row r="63" spans="1:16" s="7" customFormat="1" ht="15">
      <c r="A63" s="83">
        <v>59</v>
      </c>
      <c r="B63" s="57" t="s">
        <v>306</v>
      </c>
      <c r="C63" s="42">
        <v>39577</v>
      </c>
      <c r="D63" s="47" t="s">
        <v>425</v>
      </c>
      <c r="E63" s="47" t="s">
        <v>513</v>
      </c>
      <c r="F63" s="88">
        <v>1</v>
      </c>
      <c r="G63" s="89">
        <v>1</v>
      </c>
      <c r="H63" s="88">
        <v>14</v>
      </c>
      <c r="I63" s="453">
        <v>512</v>
      </c>
      <c r="J63" s="200">
        <v>62</v>
      </c>
      <c r="K63" s="206">
        <f>J63/G63</f>
        <v>62</v>
      </c>
      <c r="L63" s="207">
        <f>I63/J63</f>
        <v>8.258064516129032</v>
      </c>
      <c r="M63" s="199">
        <v>20139.81</v>
      </c>
      <c r="N63" s="200">
        <v>3742</v>
      </c>
      <c r="O63" s="218">
        <f>M63/N63</f>
        <v>5.382097808658472</v>
      </c>
      <c r="P63" s="232"/>
    </row>
    <row r="64" spans="1:16" s="7" customFormat="1" ht="15">
      <c r="A64" s="83">
        <v>60</v>
      </c>
      <c r="B64" s="350" t="s">
        <v>191</v>
      </c>
      <c r="C64" s="444">
        <v>39612</v>
      </c>
      <c r="D64" s="450" t="s">
        <v>42</v>
      </c>
      <c r="E64" s="450" t="s">
        <v>47</v>
      </c>
      <c r="F64" s="451">
        <v>115</v>
      </c>
      <c r="G64" s="451">
        <v>2</v>
      </c>
      <c r="H64" s="451">
        <v>14</v>
      </c>
      <c r="I64" s="454">
        <v>490</v>
      </c>
      <c r="J64" s="465">
        <v>94</v>
      </c>
      <c r="K64" s="465">
        <f>J64/G64</f>
        <v>47</v>
      </c>
      <c r="L64" s="466">
        <f>+I64/J64</f>
        <v>5.212765957446808</v>
      </c>
      <c r="M64" s="468">
        <v>1581843</v>
      </c>
      <c r="N64" s="465">
        <v>208055</v>
      </c>
      <c r="O64" s="467">
        <f>+M64/N64</f>
        <v>7.6030040133618515</v>
      </c>
      <c r="P64" s="232"/>
    </row>
    <row r="65" spans="1:16" s="7" customFormat="1" ht="15">
      <c r="A65" s="83">
        <v>61</v>
      </c>
      <c r="B65" s="57" t="s">
        <v>247</v>
      </c>
      <c r="C65" s="42">
        <v>39598</v>
      </c>
      <c r="D65" s="47" t="s">
        <v>425</v>
      </c>
      <c r="E65" s="47" t="s">
        <v>355</v>
      </c>
      <c r="F65" s="88">
        <v>1</v>
      </c>
      <c r="G65" s="89">
        <v>1</v>
      </c>
      <c r="H65" s="88">
        <v>14</v>
      </c>
      <c r="I65" s="453">
        <v>489</v>
      </c>
      <c r="J65" s="200">
        <v>59</v>
      </c>
      <c r="K65" s="206">
        <f>J65/G65</f>
        <v>59</v>
      </c>
      <c r="L65" s="207">
        <f>I65/J65</f>
        <v>8.288135593220339</v>
      </c>
      <c r="M65" s="199">
        <v>7610.83</v>
      </c>
      <c r="N65" s="200">
        <v>1569</v>
      </c>
      <c r="O65" s="218">
        <f>M65/N65</f>
        <v>4.850752071383046</v>
      </c>
      <c r="P65" s="232"/>
    </row>
    <row r="66" spans="1:16" s="7" customFormat="1" ht="15">
      <c r="A66" s="83">
        <v>62</v>
      </c>
      <c r="B66" s="55" t="s">
        <v>395</v>
      </c>
      <c r="C66" s="41">
        <v>39402</v>
      </c>
      <c r="D66" s="44" t="s">
        <v>81</v>
      </c>
      <c r="E66" s="44" t="s">
        <v>396</v>
      </c>
      <c r="F66" s="63">
        <v>165</v>
      </c>
      <c r="G66" s="63">
        <v>2</v>
      </c>
      <c r="H66" s="63">
        <v>40</v>
      </c>
      <c r="I66" s="456">
        <v>485</v>
      </c>
      <c r="J66" s="206">
        <v>97</v>
      </c>
      <c r="K66" s="194">
        <f>IF(I66&lt;&gt;0,J66/G66,"")</f>
        <v>48.5</v>
      </c>
      <c r="L66" s="195">
        <f>IF(I66&lt;&gt;0,I66/J66,"")</f>
        <v>5</v>
      </c>
      <c r="M66" s="196">
        <f>14579887.5+621+5940+11880+485</f>
        <v>14598813.5</v>
      </c>
      <c r="N66" s="189">
        <f>2008972+127+1980+3960+97</f>
        <v>2015136</v>
      </c>
      <c r="O66" s="216">
        <f>IF(M66&lt;&gt;0,M66/N66,"")</f>
        <v>7.244579770298381</v>
      </c>
      <c r="P66" s="232"/>
    </row>
    <row r="67" spans="1:16" s="7" customFormat="1" ht="15">
      <c r="A67" s="83">
        <v>63</v>
      </c>
      <c r="B67" s="55" t="s">
        <v>442</v>
      </c>
      <c r="C67" s="41">
        <v>39626</v>
      </c>
      <c r="D67" s="44" t="s">
        <v>81</v>
      </c>
      <c r="E67" s="44" t="s">
        <v>51</v>
      </c>
      <c r="F67" s="63">
        <v>48</v>
      </c>
      <c r="G67" s="63">
        <v>1</v>
      </c>
      <c r="H67" s="63">
        <v>12</v>
      </c>
      <c r="I67" s="456">
        <v>474</v>
      </c>
      <c r="J67" s="206">
        <v>78</v>
      </c>
      <c r="K67" s="194">
        <f>IF(I67&lt;&gt;0,J67/G67,"")</f>
        <v>78</v>
      </c>
      <c r="L67" s="195">
        <f>IF(I67&lt;&gt;0,I67/J67,"")</f>
        <v>6.076923076923077</v>
      </c>
      <c r="M67" s="196">
        <f>57650.5+19027+8216.5+2773+3583.5+6216+4769+8951+3231.5+728+782+474</f>
        <v>116402</v>
      </c>
      <c r="N67" s="189">
        <f>6980+2539+1216+493+742+1039+882+1668+580+133+98+78</f>
        <v>16448</v>
      </c>
      <c r="O67" s="216">
        <f>IF(M67&lt;&gt;0,M67/N67,"")</f>
        <v>7.0769698443579765</v>
      </c>
      <c r="P67" s="232"/>
    </row>
    <row r="68" spans="1:16" s="7" customFormat="1" ht="15">
      <c r="A68" s="83">
        <v>64</v>
      </c>
      <c r="B68" s="57" t="s">
        <v>523</v>
      </c>
      <c r="C68" s="42">
        <v>39661</v>
      </c>
      <c r="D68" s="47" t="s">
        <v>425</v>
      </c>
      <c r="E68" s="47" t="s">
        <v>524</v>
      </c>
      <c r="F68" s="88">
        <v>1</v>
      </c>
      <c r="G68" s="89">
        <v>1</v>
      </c>
      <c r="H68" s="88">
        <v>7</v>
      </c>
      <c r="I68" s="453">
        <v>473</v>
      </c>
      <c r="J68" s="200">
        <v>79</v>
      </c>
      <c r="K68" s="206">
        <f>J68/G68</f>
        <v>79</v>
      </c>
      <c r="L68" s="207">
        <f>I68/J68</f>
        <v>5.987341772151899</v>
      </c>
      <c r="M68" s="199">
        <v>12362.5</v>
      </c>
      <c r="N68" s="200">
        <v>1935</v>
      </c>
      <c r="O68" s="218">
        <f>M68/N68</f>
        <v>6.388888888888889</v>
      </c>
      <c r="P68" s="232"/>
    </row>
    <row r="69" spans="1:16" s="7" customFormat="1" ht="15">
      <c r="A69" s="83">
        <v>65</v>
      </c>
      <c r="B69" s="57" t="s">
        <v>505</v>
      </c>
      <c r="C69" s="41">
        <v>39269</v>
      </c>
      <c r="D69" s="44" t="s">
        <v>223</v>
      </c>
      <c r="E69" s="44" t="s">
        <v>223</v>
      </c>
      <c r="F69" s="64" t="s">
        <v>430</v>
      </c>
      <c r="G69" s="64" t="s">
        <v>424</v>
      </c>
      <c r="H69" s="64" t="s">
        <v>601</v>
      </c>
      <c r="I69" s="453">
        <v>470</v>
      </c>
      <c r="J69" s="200">
        <v>75</v>
      </c>
      <c r="K69" s="206">
        <f>J69/G69</f>
        <v>75</v>
      </c>
      <c r="L69" s="207">
        <f>I69/J69</f>
        <v>6.266666666666667</v>
      </c>
      <c r="M69" s="199">
        <v>206554.19</v>
      </c>
      <c r="N69" s="200">
        <v>30869</v>
      </c>
      <c r="O69" s="218">
        <f>+M69/N69</f>
        <v>6.691314587450193</v>
      </c>
      <c r="P69" s="232"/>
    </row>
    <row r="70" spans="1:16" s="7" customFormat="1" ht="15">
      <c r="A70" s="83">
        <v>66</v>
      </c>
      <c r="B70" s="62" t="s">
        <v>284</v>
      </c>
      <c r="C70" s="41">
        <v>39577</v>
      </c>
      <c r="D70" s="47" t="s">
        <v>468</v>
      </c>
      <c r="E70" s="47" t="s">
        <v>585</v>
      </c>
      <c r="F70" s="58">
        <v>85</v>
      </c>
      <c r="G70" s="58">
        <v>2</v>
      </c>
      <c r="H70" s="58">
        <v>17</v>
      </c>
      <c r="I70" s="453">
        <v>457</v>
      </c>
      <c r="J70" s="200">
        <v>142</v>
      </c>
      <c r="K70" s="194">
        <f>+J70/G70</f>
        <v>71</v>
      </c>
      <c r="L70" s="195">
        <f>+I70/J70</f>
        <v>3.2183098591549295</v>
      </c>
      <c r="M70" s="199">
        <v>1477365</v>
      </c>
      <c r="N70" s="200">
        <v>183392</v>
      </c>
      <c r="O70" s="216">
        <f>+M70/N70</f>
        <v>8.055776696911535</v>
      </c>
      <c r="P70" s="232"/>
    </row>
    <row r="71" spans="1:16" s="7" customFormat="1" ht="15">
      <c r="A71" s="83">
        <v>67</v>
      </c>
      <c r="B71" s="62" t="s">
        <v>312</v>
      </c>
      <c r="C71" s="41">
        <v>39465</v>
      </c>
      <c r="D71" s="47" t="s">
        <v>468</v>
      </c>
      <c r="E71" s="47" t="s">
        <v>507</v>
      </c>
      <c r="F71" s="58">
        <v>16</v>
      </c>
      <c r="G71" s="58">
        <v>3</v>
      </c>
      <c r="H71" s="58">
        <v>34</v>
      </c>
      <c r="I71" s="453">
        <v>432</v>
      </c>
      <c r="J71" s="200">
        <v>80</v>
      </c>
      <c r="K71" s="194">
        <f>+J71/G71</f>
        <v>26.666666666666668</v>
      </c>
      <c r="L71" s="195">
        <f>+I71/J71</f>
        <v>5.4</v>
      </c>
      <c r="M71" s="199">
        <v>155360</v>
      </c>
      <c r="N71" s="200">
        <v>15909</v>
      </c>
      <c r="O71" s="216">
        <f>+M71/N71</f>
        <v>9.765541517380099</v>
      </c>
      <c r="P71" s="232"/>
    </row>
    <row r="72" spans="1:16" s="7" customFormat="1" ht="15">
      <c r="A72" s="83">
        <v>68</v>
      </c>
      <c r="B72" s="57" t="s">
        <v>232</v>
      </c>
      <c r="C72" s="42">
        <v>39612</v>
      </c>
      <c r="D72" s="47" t="s">
        <v>425</v>
      </c>
      <c r="E72" s="47" t="s">
        <v>403</v>
      </c>
      <c r="F72" s="88">
        <v>5</v>
      </c>
      <c r="G72" s="89">
        <v>2</v>
      </c>
      <c r="H72" s="88">
        <v>13</v>
      </c>
      <c r="I72" s="453">
        <v>430</v>
      </c>
      <c r="J72" s="200">
        <v>67</v>
      </c>
      <c r="K72" s="206">
        <f>J72/G72</f>
        <v>33.5</v>
      </c>
      <c r="L72" s="207">
        <f>I72/J72</f>
        <v>6.417910447761194</v>
      </c>
      <c r="M72" s="199">
        <v>16694.5</v>
      </c>
      <c r="N72" s="200">
        <v>2321</v>
      </c>
      <c r="O72" s="218">
        <f>M72/N72</f>
        <v>7.192804825506247</v>
      </c>
      <c r="P72" s="232"/>
    </row>
    <row r="73" spans="1:16" s="7" customFormat="1" ht="15">
      <c r="A73" s="83">
        <v>69</v>
      </c>
      <c r="B73" s="57" t="s">
        <v>74</v>
      </c>
      <c r="C73" s="42">
        <v>39528</v>
      </c>
      <c r="D73" s="47" t="s">
        <v>425</v>
      </c>
      <c r="E73" s="47" t="s">
        <v>602</v>
      </c>
      <c r="F73" s="88">
        <v>17</v>
      </c>
      <c r="G73" s="89">
        <v>1</v>
      </c>
      <c r="H73" s="88">
        <v>15</v>
      </c>
      <c r="I73" s="453">
        <v>403.5</v>
      </c>
      <c r="J73" s="200">
        <v>59</v>
      </c>
      <c r="K73" s="206">
        <f>J73/G73</f>
        <v>59</v>
      </c>
      <c r="L73" s="207">
        <f>I73/J73</f>
        <v>6.838983050847458</v>
      </c>
      <c r="M73" s="199">
        <v>58904.5</v>
      </c>
      <c r="N73" s="200">
        <v>10017</v>
      </c>
      <c r="O73" s="218">
        <f>M73/N73</f>
        <v>5.8804532295098335</v>
      </c>
      <c r="P73" s="232"/>
    </row>
    <row r="74" spans="1:16" s="7" customFormat="1" ht="15">
      <c r="A74" s="83">
        <v>70</v>
      </c>
      <c r="B74" s="57" t="s">
        <v>87</v>
      </c>
      <c r="C74" s="42">
        <v>39598</v>
      </c>
      <c r="D74" s="47" t="s">
        <v>425</v>
      </c>
      <c r="E74" s="47" t="s">
        <v>355</v>
      </c>
      <c r="F74" s="88">
        <v>38</v>
      </c>
      <c r="G74" s="89">
        <v>1</v>
      </c>
      <c r="H74" s="88">
        <v>16</v>
      </c>
      <c r="I74" s="453">
        <v>397</v>
      </c>
      <c r="J74" s="200">
        <v>127</v>
      </c>
      <c r="K74" s="206">
        <f>J74/G74</f>
        <v>127</v>
      </c>
      <c r="L74" s="207">
        <f>I74/J74</f>
        <v>3.125984251968504</v>
      </c>
      <c r="M74" s="199">
        <v>264928.58</v>
      </c>
      <c r="N74" s="200">
        <v>34077</v>
      </c>
      <c r="O74" s="218">
        <f>M74/N74</f>
        <v>7.774410306071545</v>
      </c>
      <c r="P74" s="232"/>
    </row>
    <row r="75" spans="1:16" s="7" customFormat="1" ht="15">
      <c r="A75" s="83">
        <v>71</v>
      </c>
      <c r="B75" s="55" t="s">
        <v>241</v>
      </c>
      <c r="C75" s="41">
        <v>39598</v>
      </c>
      <c r="D75" s="44" t="s">
        <v>81</v>
      </c>
      <c r="E75" s="44" t="s">
        <v>242</v>
      </c>
      <c r="F75" s="63">
        <v>33</v>
      </c>
      <c r="G75" s="63">
        <v>2</v>
      </c>
      <c r="H75" s="63">
        <v>16</v>
      </c>
      <c r="I75" s="456">
        <v>358</v>
      </c>
      <c r="J75" s="206">
        <v>70</v>
      </c>
      <c r="K75" s="194">
        <f>IF(I75&lt;&gt;0,J75/G75,"")</f>
        <v>35</v>
      </c>
      <c r="L75" s="195">
        <f>IF(I75&lt;&gt;0,I75/J75,"")</f>
        <v>5.114285714285714</v>
      </c>
      <c r="M75" s="196">
        <f>29298.5+8696.5+2363+3275.5+1437.5+916+430+1313+544+1575+736+168+879+171+230+358</f>
        <v>52391</v>
      </c>
      <c r="N75" s="189">
        <f>2920+958+395+542+246+140+83+240+100+475+122+29+166+33+40+70</f>
        <v>6559</v>
      </c>
      <c r="O75" s="216">
        <f>IF(M75&lt;&gt;0,M75/N75,"")</f>
        <v>7.987650556487269</v>
      </c>
      <c r="P75" s="232"/>
    </row>
    <row r="76" spans="1:16" s="7" customFormat="1" ht="15">
      <c r="A76" s="83">
        <v>72</v>
      </c>
      <c r="B76" s="62" t="s">
        <v>559</v>
      </c>
      <c r="C76" s="41">
        <v>39563</v>
      </c>
      <c r="D76" s="47" t="s">
        <v>468</v>
      </c>
      <c r="E76" s="47" t="s">
        <v>550</v>
      </c>
      <c r="F76" s="58"/>
      <c r="G76" s="58">
        <v>1</v>
      </c>
      <c r="H76" s="58">
        <v>20</v>
      </c>
      <c r="I76" s="453">
        <v>343</v>
      </c>
      <c r="J76" s="200">
        <v>58</v>
      </c>
      <c r="K76" s="194">
        <f>+J76/G76</f>
        <v>58</v>
      </c>
      <c r="L76" s="195">
        <f>+I76/J76</f>
        <v>5.913793103448276</v>
      </c>
      <c r="M76" s="199">
        <v>69131</v>
      </c>
      <c r="N76" s="200">
        <v>7928</v>
      </c>
      <c r="O76" s="216">
        <f>+M76/N76</f>
        <v>8.719853683148335</v>
      </c>
      <c r="P76" s="232"/>
    </row>
    <row r="77" spans="1:16" s="7" customFormat="1" ht="15">
      <c r="A77" s="83">
        <v>73</v>
      </c>
      <c r="B77" s="57" t="s">
        <v>101</v>
      </c>
      <c r="C77" s="41">
        <v>39605</v>
      </c>
      <c r="D77" s="47" t="s">
        <v>468</v>
      </c>
      <c r="E77" s="47" t="s">
        <v>550</v>
      </c>
      <c r="F77" s="58">
        <v>20</v>
      </c>
      <c r="G77" s="58">
        <v>1</v>
      </c>
      <c r="H77" s="58">
        <v>15</v>
      </c>
      <c r="I77" s="453">
        <v>341</v>
      </c>
      <c r="J77" s="200">
        <v>60</v>
      </c>
      <c r="K77" s="194">
        <f>+J77/G77</f>
        <v>60</v>
      </c>
      <c r="L77" s="195">
        <f>+I77/J77</f>
        <v>5.683333333333334</v>
      </c>
      <c r="M77" s="199">
        <v>171034</v>
      </c>
      <c r="N77" s="200">
        <v>19650</v>
      </c>
      <c r="O77" s="216">
        <f>+M77/N77</f>
        <v>8.704020356234096</v>
      </c>
      <c r="P77" s="232"/>
    </row>
    <row r="78" spans="1:16" s="7" customFormat="1" ht="15">
      <c r="A78" s="83">
        <v>74</v>
      </c>
      <c r="B78" s="57" t="s">
        <v>308</v>
      </c>
      <c r="C78" s="42">
        <v>39619</v>
      </c>
      <c r="D78" s="47" t="s">
        <v>425</v>
      </c>
      <c r="E78" s="47" t="s">
        <v>426</v>
      </c>
      <c r="F78" s="88">
        <v>1</v>
      </c>
      <c r="G78" s="89">
        <v>1</v>
      </c>
      <c r="H78" s="88">
        <v>13</v>
      </c>
      <c r="I78" s="453">
        <v>307</v>
      </c>
      <c r="J78" s="200">
        <v>34</v>
      </c>
      <c r="K78" s="206">
        <f>J78/G78</f>
        <v>34</v>
      </c>
      <c r="L78" s="207">
        <f>I78/J78</f>
        <v>9.029411764705882</v>
      </c>
      <c r="M78" s="199">
        <v>25225</v>
      </c>
      <c r="N78" s="200">
        <v>4014</v>
      </c>
      <c r="O78" s="218">
        <f>M78/N78</f>
        <v>6.2842551071250625</v>
      </c>
      <c r="P78" s="232">
        <v>1</v>
      </c>
    </row>
    <row r="79" spans="1:16" s="7" customFormat="1" ht="15">
      <c r="A79" s="83">
        <v>75</v>
      </c>
      <c r="B79" s="57" t="s">
        <v>57</v>
      </c>
      <c r="C79" s="41">
        <v>39486</v>
      </c>
      <c r="D79" s="44" t="s">
        <v>223</v>
      </c>
      <c r="E79" s="47" t="s">
        <v>603</v>
      </c>
      <c r="F79" s="64" t="s">
        <v>58</v>
      </c>
      <c r="G79" s="64" t="s">
        <v>431</v>
      </c>
      <c r="H79" s="64" t="s">
        <v>604</v>
      </c>
      <c r="I79" s="453">
        <v>287</v>
      </c>
      <c r="J79" s="200">
        <v>44</v>
      </c>
      <c r="K79" s="206">
        <f>J79/G79</f>
        <v>22</v>
      </c>
      <c r="L79" s="207">
        <f>I79/J79</f>
        <v>6.5227272727272725</v>
      </c>
      <c r="M79" s="199">
        <v>822961.84</v>
      </c>
      <c r="N79" s="200">
        <v>118845</v>
      </c>
      <c r="O79" s="218">
        <f>+M79/N79</f>
        <v>6.924665236232067</v>
      </c>
      <c r="P79" s="232"/>
    </row>
    <row r="80" spans="1:16" s="7" customFormat="1" ht="15">
      <c r="A80" s="83">
        <v>76</v>
      </c>
      <c r="B80" s="56" t="s">
        <v>125</v>
      </c>
      <c r="C80" s="42">
        <v>39556</v>
      </c>
      <c r="D80" s="46" t="s">
        <v>43</v>
      </c>
      <c r="E80" s="46" t="s">
        <v>44</v>
      </c>
      <c r="F80" s="43">
        <v>104</v>
      </c>
      <c r="G80" s="43">
        <v>1</v>
      </c>
      <c r="H80" s="43">
        <v>18</v>
      </c>
      <c r="I80" s="455">
        <v>260</v>
      </c>
      <c r="J80" s="189">
        <v>32</v>
      </c>
      <c r="K80" s="206">
        <f>J80/G80</f>
        <v>32</v>
      </c>
      <c r="L80" s="207">
        <f>I80/J80</f>
        <v>8.125</v>
      </c>
      <c r="M80" s="191">
        <f>547723+268930+138072.5+72001+47770.5+20534.5+29707+9377+8368.5+23017+5732.5+1280+238+81+2408+580+1042+0.5+260</f>
        <v>1177123</v>
      </c>
      <c r="N80" s="189">
        <f>69527+33465+19378+11928+8462+4284+6759+1860+1698+5423+992+174+49+18+602+163+76+32</f>
        <v>164890</v>
      </c>
      <c r="O80" s="218">
        <f>+M80/N80</f>
        <v>7.138838013220935</v>
      </c>
      <c r="P80" s="232"/>
    </row>
    <row r="81" spans="1:16" s="7" customFormat="1" ht="15">
      <c r="A81" s="83">
        <v>77</v>
      </c>
      <c r="B81" s="55" t="s">
        <v>502</v>
      </c>
      <c r="C81" s="41">
        <v>39381</v>
      </c>
      <c r="D81" s="44" t="s">
        <v>81</v>
      </c>
      <c r="E81" s="44" t="s">
        <v>143</v>
      </c>
      <c r="F81" s="63">
        <v>91</v>
      </c>
      <c r="G81" s="63">
        <v>1</v>
      </c>
      <c r="H81" s="63">
        <v>22</v>
      </c>
      <c r="I81" s="456">
        <v>230</v>
      </c>
      <c r="J81" s="206">
        <v>46</v>
      </c>
      <c r="K81" s="194">
        <f>IF(I81&lt;&gt;0,J81/G81,"")</f>
        <v>46</v>
      </c>
      <c r="L81" s="195">
        <f>IF(I81&lt;&gt;0,I81/J81,"")</f>
        <v>5</v>
      </c>
      <c r="M81" s="196">
        <v>2465252.5</v>
      </c>
      <c r="N81" s="189">
        <v>289800</v>
      </c>
      <c r="O81" s="216">
        <f>IF(M81&lt;&gt;0,M81/N81,"")</f>
        <v>8.50673740510697</v>
      </c>
      <c r="P81" s="232"/>
    </row>
    <row r="82" spans="1:16" s="7" customFormat="1" ht="15">
      <c r="A82" s="83">
        <v>78</v>
      </c>
      <c r="B82" s="57" t="s">
        <v>244</v>
      </c>
      <c r="C82" s="42">
        <v>39598</v>
      </c>
      <c r="D82" s="47" t="s">
        <v>425</v>
      </c>
      <c r="E82" s="47" t="s">
        <v>356</v>
      </c>
      <c r="F82" s="88">
        <v>5</v>
      </c>
      <c r="G82" s="89">
        <v>2</v>
      </c>
      <c r="H82" s="88">
        <v>15</v>
      </c>
      <c r="I82" s="453">
        <v>218</v>
      </c>
      <c r="J82" s="200">
        <v>29</v>
      </c>
      <c r="K82" s="206">
        <f>J82/G82</f>
        <v>14.5</v>
      </c>
      <c r="L82" s="207">
        <f>I82/J82</f>
        <v>7.517241379310345</v>
      </c>
      <c r="M82" s="199">
        <v>18082.5</v>
      </c>
      <c r="N82" s="200">
        <v>2923</v>
      </c>
      <c r="O82" s="218">
        <f>M82/N82</f>
        <v>6.186281217926788</v>
      </c>
      <c r="P82" s="232"/>
    </row>
    <row r="83" spans="1:16" s="7" customFormat="1" ht="15">
      <c r="A83" s="83">
        <v>79</v>
      </c>
      <c r="B83" s="62" t="s">
        <v>65</v>
      </c>
      <c r="C83" s="41">
        <v>39535</v>
      </c>
      <c r="D83" s="47" t="s">
        <v>468</v>
      </c>
      <c r="E83" s="47" t="s">
        <v>585</v>
      </c>
      <c r="F83" s="58">
        <v>11</v>
      </c>
      <c r="G83" s="58">
        <v>1</v>
      </c>
      <c r="H83" s="58">
        <v>23</v>
      </c>
      <c r="I83" s="453">
        <v>166</v>
      </c>
      <c r="J83" s="200">
        <v>28</v>
      </c>
      <c r="K83" s="194">
        <f>+J83/G83</f>
        <v>28</v>
      </c>
      <c r="L83" s="195">
        <f>+I83/J83</f>
        <v>5.928571428571429</v>
      </c>
      <c r="M83" s="199">
        <v>107495</v>
      </c>
      <c r="N83" s="200">
        <v>10838</v>
      </c>
      <c r="O83" s="216">
        <f>+M83/N83</f>
        <v>9.918342867687766</v>
      </c>
      <c r="P83" s="232"/>
    </row>
    <row r="84" spans="1:16" s="7" customFormat="1" ht="15">
      <c r="A84" s="83">
        <v>80</v>
      </c>
      <c r="B84" s="350" t="s">
        <v>256</v>
      </c>
      <c r="C84" s="444">
        <v>39472</v>
      </c>
      <c r="D84" s="450" t="s">
        <v>42</v>
      </c>
      <c r="E84" s="450" t="s">
        <v>226</v>
      </c>
      <c r="F84" s="451">
        <v>152</v>
      </c>
      <c r="G84" s="451">
        <v>1</v>
      </c>
      <c r="H84" s="451">
        <v>34</v>
      </c>
      <c r="I84" s="454">
        <v>160</v>
      </c>
      <c r="J84" s="465">
        <v>32</v>
      </c>
      <c r="K84" s="465">
        <f>J84/G84</f>
        <v>32</v>
      </c>
      <c r="L84" s="466">
        <f>+I84/J84</f>
        <v>5</v>
      </c>
      <c r="M84" s="468">
        <v>3983320</v>
      </c>
      <c r="N84" s="465">
        <v>523745</v>
      </c>
      <c r="O84" s="467">
        <f>+M84/N84</f>
        <v>7.605456854003379</v>
      </c>
      <c r="P84" s="232"/>
    </row>
    <row r="85" spans="1:16" s="7" customFormat="1" ht="15">
      <c r="A85" s="83">
        <v>81</v>
      </c>
      <c r="B85" s="56" t="s">
        <v>445</v>
      </c>
      <c r="C85" s="42">
        <v>39038</v>
      </c>
      <c r="D85" s="46" t="s">
        <v>43</v>
      </c>
      <c r="E85" s="46" t="s">
        <v>446</v>
      </c>
      <c r="F85" s="43">
        <v>40</v>
      </c>
      <c r="G85" s="43">
        <v>1</v>
      </c>
      <c r="H85" s="43">
        <v>27</v>
      </c>
      <c r="I85" s="455">
        <v>155</v>
      </c>
      <c r="J85" s="189">
        <v>31</v>
      </c>
      <c r="K85" s="206">
        <f>J85/G85</f>
        <v>31</v>
      </c>
      <c r="L85" s="207">
        <f>I85/J85</f>
        <v>5</v>
      </c>
      <c r="M85" s="191">
        <f>85423.5+40609.5+16428+10894.5+3106.5+2427+2630+460+1511+1189+1802+286+188+1782+2376+2230+1880+1432+216+1901+710+24+29+1510.5+2376+380+155</f>
        <v>183956.5</v>
      </c>
      <c r="N85" s="189">
        <f>10842+5203+2181+1838+640+457+494+92+303+238+212+63+42+446+475+446+376+205+25+475+4+142+5+378+594+76+31</f>
        <v>26283</v>
      </c>
      <c r="O85" s="218">
        <f>+M85/N85</f>
        <v>6.999067838526805</v>
      </c>
      <c r="P85" s="232">
        <v>1</v>
      </c>
    </row>
    <row r="86" spans="1:16" s="7" customFormat="1" ht="15">
      <c r="A86" s="83">
        <v>82</v>
      </c>
      <c r="B86" s="55" t="s">
        <v>67</v>
      </c>
      <c r="C86" s="41">
        <v>39465</v>
      </c>
      <c r="D86" s="44" t="s">
        <v>81</v>
      </c>
      <c r="E86" s="44" t="s">
        <v>290</v>
      </c>
      <c r="F86" s="63">
        <v>29</v>
      </c>
      <c r="G86" s="63">
        <v>1</v>
      </c>
      <c r="H86" s="63">
        <v>8</v>
      </c>
      <c r="I86" s="456">
        <v>154</v>
      </c>
      <c r="J86" s="206">
        <v>30</v>
      </c>
      <c r="K86" s="194">
        <f>IF(I86&lt;&gt;0,J86/G86,"")</f>
        <v>30</v>
      </c>
      <c r="L86" s="195">
        <f>IF(I86&lt;&gt;0,I86/J86,"")</f>
        <v>5.133333333333334</v>
      </c>
      <c r="M86" s="196">
        <v>205137</v>
      </c>
      <c r="N86" s="189">
        <v>20288</v>
      </c>
      <c r="O86" s="216">
        <f>IF(M86&lt;&gt;0,M86/N86,"")</f>
        <v>10.111248028391167</v>
      </c>
      <c r="P86" s="232"/>
    </row>
    <row r="87" spans="1:16" s="7" customFormat="1" ht="15">
      <c r="A87" s="83">
        <v>83</v>
      </c>
      <c r="B87" s="447" t="s">
        <v>172</v>
      </c>
      <c r="C87" s="42">
        <v>39654</v>
      </c>
      <c r="D87" s="87" t="s">
        <v>42</v>
      </c>
      <c r="E87" s="87" t="s">
        <v>217</v>
      </c>
      <c r="F87" s="43">
        <v>35</v>
      </c>
      <c r="G87" s="43">
        <v>1</v>
      </c>
      <c r="H87" s="43">
        <v>8</v>
      </c>
      <c r="I87" s="455">
        <v>140</v>
      </c>
      <c r="J87" s="189">
        <v>29</v>
      </c>
      <c r="K87" s="189">
        <f>J87/G87</f>
        <v>29</v>
      </c>
      <c r="L87" s="190">
        <f>+I87/J87</f>
        <v>4.827586206896552</v>
      </c>
      <c r="M87" s="191">
        <v>224614</v>
      </c>
      <c r="N87" s="189">
        <v>26368</v>
      </c>
      <c r="O87" s="215">
        <f>+M87/N87</f>
        <v>8.518431432038835</v>
      </c>
      <c r="P87" s="232"/>
    </row>
    <row r="88" spans="1:16" s="7" customFormat="1" ht="15">
      <c r="A88" s="83">
        <v>84</v>
      </c>
      <c r="B88" s="62" t="s">
        <v>319</v>
      </c>
      <c r="C88" s="41">
        <v>39423</v>
      </c>
      <c r="D88" s="47" t="s">
        <v>468</v>
      </c>
      <c r="E88" s="47" t="s">
        <v>468</v>
      </c>
      <c r="F88" s="58">
        <v>1</v>
      </c>
      <c r="G88" s="58">
        <v>1</v>
      </c>
      <c r="H88" s="58">
        <v>35</v>
      </c>
      <c r="I88" s="453">
        <v>119</v>
      </c>
      <c r="J88" s="200">
        <v>22</v>
      </c>
      <c r="K88" s="194">
        <f>+J88/G88</f>
        <v>22</v>
      </c>
      <c r="L88" s="195">
        <f>+I88/J88</f>
        <v>5.409090909090909</v>
      </c>
      <c r="M88" s="199">
        <v>35146</v>
      </c>
      <c r="N88" s="200">
        <v>4416</v>
      </c>
      <c r="O88" s="216">
        <f>+M88/N88</f>
        <v>7.958786231884058</v>
      </c>
      <c r="P88" s="232"/>
    </row>
    <row r="89" spans="1:16" s="7" customFormat="1" ht="15">
      <c r="A89" s="83">
        <v>85</v>
      </c>
      <c r="B89" s="350" t="s">
        <v>236</v>
      </c>
      <c r="C89" s="444">
        <v>39514</v>
      </c>
      <c r="D89" s="450" t="s">
        <v>42</v>
      </c>
      <c r="E89" s="450" t="s">
        <v>217</v>
      </c>
      <c r="F89" s="451">
        <v>27</v>
      </c>
      <c r="G89" s="451">
        <v>1</v>
      </c>
      <c r="H89" s="451">
        <v>28</v>
      </c>
      <c r="I89" s="454">
        <v>109</v>
      </c>
      <c r="J89" s="465">
        <v>18</v>
      </c>
      <c r="K89" s="465">
        <f aca="true" t="shared" si="8" ref="K89:K107">J89/G89</f>
        <v>18</v>
      </c>
      <c r="L89" s="466">
        <f>+I89/J89</f>
        <v>6.055555555555555</v>
      </c>
      <c r="M89" s="468">
        <v>298165</v>
      </c>
      <c r="N89" s="465">
        <v>31890</v>
      </c>
      <c r="O89" s="467">
        <f>+M89/N89</f>
        <v>9.349796174349326</v>
      </c>
      <c r="P89" s="232"/>
    </row>
    <row r="90" spans="1:16" s="7" customFormat="1" ht="15">
      <c r="A90" s="83">
        <v>86</v>
      </c>
      <c r="B90" s="350" t="s">
        <v>79</v>
      </c>
      <c r="C90" s="444">
        <v>39570</v>
      </c>
      <c r="D90" s="450" t="s">
        <v>42</v>
      </c>
      <c r="E90" s="450" t="s">
        <v>38</v>
      </c>
      <c r="F90" s="451">
        <v>140</v>
      </c>
      <c r="G90" s="451">
        <v>2</v>
      </c>
      <c r="H90" s="451">
        <v>20</v>
      </c>
      <c r="I90" s="454">
        <v>92</v>
      </c>
      <c r="J90" s="465">
        <v>18</v>
      </c>
      <c r="K90" s="465">
        <f t="shared" si="8"/>
        <v>9</v>
      </c>
      <c r="L90" s="466">
        <f>+I90/J90</f>
        <v>5.111111111111111</v>
      </c>
      <c r="M90" s="468">
        <v>2087895</v>
      </c>
      <c r="N90" s="465">
        <v>261681</v>
      </c>
      <c r="O90" s="467">
        <f>+M90/N90</f>
        <v>7.9787795063455125</v>
      </c>
      <c r="P90" s="232"/>
    </row>
    <row r="91" spans="1:16" s="7" customFormat="1" ht="15">
      <c r="A91" s="83">
        <v>87</v>
      </c>
      <c r="B91" s="56" t="s">
        <v>605</v>
      </c>
      <c r="C91" s="42">
        <v>39675</v>
      </c>
      <c r="D91" s="47" t="s">
        <v>50</v>
      </c>
      <c r="E91" s="46" t="s">
        <v>77</v>
      </c>
      <c r="F91" s="43">
        <v>1</v>
      </c>
      <c r="G91" s="43">
        <v>1</v>
      </c>
      <c r="H91" s="43">
        <v>5</v>
      </c>
      <c r="I91" s="453">
        <v>92</v>
      </c>
      <c r="J91" s="200">
        <v>14</v>
      </c>
      <c r="K91" s="206">
        <f t="shared" si="8"/>
        <v>14</v>
      </c>
      <c r="L91" s="207">
        <f>I91/J91</f>
        <v>6.571428571428571</v>
      </c>
      <c r="M91" s="199">
        <f>2342+965+725+344</f>
        <v>4376</v>
      </c>
      <c r="N91" s="200">
        <f>283+144+96+45</f>
        <v>568</v>
      </c>
      <c r="O91" s="218">
        <f>M91/N91</f>
        <v>7.704225352112676</v>
      </c>
      <c r="P91" s="232">
        <v>1</v>
      </c>
    </row>
    <row r="92" spans="1:16" s="7" customFormat="1" ht="15">
      <c r="A92" s="83">
        <v>88</v>
      </c>
      <c r="B92" s="56" t="s">
        <v>398</v>
      </c>
      <c r="C92" s="42">
        <v>39402</v>
      </c>
      <c r="D92" s="46" t="s">
        <v>43</v>
      </c>
      <c r="E92" s="46" t="s">
        <v>467</v>
      </c>
      <c r="F92" s="43">
        <v>125</v>
      </c>
      <c r="G92" s="43">
        <v>1</v>
      </c>
      <c r="H92" s="43">
        <v>29</v>
      </c>
      <c r="I92" s="455">
        <v>90</v>
      </c>
      <c r="J92" s="189">
        <v>15</v>
      </c>
      <c r="K92" s="206">
        <f t="shared" si="8"/>
        <v>15</v>
      </c>
      <c r="L92" s="207">
        <f>I92/J92</f>
        <v>6</v>
      </c>
      <c r="M92" s="191">
        <f>676439.5+554539.5+408532.5+265092+4+63975.5-30+36417+32233.5+29355.5+9292+4684+3839.75+6311.5+292.5+748+464+444+276+606+730+40+14+18+186+168+128+147+114+120+90</f>
        <v>2095271.75</v>
      </c>
      <c r="N92" s="189">
        <f>91933+76364+57186+39863+2+10711+6714+6020+5300+2353+1269+898+1545+86+187+116+111+69+120+183+4+2+2+31+28+22+26+19+20+15</f>
        <v>301199</v>
      </c>
      <c r="O92" s="218">
        <f>+M92/N92</f>
        <v>6.956436608355274</v>
      </c>
      <c r="P92" s="232"/>
    </row>
    <row r="93" spans="1:16" s="7" customFormat="1" ht="15">
      <c r="A93" s="83">
        <v>89</v>
      </c>
      <c r="B93" s="57" t="s">
        <v>584</v>
      </c>
      <c r="C93" s="42">
        <v>39584</v>
      </c>
      <c r="D93" s="47" t="s">
        <v>425</v>
      </c>
      <c r="E93" s="47" t="s">
        <v>356</v>
      </c>
      <c r="F93" s="88">
        <v>63</v>
      </c>
      <c r="G93" s="89">
        <v>1</v>
      </c>
      <c r="H93" s="88">
        <v>14</v>
      </c>
      <c r="I93" s="453">
        <v>68</v>
      </c>
      <c r="J93" s="200">
        <v>11</v>
      </c>
      <c r="K93" s="206">
        <f t="shared" si="8"/>
        <v>11</v>
      </c>
      <c r="L93" s="207">
        <f>I93/J93</f>
        <v>6.181818181818182</v>
      </c>
      <c r="M93" s="199">
        <v>225861</v>
      </c>
      <c r="N93" s="200">
        <v>30790</v>
      </c>
      <c r="O93" s="218">
        <f>M93/N93</f>
        <v>7.335531016563819</v>
      </c>
      <c r="P93" s="232"/>
    </row>
    <row r="94" spans="1:16" s="7" customFormat="1" ht="15">
      <c r="A94" s="83">
        <v>90</v>
      </c>
      <c r="B94" s="350" t="s">
        <v>540</v>
      </c>
      <c r="C94" s="42">
        <v>39591</v>
      </c>
      <c r="D94" s="87" t="s">
        <v>42</v>
      </c>
      <c r="E94" s="87" t="s">
        <v>38</v>
      </c>
      <c r="F94" s="43">
        <v>192</v>
      </c>
      <c r="G94" s="43">
        <v>1</v>
      </c>
      <c r="H94" s="43">
        <v>17</v>
      </c>
      <c r="I94" s="455">
        <v>54</v>
      </c>
      <c r="J94" s="189">
        <v>13</v>
      </c>
      <c r="K94" s="189">
        <f t="shared" si="8"/>
        <v>13</v>
      </c>
      <c r="L94" s="190">
        <f>+I94/J94</f>
        <v>4.153846153846154</v>
      </c>
      <c r="M94" s="191">
        <v>2683950</v>
      </c>
      <c r="N94" s="189">
        <v>330715</v>
      </c>
      <c r="O94" s="215">
        <f>+M94/N94</f>
        <v>8.115598022466473</v>
      </c>
      <c r="P94" s="232"/>
    </row>
    <row r="95" spans="1:16" s="7" customFormat="1" ht="15">
      <c r="A95" s="83">
        <v>91</v>
      </c>
      <c r="B95" s="57" t="s">
        <v>105</v>
      </c>
      <c r="C95" s="42">
        <v>39458</v>
      </c>
      <c r="D95" s="47" t="s">
        <v>425</v>
      </c>
      <c r="E95" s="47" t="s">
        <v>546</v>
      </c>
      <c r="F95" s="88">
        <v>4</v>
      </c>
      <c r="G95" s="89">
        <v>1</v>
      </c>
      <c r="H95" s="88">
        <v>24</v>
      </c>
      <c r="I95" s="453">
        <v>46</v>
      </c>
      <c r="J95" s="200">
        <v>8</v>
      </c>
      <c r="K95" s="206">
        <f t="shared" si="8"/>
        <v>8</v>
      </c>
      <c r="L95" s="207">
        <f>I95/J95</f>
        <v>5.75</v>
      </c>
      <c r="M95" s="199">
        <v>102035</v>
      </c>
      <c r="N95" s="200">
        <v>12794</v>
      </c>
      <c r="O95" s="218">
        <f>M95/N95</f>
        <v>7.975222760669063</v>
      </c>
      <c r="P95" s="232"/>
    </row>
    <row r="96" spans="1:16" s="7" customFormat="1" ht="15">
      <c r="A96" s="83">
        <v>92</v>
      </c>
      <c r="B96" s="350" t="s">
        <v>347</v>
      </c>
      <c r="C96" s="444">
        <v>39535</v>
      </c>
      <c r="D96" s="450" t="s">
        <v>42</v>
      </c>
      <c r="E96" s="450" t="s">
        <v>217</v>
      </c>
      <c r="F96" s="451">
        <v>63</v>
      </c>
      <c r="G96" s="451">
        <v>2</v>
      </c>
      <c r="H96" s="451">
        <v>25</v>
      </c>
      <c r="I96" s="454">
        <v>42</v>
      </c>
      <c r="J96" s="465">
        <v>10</v>
      </c>
      <c r="K96" s="465">
        <f t="shared" si="8"/>
        <v>5</v>
      </c>
      <c r="L96" s="466">
        <f>+I96/J96</f>
        <v>4.2</v>
      </c>
      <c r="M96" s="468">
        <v>394410</v>
      </c>
      <c r="N96" s="465">
        <v>43979</v>
      </c>
      <c r="O96" s="467">
        <f>+M96/N96</f>
        <v>8.96814388685509</v>
      </c>
      <c r="P96" s="232">
        <v>1</v>
      </c>
    </row>
    <row r="97" spans="1:16" s="7" customFormat="1" ht="15">
      <c r="A97" s="83">
        <v>93</v>
      </c>
      <c r="B97" s="57" t="s">
        <v>156</v>
      </c>
      <c r="C97" s="42">
        <v>39507</v>
      </c>
      <c r="D97" s="47" t="s">
        <v>425</v>
      </c>
      <c r="E97" s="47" t="s">
        <v>50</v>
      </c>
      <c r="F97" s="88">
        <v>20</v>
      </c>
      <c r="G97" s="89">
        <v>1</v>
      </c>
      <c r="H97" s="88">
        <v>27</v>
      </c>
      <c r="I97" s="453">
        <v>34</v>
      </c>
      <c r="J97" s="200">
        <v>6</v>
      </c>
      <c r="K97" s="206">
        <f t="shared" si="8"/>
        <v>6</v>
      </c>
      <c r="L97" s="207">
        <f>I97/J97</f>
        <v>5.666666666666667</v>
      </c>
      <c r="M97" s="199">
        <v>130193</v>
      </c>
      <c r="N97" s="200">
        <v>16975</v>
      </c>
      <c r="O97" s="218">
        <f>M97/N97</f>
        <v>7.669690721649484</v>
      </c>
      <c r="P97" s="232"/>
    </row>
    <row r="98" spans="1:16" s="7" customFormat="1" ht="15">
      <c r="A98" s="83">
        <v>94</v>
      </c>
      <c r="B98" s="350" t="s">
        <v>320</v>
      </c>
      <c r="C98" s="444">
        <v>39493</v>
      </c>
      <c r="D98" s="450" t="s">
        <v>42</v>
      </c>
      <c r="E98" s="450" t="s">
        <v>298</v>
      </c>
      <c r="F98" s="451">
        <v>16</v>
      </c>
      <c r="G98" s="451">
        <v>1</v>
      </c>
      <c r="H98" s="451">
        <v>31</v>
      </c>
      <c r="I98" s="454">
        <v>32</v>
      </c>
      <c r="J98" s="465">
        <v>8</v>
      </c>
      <c r="K98" s="465">
        <f t="shared" si="8"/>
        <v>8</v>
      </c>
      <c r="L98" s="466">
        <f>+I98/J98</f>
        <v>4</v>
      </c>
      <c r="M98" s="468">
        <v>221650</v>
      </c>
      <c r="N98" s="465">
        <v>24989</v>
      </c>
      <c r="O98" s="467">
        <f aca="true" t="shared" si="9" ref="O98:O107">+M98/N98</f>
        <v>8.869902757213174</v>
      </c>
      <c r="P98" s="232"/>
    </row>
    <row r="99" spans="1:16" s="7" customFormat="1" ht="15">
      <c r="A99" s="83">
        <v>95</v>
      </c>
      <c r="B99" s="350" t="s">
        <v>100</v>
      </c>
      <c r="C99" s="42">
        <v>39605</v>
      </c>
      <c r="D99" s="87" t="s">
        <v>42</v>
      </c>
      <c r="E99" s="87" t="s">
        <v>152</v>
      </c>
      <c r="F99" s="43">
        <v>60</v>
      </c>
      <c r="G99" s="43">
        <v>1</v>
      </c>
      <c r="H99" s="43">
        <v>15</v>
      </c>
      <c r="I99" s="455">
        <v>30</v>
      </c>
      <c r="J99" s="189">
        <v>7</v>
      </c>
      <c r="K99" s="189">
        <f t="shared" si="8"/>
        <v>7</v>
      </c>
      <c r="L99" s="190">
        <f>+I99/J99</f>
        <v>4.285714285714286</v>
      </c>
      <c r="M99" s="191">
        <v>605241</v>
      </c>
      <c r="N99" s="189">
        <v>76261</v>
      </c>
      <c r="O99" s="215">
        <f t="shared" si="9"/>
        <v>7.936441955914557</v>
      </c>
      <c r="P99" s="232">
        <v>1</v>
      </c>
    </row>
    <row r="100" spans="1:16" s="7" customFormat="1" ht="15">
      <c r="A100" s="83">
        <v>96</v>
      </c>
      <c r="B100" s="56" t="s">
        <v>224</v>
      </c>
      <c r="C100" s="42">
        <v>39457</v>
      </c>
      <c r="D100" s="46" t="s">
        <v>43</v>
      </c>
      <c r="E100" s="46" t="s">
        <v>578</v>
      </c>
      <c r="F100" s="43">
        <v>213</v>
      </c>
      <c r="G100" s="43">
        <v>1</v>
      </c>
      <c r="H100" s="43">
        <v>22</v>
      </c>
      <c r="I100" s="455">
        <v>30</v>
      </c>
      <c r="J100" s="189">
        <v>6</v>
      </c>
      <c r="K100" s="206">
        <f t="shared" si="8"/>
        <v>6</v>
      </c>
      <c r="L100" s="207">
        <f>I100/J100</f>
        <v>5</v>
      </c>
      <c r="M100" s="191">
        <f>427669.5+1938073+150000+1380941+1095820.5+816147.5+1486+389781.5+45114.5+7082.5-8+4849+22793+809+720+5158+1216+418+3627+3613+7225.5+3613+295+6029+1695.5+30</f>
        <v>6314199</v>
      </c>
      <c r="N100" s="189">
        <f>45000+279515+20000+201794+152671+116739+58282+7998+1796+956+5506+180+166+1305+230+78+906+904+1807+903+59+2010+503+6</f>
        <v>899314</v>
      </c>
      <c r="O100" s="218">
        <f t="shared" si="9"/>
        <v>7.021128326702353</v>
      </c>
      <c r="P100" s="232">
        <v>1</v>
      </c>
    </row>
    <row r="101" spans="1:16" s="7" customFormat="1" ht="15">
      <c r="A101" s="83">
        <v>97</v>
      </c>
      <c r="B101" s="350" t="s">
        <v>234</v>
      </c>
      <c r="C101" s="444">
        <v>39514</v>
      </c>
      <c r="D101" s="450" t="s">
        <v>42</v>
      </c>
      <c r="E101" s="450" t="s">
        <v>38</v>
      </c>
      <c r="F101" s="451">
        <v>30</v>
      </c>
      <c r="G101" s="451">
        <v>1</v>
      </c>
      <c r="H101" s="451">
        <v>28</v>
      </c>
      <c r="I101" s="454">
        <v>28</v>
      </c>
      <c r="J101" s="465">
        <v>7</v>
      </c>
      <c r="K101" s="465">
        <f t="shared" si="8"/>
        <v>7</v>
      </c>
      <c r="L101" s="466">
        <f>+I101/J101</f>
        <v>4</v>
      </c>
      <c r="M101" s="468">
        <v>689952</v>
      </c>
      <c r="N101" s="465">
        <v>78812</v>
      </c>
      <c r="O101" s="467">
        <f t="shared" si="9"/>
        <v>8.754402882809725</v>
      </c>
      <c r="P101" s="232"/>
    </row>
    <row r="102" spans="1:16" s="7" customFormat="1" ht="15">
      <c r="A102" s="83">
        <v>98</v>
      </c>
      <c r="B102" s="350" t="s">
        <v>36</v>
      </c>
      <c r="C102" s="444">
        <v>39584</v>
      </c>
      <c r="D102" s="450" t="s">
        <v>42</v>
      </c>
      <c r="E102" s="450" t="s">
        <v>38</v>
      </c>
      <c r="F102" s="451">
        <v>38</v>
      </c>
      <c r="G102" s="451">
        <v>1</v>
      </c>
      <c r="H102" s="451">
        <v>18</v>
      </c>
      <c r="I102" s="454">
        <v>24</v>
      </c>
      <c r="J102" s="465">
        <v>6</v>
      </c>
      <c r="K102" s="465">
        <f t="shared" si="8"/>
        <v>6</v>
      </c>
      <c r="L102" s="466">
        <f>+I102/J102</f>
        <v>4</v>
      </c>
      <c r="M102" s="468">
        <v>87080</v>
      </c>
      <c r="N102" s="465">
        <v>12181</v>
      </c>
      <c r="O102" s="467">
        <f t="shared" si="9"/>
        <v>7.148838354814876</v>
      </c>
      <c r="P102" s="232"/>
    </row>
    <row r="103" spans="1:16" s="7" customFormat="1" ht="15">
      <c r="A103" s="83">
        <v>99</v>
      </c>
      <c r="B103" s="350" t="s">
        <v>124</v>
      </c>
      <c r="C103" s="444">
        <v>39556</v>
      </c>
      <c r="D103" s="450" t="s">
        <v>42</v>
      </c>
      <c r="E103" s="450" t="s">
        <v>217</v>
      </c>
      <c r="F103" s="451">
        <v>123</v>
      </c>
      <c r="G103" s="451">
        <v>1</v>
      </c>
      <c r="H103" s="451">
        <v>22</v>
      </c>
      <c r="I103" s="454">
        <v>24</v>
      </c>
      <c r="J103" s="465">
        <v>6</v>
      </c>
      <c r="K103" s="465">
        <f t="shared" si="8"/>
        <v>6</v>
      </c>
      <c r="L103" s="466">
        <f>+I103/J103</f>
        <v>4</v>
      </c>
      <c r="M103" s="468">
        <v>1434566</v>
      </c>
      <c r="N103" s="465">
        <v>174435</v>
      </c>
      <c r="O103" s="467">
        <f t="shared" si="9"/>
        <v>8.2240720038983</v>
      </c>
      <c r="P103" s="232"/>
    </row>
    <row r="104" spans="1:16" s="7" customFormat="1" ht="15">
      <c r="A104" s="83">
        <v>100</v>
      </c>
      <c r="B104" s="350" t="s">
        <v>286</v>
      </c>
      <c r="C104" s="444">
        <v>39577</v>
      </c>
      <c r="D104" s="450" t="s">
        <v>42</v>
      </c>
      <c r="E104" s="450" t="s">
        <v>152</v>
      </c>
      <c r="F104" s="451">
        <v>45</v>
      </c>
      <c r="G104" s="451">
        <v>1</v>
      </c>
      <c r="H104" s="451">
        <v>19</v>
      </c>
      <c r="I104" s="454">
        <v>24</v>
      </c>
      <c r="J104" s="465">
        <v>5</v>
      </c>
      <c r="K104" s="465">
        <f t="shared" si="8"/>
        <v>5</v>
      </c>
      <c r="L104" s="466">
        <f>+I104/J104</f>
        <v>4.8</v>
      </c>
      <c r="M104" s="468">
        <v>257748</v>
      </c>
      <c r="N104" s="465">
        <v>33848</v>
      </c>
      <c r="O104" s="467">
        <f t="shared" si="9"/>
        <v>7.6148664618293544</v>
      </c>
      <c r="P104" s="232">
        <v>1</v>
      </c>
    </row>
    <row r="105" spans="1:16" s="7" customFormat="1" ht="15">
      <c r="A105" s="83">
        <v>101</v>
      </c>
      <c r="B105" s="55" t="s">
        <v>324</v>
      </c>
      <c r="C105" s="41">
        <v>39584</v>
      </c>
      <c r="D105" s="45" t="s">
        <v>41</v>
      </c>
      <c r="E105" s="44" t="s">
        <v>217</v>
      </c>
      <c r="F105" s="63">
        <v>70</v>
      </c>
      <c r="G105" s="63">
        <v>1</v>
      </c>
      <c r="H105" s="63">
        <v>15</v>
      </c>
      <c r="I105" s="453">
        <v>24</v>
      </c>
      <c r="J105" s="200">
        <v>4</v>
      </c>
      <c r="K105" s="206">
        <f t="shared" si="8"/>
        <v>4</v>
      </c>
      <c r="L105" s="207">
        <f>I105/J105</f>
        <v>6</v>
      </c>
      <c r="M105" s="199">
        <f>183871+101049+23966+13757+10517+2554+295+414+12+35+42+60+60+78+24</f>
        <v>336734</v>
      </c>
      <c r="N105" s="200">
        <f>19706+11937+3114+2379+1910+411+40+81+2+6+7+10+10+13+4</f>
        <v>39630</v>
      </c>
      <c r="O105" s="218">
        <f t="shared" si="9"/>
        <v>8.496946757506938</v>
      </c>
      <c r="P105" s="232"/>
    </row>
    <row r="106" spans="1:16" s="7" customFormat="1" ht="15">
      <c r="A106" s="83">
        <v>102</v>
      </c>
      <c r="B106" s="56" t="s">
        <v>382</v>
      </c>
      <c r="C106" s="42">
        <v>39437</v>
      </c>
      <c r="D106" s="46" t="s">
        <v>43</v>
      </c>
      <c r="E106" s="46" t="s">
        <v>383</v>
      </c>
      <c r="F106" s="43">
        <v>156</v>
      </c>
      <c r="G106" s="43">
        <v>1</v>
      </c>
      <c r="H106" s="43">
        <v>28</v>
      </c>
      <c r="I106" s="455">
        <v>18</v>
      </c>
      <c r="J106" s="189">
        <v>6</v>
      </c>
      <c r="K106" s="206">
        <f t="shared" si="8"/>
        <v>6</v>
      </c>
      <c r="L106" s="207">
        <f>I106/J106</f>
        <v>3</v>
      </c>
      <c r="M106" s="191">
        <f>1780127+1212579.5+721829.5+404706.5+230406+56484.5+45824+18497.5+10529+9795.5+1455+3484+1447+391+3673+4075.5+1032+2531+796+535+3062+45+30+54+57+51+9+18</f>
        <v>4513524.5</v>
      </c>
      <c r="N106" s="189">
        <f>240776+165120+97288+55998+35394+10296+9476+3143+2091+2258+337+991+436+98+918+697+200+844+138+94+766+15+10+18+19+17+3+6</f>
        <v>627447</v>
      </c>
      <c r="O106" s="218">
        <f t="shared" si="9"/>
        <v>7.193475305483969</v>
      </c>
      <c r="P106" s="232">
        <v>1</v>
      </c>
    </row>
    <row r="107" spans="1:16" s="7" customFormat="1" ht="15.75" thickBot="1">
      <c r="A107" s="83">
        <v>103</v>
      </c>
      <c r="B107" s="131" t="s">
        <v>402</v>
      </c>
      <c r="C107" s="383">
        <v>39500</v>
      </c>
      <c r="D107" s="248" t="s">
        <v>43</v>
      </c>
      <c r="E107" s="248" t="s">
        <v>496</v>
      </c>
      <c r="F107" s="132">
        <v>230</v>
      </c>
      <c r="G107" s="132">
        <v>1</v>
      </c>
      <c r="H107" s="132">
        <v>30</v>
      </c>
      <c r="I107" s="457">
        <v>12</v>
      </c>
      <c r="J107" s="415">
        <v>4</v>
      </c>
      <c r="K107" s="413">
        <f t="shared" si="8"/>
        <v>4</v>
      </c>
      <c r="L107" s="414">
        <f>I107/J107</f>
        <v>3</v>
      </c>
      <c r="M107" s="449">
        <f>11178366+8377359.5+4672112.5+2362758+1366481.5+794201+526150+259383+162480.5+71477.5+186652+102815+31501+9708+8823.5+5724+3796+3024+2161+13986+11929.5+905+5825+547+419+6173.5+6130+150+355+12</f>
        <v>30171406</v>
      </c>
      <c r="N107" s="415">
        <f>1530255+1134702+635170+318515+192563+137173+96324+54461+35028+20139+72208+38598+10936+3213+2963+1896+1251+1004+711+4452+3769+206+1822+128+100+1906+1891+26+73+4</f>
        <v>4301487</v>
      </c>
      <c r="O107" s="416">
        <f t="shared" si="9"/>
        <v>7.014180445041447</v>
      </c>
      <c r="P107" s="232">
        <v>1</v>
      </c>
    </row>
    <row r="108" spans="1:16" s="40" customFormat="1" ht="15">
      <c r="A108" s="485" t="s">
        <v>82</v>
      </c>
      <c r="B108" s="486"/>
      <c r="C108" s="36"/>
      <c r="D108" s="236"/>
      <c r="E108" s="236"/>
      <c r="F108" s="37"/>
      <c r="G108" s="38"/>
      <c r="H108" s="37"/>
      <c r="I108" s="99">
        <f>SUM(I5:I107)</f>
        <v>1915770.5</v>
      </c>
      <c r="J108" s="242">
        <f>SUM(J5:J107)</f>
        <v>226120</v>
      </c>
      <c r="K108" s="242"/>
      <c r="L108" s="75"/>
      <c r="M108" s="104"/>
      <c r="N108" s="109"/>
      <c r="O108" s="39"/>
      <c r="P108" s="320"/>
    </row>
    <row r="109" spans="1:16" s="7" customFormat="1" ht="13.5">
      <c r="A109" s="26"/>
      <c r="C109" s="11"/>
      <c r="D109" s="14"/>
      <c r="E109" s="14"/>
      <c r="F109" s="8"/>
      <c r="G109" s="8"/>
      <c r="H109" s="8"/>
      <c r="I109" s="100"/>
      <c r="J109" s="243"/>
      <c r="K109" s="243"/>
      <c r="L109" s="21"/>
      <c r="M109" s="106"/>
      <c r="N109" s="111"/>
      <c r="O109" s="21"/>
      <c r="P109" s="320"/>
    </row>
    <row r="110" spans="1:16" s="7" customFormat="1" ht="13.5">
      <c r="A110" s="26"/>
      <c r="B110"/>
      <c r="C110" s="114"/>
      <c r="D110" s="237"/>
      <c r="E110" s="237"/>
      <c r="F110" s="82"/>
      <c r="G110" s="16"/>
      <c r="H110" s="8"/>
      <c r="I110" s="100"/>
      <c r="J110" s="243"/>
      <c r="K110" s="487" t="s">
        <v>80</v>
      </c>
      <c r="L110" s="483"/>
      <c r="M110" s="483"/>
      <c r="N110" s="483"/>
      <c r="O110" s="483"/>
      <c r="P110" s="320"/>
    </row>
    <row r="111" spans="1:16" s="7" customFormat="1" ht="13.5">
      <c r="A111" s="26"/>
      <c r="B111"/>
      <c r="C111" s="114"/>
      <c r="D111" s="237"/>
      <c r="E111" s="237"/>
      <c r="F111" s="82"/>
      <c r="G111" s="8"/>
      <c r="H111" s="17"/>
      <c r="I111" s="100"/>
      <c r="J111" s="243"/>
      <c r="K111" s="483"/>
      <c r="L111" s="483"/>
      <c r="M111" s="483"/>
      <c r="N111" s="483"/>
      <c r="O111" s="483"/>
      <c r="P111" s="320"/>
    </row>
    <row r="112" spans="1:16" s="7" customFormat="1" ht="13.5">
      <c r="A112" s="26"/>
      <c r="B112"/>
      <c r="C112" s="114"/>
      <c r="D112" s="237"/>
      <c r="E112" s="237"/>
      <c r="F112" s="82"/>
      <c r="G112" s="8"/>
      <c r="H112" s="17"/>
      <c r="I112" s="100"/>
      <c r="J112" s="243"/>
      <c r="K112" s="483"/>
      <c r="L112" s="483"/>
      <c r="M112" s="483"/>
      <c r="N112" s="483"/>
      <c r="O112" s="483"/>
      <c r="P112" s="320"/>
    </row>
    <row r="113" spans="1:16" s="7" customFormat="1" ht="13.5">
      <c r="A113" s="26"/>
      <c r="B113"/>
      <c r="C113" s="114"/>
      <c r="D113" s="237"/>
      <c r="E113" s="237"/>
      <c r="F113" s="82"/>
      <c r="G113" s="8"/>
      <c r="H113" s="17"/>
      <c r="I113" s="100"/>
      <c r="J113" s="243"/>
      <c r="K113" s="488"/>
      <c r="L113" s="488"/>
      <c r="M113" s="488"/>
      <c r="N113" s="488"/>
      <c r="O113" s="488"/>
      <c r="P113" s="320"/>
    </row>
    <row r="114" spans="1:16" s="7" customFormat="1" ht="13.5">
      <c r="A114" s="26"/>
      <c r="B114"/>
      <c r="C114" s="114"/>
      <c r="D114" s="237"/>
      <c r="E114" s="237"/>
      <c r="F114" s="82"/>
      <c r="G114" s="8"/>
      <c r="H114" s="482" t="s">
        <v>375</v>
      </c>
      <c r="I114" s="483"/>
      <c r="J114" s="483"/>
      <c r="K114" s="483"/>
      <c r="L114" s="483"/>
      <c r="M114" s="483"/>
      <c r="N114" s="483"/>
      <c r="O114" s="483"/>
      <c r="P114" s="320"/>
    </row>
    <row r="115" spans="1:16" s="19" customFormat="1" ht="15">
      <c r="A115" s="26"/>
      <c r="B115"/>
      <c r="C115" s="114"/>
      <c r="D115" s="237"/>
      <c r="E115" s="237"/>
      <c r="F115" s="82"/>
      <c r="G115" s="23"/>
      <c r="H115" s="483"/>
      <c r="I115" s="483"/>
      <c r="J115" s="483"/>
      <c r="K115" s="483"/>
      <c r="L115" s="483"/>
      <c r="M115" s="483"/>
      <c r="N115" s="483"/>
      <c r="O115" s="483"/>
      <c r="P115" s="320"/>
    </row>
    <row r="116" spans="1:16" s="19" customFormat="1" ht="15">
      <c r="A116" s="26"/>
      <c r="B116"/>
      <c r="C116" s="114"/>
      <c r="D116" s="237"/>
      <c r="E116" s="237"/>
      <c r="F116" s="82"/>
      <c r="G116" s="18"/>
      <c r="H116" s="483"/>
      <c r="I116" s="483"/>
      <c r="J116" s="483"/>
      <c r="K116" s="483"/>
      <c r="L116" s="483"/>
      <c r="M116" s="483"/>
      <c r="N116" s="483"/>
      <c r="O116" s="483"/>
      <c r="P116" s="320"/>
    </row>
    <row r="117" spans="1:16" s="19" customFormat="1" ht="15">
      <c r="A117" s="26"/>
      <c r="B117"/>
      <c r="C117" s="114"/>
      <c r="D117" s="237"/>
      <c r="E117" s="237"/>
      <c r="F117" s="82"/>
      <c r="G117" s="18"/>
      <c r="H117" s="483"/>
      <c r="I117" s="483"/>
      <c r="J117" s="483"/>
      <c r="K117" s="483"/>
      <c r="L117" s="483"/>
      <c r="M117" s="483"/>
      <c r="N117" s="483"/>
      <c r="O117" s="483"/>
      <c r="P117" s="320"/>
    </row>
    <row r="118" spans="1:16" s="19" customFormat="1" ht="15">
      <c r="A118" s="26"/>
      <c r="B118"/>
      <c r="C118" s="114"/>
      <c r="D118" s="237"/>
      <c r="E118" s="237"/>
      <c r="F118" s="82"/>
      <c r="G118" s="18"/>
      <c r="H118" s="483"/>
      <c r="I118" s="483"/>
      <c r="J118" s="483"/>
      <c r="K118" s="483"/>
      <c r="L118" s="483"/>
      <c r="M118" s="483"/>
      <c r="N118" s="483"/>
      <c r="O118" s="483"/>
      <c r="P118" s="320"/>
    </row>
    <row r="119" spans="1:16" s="19" customFormat="1" ht="15">
      <c r="A119" s="26"/>
      <c r="B119"/>
      <c r="C119" s="114"/>
      <c r="D119" s="237"/>
      <c r="E119" s="237"/>
      <c r="F119" s="82"/>
      <c r="G119" s="18"/>
      <c r="H119" s="483"/>
      <c r="I119" s="483"/>
      <c r="J119" s="483"/>
      <c r="K119" s="483"/>
      <c r="L119" s="483"/>
      <c r="M119" s="483"/>
      <c r="N119" s="483"/>
      <c r="O119" s="483"/>
      <c r="P119" s="320"/>
    </row>
    <row r="120" spans="1:16" s="19" customFormat="1" ht="15">
      <c r="A120" s="26"/>
      <c r="B120"/>
      <c r="C120" s="114"/>
      <c r="D120" s="237"/>
      <c r="E120" s="237"/>
      <c r="F120" s="82"/>
      <c r="G120" s="18"/>
      <c r="H120" s="484" t="s">
        <v>423</v>
      </c>
      <c r="I120" s="483"/>
      <c r="J120" s="483"/>
      <c r="K120" s="483"/>
      <c r="L120" s="483"/>
      <c r="M120" s="483"/>
      <c r="N120" s="483"/>
      <c r="O120" s="483"/>
      <c r="P120" s="320"/>
    </row>
    <row r="121" spans="1:16" s="19" customFormat="1" ht="15">
      <c r="A121" s="26"/>
      <c r="B121"/>
      <c r="C121" s="114"/>
      <c r="D121" s="237"/>
      <c r="E121" s="237"/>
      <c r="F121" s="82"/>
      <c r="G121" s="18"/>
      <c r="H121" s="483"/>
      <c r="I121" s="483"/>
      <c r="J121" s="483"/>
      <c r="K121" s="483"/>
      <c r="L121" s="483"/>
      <c r="M121" s="483"/>
      <c r="N121" s="483"/>
      <c r="O121" s="483"/>
      <c r="P121" s="320"/>
    </row>
    <row r="122" spans="1:16" s="19" customFormat="1" ht="15">
      <c r="A122" s="26"/>
      <c r="B122"/>
      <c r="C122" s="114"/>
      <c r="D122" s="237"/>
      <c r="E122" s="237"/>
      <c r="F122" s="82"/>
      <c r="G122" s="18"/>
      <c r="H122" s="483"/>
      <c r="I122" s="483"/>
      <c r="J122" s="483"/>
      <c r="K122" s="483"/>
      <c r="L122" s="483"/>
      <c r="M122" s="483"/>
      <c r="N122" s="483"/>
      <c r="O122" s="483"/>
      <c r="P122" s="320"/>
    </row>
    <row r="123" spans="1:16" s="19" customFormat="1" ht="15">
      <c r="A123" s="26"/>
      <c r="B123"/>
      <c r="C123" s="114"/>
      <c r="D123" s="237"/>
      <c r="E123" s="237"/>
      <c r="F123" s="82"/>
      <c r="G123" s="18"/>
      <c r="H123" s="483"/>
      <c r="I123" s="483"/>
      <c r="J123" s="483"/>
      <c r="K123" s="483"/>
      <c r="L123" s="483"/>
      <c r="M123" s="483"/>
      <c r="N123" s="483"/>
      <c r="O123" s="483"/>
      <c r="P123" s="320"/>
    </row>
    <row r="124" spans="1:16" s="19" customFormat="1" ht="15">
      <c r="A124" s="26"/>
      <c r="B124"/>
      <c r="C124" s="114"/>
      <c r="D124" s="237"/>
      <c r="E124" s="237"/>
      <c r="F124" s="82"/>
      <c r="G124" s="18"/>
      <c r="H124" s="483"/>
      <c r="I124" s="483"/>
      <c r="J124" s="483"/>
      <c r="K124" s="483"/>
      <c r="L124" s="483"/>
      <c r="M124" s="483"/>
      <c r="N124" s="483"/>
      <c r="O124" s="483"/>
      <c r="P124" s="320"/>
    </row>
    <row r="125" spans="1:16" s="19" customFormat="1" ht="15">
      <c r="A125" s="26"/>
      <c r="B125" s="27"/>
      <c r="C125" s="50"/>
      <c r="D125" s="238"/>
      <c r="E125" s="238"/>
      <c r="F125" s="73"/>
      <c r="G125" s="18"/>
      <c r="H125" s="483"/>
      <c r="I125" s="483"/>
      <c r="J125" s="483"/>
      <c r="K125" s="483"/>
      <c r="L125" s="483"/>
      <c r="M125" s="483"/>
      <c r="N125" s="483"/>
      <c r="O125" s="483"/>
      <c r="P125" s="320"/>
    </row>
    <row r="126" spans="1:16" s="19" customFormat="1" ht="15">
      <c r="A126" s="26"/>
      <c r="B126" s="27"/>
      <c r="C126" s="50"/>
      <c r="D126" s="238"/>
      <c r="E126" s="238"/>
      <c r="F126" s="73"/>
      <c r="G126" s="18"/>
      <c r="H126" s="483"/>
      <c r="I126" s="483"/>
      <c r="J126" s="483"/>
      <c r="K126" s="483"/>
      <c r="L126" s="483"/>
      <c r="M126" s="483"/>
      <c r="N126" s="483"/>
      <c r="O126" s="483"/>
      <c r="P126" s="320"/>
    </row>
    <row r="127" spans="1:16" s="19" customFormat="1" ht="15">
      <c r="A127" s="26"/>
      <c r="B127" s="27"/>
      <c r="C127" s="50"/>
      <c r="D127" s="238"/>
      <c r="E127" s="238"/>
      <c r="F127" s="73"/>
      <c r="G127" s="18"/>
      <c r="H127" s="73"/>
      <c r="I127" s="102"/>
      <c r="J127" s="244"/>
      <c r="K127" s="244"/>
      <c r="L127" s="74"/>
      <c r="M127" s="246"/>
      <c r="N127" s="112"/>
      <c r="O127" s="74"/>
      <c r="P127" s="320"/>
    </row>
    <row r="128" spans="1:16" s="19" customFormat="1" ht="15">
      <c r="A128" s="26"/>
      <c r="B128" s="27"/>
      <c r="C128" s="50"/>
      <c r="D128" s="238"/>
      <c r="E128" s="238"/>
      <c r="F128" s="73"/>
      <c r="G128" s="18"/>
      <c r="H128" s="73"/>
      <c r="I128" s="102"/>
      <c r="J128" s="244"/>
      <c r="K128" s="244"/>
      <c r="L128" s="74"/>
      <c r="M128" s="246"/>
      <c r="N128" s="112"/>
      <c r="O128" s="74"/>
      <c r="P128" s="320"/>
    </row>
    <row r="129" spans="2:6" ht="18">
      <c r="B129" s="27"/>
      <c r="C129" s="50"/>
      <c r="D129" s="238"/>
      <c r="E129" s="238"/>
      <c r="F129" s="73"/>
    </row>
    <row r="130" spans="2:6" ht="18">
      <c r="B130" s="27"/>
      <c r="C130" s="50"/>
      <c r="D130" s="238"/>
      <c r="E130" s="238"/>
      <c r="F130" s="73"/>
    </row>
    <row r="131" spans="2:15" ht="18">
      <c r="B131" s="27"/>
      <c r="C131" s="50"/>
      <c r="D131" s="238"/>
      <c r="E131" s="238"/>
      <c r="F131" s="73"/>
      <c r="G131" s="73"/>
      <c r="H131" s="73"/>
      <c r="I131" s="102"/>
      <c r="J131" s="244"/>
      <c r="K131" s="244"/>
      <c r="L131" s="74"/>
      <c r="M131" s="107"/>
      <c r="N131" s="113"/>
      <c r="O131" s="74"/>
    </row>
    <row r="132" spans="2:15" ht="18">
      <c r="B132" s="27"/>
      <c r="C132" s="50"/>
      <c r="D132" s="238"/>
      <c r="E132" s="238"/>
      <c r="F132" s="73"/>
      <c r="G132" s="73"/>
      <c r="H132" s="73"/>
      <c r="I132" s="102"/>
      <c r="J132" s="244"/>
      <c r="K132" s="244"/>
      <c r="L132" s="74"/>
      <c r="M132" s="107"/>
      <c r="N132" s="113"/>
      <c r="O132" s="74"/>
    </row>
    <row r="133" spans="2:15" ht="18">
      <c r="B133" s="27"/>
      <c r="C133" s="50"/>
      <c r="D133" s="238"/>
      <c r="E133" s="238"/>
      <c r="F133" s="73"/>
      <c r="G133" s="73"/>
      <c r="H133" s="73"/>
      <c r="I133" s="102"/>
      <c r="J133" s="244"/>
      <c r="K133" s="244"/>
      <c r="L133" s="74"/>
      <c r="M133" s="107"/>
      <c r="N133" s="113"/>
      <c r="O133" s="74"/>
    </row>
    <row r="134" spans="2:15" ht="18">
      <c r="B134" s="27"/>
      <c r="C134" s="50"/>
      <c r="D134" s="238"/>
      <c r="E134" s="238"/>
      <c r="F134" s="73"/>
      <c r="G134" s="73"/>
      <c r="H134" s="73"/>
      <c r="I134" s="102"/>
      <c r="J134" s="244"/>
      <c r="K134" s="244"/>
      <c r="L134" s="74"/>
      <c r="M134" s="107"/>
      <c r="N134" s="113"/>
      <c r="O134" s="74"/>
    </row>
    <row r="135" spans="2:15" ht="18">
      <c r="B135" s="27"/>
      <c r="C135" s="50"/>
      <c r="D135" s="238"/>
      <c r="E135" s="238"/>
      <c r="F135" s="73"/>
      <c r="G135" s="73"/>
      <c r="H135" s="73"/>
      <c r="I135" s="102"/>
      <c r="J135" s="244"/>
      <c r="K135" s="244"/>
      <c r="L135" s="74"/>
      <c r="M135" s="107"/>
      <c r="N135" s="113"/>
      <c r="O135" s="74"/>
    </row>
    <row r="136" spans="2:15" ht="18">
      <c r="B136" s="27"/>
      <c r="C136" s="50"/>
      <c r="D136" s="238"/>
      <c r="E136" s="238"/>
      <c r="F136" s="73"/>
      <c r="G136" s="73"/>
      <c r="H136" s="73"/>
      <c r="I136" s="102"/>
      <c r="J136" s="244"/>
      <c r="K136" s="244"/>
      <c r="L136" s="74"/>
      <c r="M136" s="107"/>
      <c r="N136" s="113"/>
      <c r="O136" s="74"/>
    </row>
    <row r="137" spans="2:15" ht="18">
      <c r="B137" s="27"/>
      <c r="C137" s="50"/>
      <c r="D137" s="238"/>
      <c r="E137" s="238"/>
      <c r="F137" s="73"/>
      <c r="G137" s="73"/>
      <c r="H137" s="73"/>
      <c r="I137" s="102"/>
      <c r="J137" s="244"/>
      <c r="K137" s="244"/>
      <c r="L137" s="74"/>
      <c r="M137" s="107"/>
      <c r="N137" s="113"/>
      <c r="O137" s="74"/>
    </row>
    <row r="138" spans="2:15" ht="18">
      <c r="B138" s="27"/>
      <c r="C138" s="50"/>
      <c r="D138" s="238"/>
      <c r="E138" s="238"/>
      <c r="F138" s="73"/>
      <c r="G138" s="73"/>
      <c r="H138" s="73"/>
      <c r="I138" s="102"/>
      <c r="J138" s="244"/>
      <c r="K138" s="244"/>
      <c r="L138" s="74"/>
      <c r="M138" s="107"/>
      <c r="N138" s="113"/>
      <c r="O138" s="74"/>
    </row>
    <row r="139" spans="7:15" ht="18">
      <c r="G139" s="73"/>
      <c r="H139" s="73"/>
      <c r="I139" s="102"/>
      <c r="J139" s="244"/>
      <c r="K139" s="244"/>
      <c r="L139" s="74"/>
      <c r="M139" s="107"/>
      <c r="N139" s="113"/>
      <c r="O139" s="74"/>
    </row>
    <row r="140" spans="7:15" ht="18">
      <c r="G140" s="73"/>
      <c r="H140" s="73"/>
      <c r="I140" s="102"/>
      <c r="J140" s="244"/>
      <c r="K140" s="244"/>
      <c r="L140" s="74"/>
      <c r="M140" s="107"/>
      <c r="N140" s="113"/>
      <c r="O140" s="74"/>
    </row>
    <row r="141" spans="7:15" ht="18">
      <c r="G141" s="73"/>
      <c r="H141" s="73"/>
      <c r="I141" s="102"/>
      <c r="J141" s="244"/>
      <c r="K141" s="244"/>
      <c r="L141" s="74"/>
      <c r="M141" s="107"/>
      <c r="N141" s="113"/>
      <c r="O141" s="74"/>
    </row>
    <row r="142" spans="7:15" ht="18">
      <c r="G142" s="73"/>
      <c r="H142" s="73"/>
      <c r="I142" s="102"/>
      <c r="J142" s="244"/>
      <c r="K142" s="244"/>
      <c r="L142" s="74"/>
      <c r="M142" s="107"/>
      <c r="N142" s="113"/>
      <c r="O142" s="74"/>
    </row>
    <row r="143" spans="7:15" ht="18">
      <c r="G143" s="73"/>
      <c r="H143" s="73"/>
      <c r="I143" s="102"/>
      <c r="J143" s="244"/>
      <c r="K143" s="244"/>
      <c r="L143" s="74"/>
      <c r="M143" s="107"/>
      <c r="N143" s="113"/>
      <c r="O143" s="74"/>
    </row>
    <row r="144" spans="7:15" ht="18">
      <c r="G144" s="73"/>
      <c r="H144" s="73"/>
      <c r="I144" s="102"/>
      <c r="J144" s="244"/>
      <c r="K144" s="244"/>
      <c r="L144" s="74"/>
      <c r="M144" s="107"/>
      <c r="N144" s="113"/>
      <c r="O144" s="74"/>
    </row>
  </sheetData>
  <sheetProtection insertRows="0" deleteRows="0" sort="0"/>
  <mergeCells count="15">
    <mergeCell ref="D3:D4"/>
    <mergeCell ref="H3:H4"/>
    <mergeCell ref="I3:L3"/>
    <mergeCell ref="C3:C4"/>
    <mergeCell ref="E3:E4"/>
    <mergeCell ref="H114:O119"/>
    <mergeCell ref="H120:O126"/>
    <mergeCell ref="A108:B108"/>
    <mergeCell ref="K110:O112"/>
    <mergeCell ref="K113:O113"/>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r:id="rId2"/>
  <ignoredErrors>
    <ignoredError sqref="Q20:Q44 Q9:Q10 O11:O12 O92:O99 Q7:Q8 L9:L12 L27:L88 L89:L100 Q11:Q19 K20:K88" formula="1"/>
    <ignoredError sqref="O13:O26 O27:O91 L13:L26" formula="1" unlockedFormula="1"/>
    <ignoredError sqref="G45:I80 G31:I44 G81:I83 F45:F80" numberStoredAsText="1"/>
    <ignoredError sqref="N108 M108 M7:N94 M105:N105" unlockedFormula="1"/>
  </ignoredErrors>
  <drawing r:id="rId1"/>
</worksheet>
</file>

<file path=xl/worksheets/sheet2.xml><?xml version="1.0" encoding="utf-8"?>
<worksheet xmlns="http://schemas.openxmlformats.org/spreadsheetml/2006/main" xmlns:r="http://schemas.openxmlformats.org/officeDocument/2006/relationships">
  <dimension ref="A1:P219"/>
  <sheetViews>
    <sheetView zoomScalePageLayoutView="0" workbookViewId="0" topLeftCell="A1">
      <selection activeCell="B2" sqref="B2:B3"/>
    </sheetView>
  </sheetViews>
  <sheetFormatPr defaultColWidth="13.28125" defaultRowHeight="12.75"/>
  <cols>
    <col min="1" max="1" width="3.8515625" style="34" customWidth="1"/>
    <col min="2" max="2" width="51.8515625" style="32" bestFit="1" customWidth="1"/>
    <col min="3" max="3" width="9.57421875" style="24" customWidth="1"/>
    <col min="4" max="4" width="20.421875" style="24" bestFit="1" customWidth="1"/>
    <col min="5" max="5" width="31.57421875" style="24" bestFit="1" customWidth="1"/>
    <col min="6" max="6" width="7.140625" style="24" bestFit="1" customWidth="1"/>
    <col min="7" max="7" width="8.140625" style="24" customWidth="1"/>
    <col min="8" max="8" width="18.57421875" style="438" bestFit="1" customWidth="1"/>
    <col min="9" max="9" width="13.8515625" style="439" bestFit="1" customWidth="1"/>
    <col min="10" max="10" width="9.421875" style="33" customWidth="1"/>
    <col min="11" max="11" width="2.421875" style="269"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510" t="s">
        <v>587</v>
      </c>
      <c r="B1" s="510"/>
      <c r="C1" s="510"/>
      <c r="D1" s="510"/>
      <c r="E1" s="510"/>
      <c r="F1" s="510"/>
      <c r="G1" s="510"/>
      <c r="H1" s="510"/>
      <c r="I1" s="510"/>
      <c r="J1" s="510"/>
      <c r="K1" s="267"/>
      <c r="L1" s="72"/>
      <c r="M1" s="71"/>
      <c r="N1" s="72"/>
    </row>
    <row r="2" spans="1:14" s="31" customFormat="1" ht="14.25">
      <c r="A2" s="35"/>
      <c r="B2" s="503" t="s">
        <v>433</v>
      </c>
      <c r="C2" s="503" t="s">
        <v>378</v>
      </c>
      <c r="D2" s="503" t="s">
        <v>297</v>
      </c>
      <c r="E2" s="503" t="s">
        <v>296</v>
      </c>
      <c r="F2" s="494" t="s">
        <v>132</v>
      </c>
      <c r="G2" s="494" t="s">
        <v>379</v>
      </c>
      <c r="H2" s="506" t="s">
        <v>134</v>
      </c>
      <c r="I2" s="507"/>
      <c r="J2" s="508" t="s">
        <v>380</v>
      </c>
      <c r="K2" s="268"/>
      <c r="L2" s="65"/>
      <c r="M2" s="68"/>
      <c r="N2" s="65"/>
    </row>
    <row r="3" spans="1:14" s="31" customFormat="1" ht="33" customHeight="1" thickBot="1">
      <c r="A3" s="52"/>
      <c r="B3" s="504"/>
      <c r="C3" s="504"/>
      <c r="D3" s="504"/>
      <c r="E3" s="504"/>
      <c r="F3" s="505"/>
      <c r="G3" s="505"/>
      <c r="H3" s="90" t="s">
        <v>545</v>
      </c>
      <c r="I3" s="29" t="s">
        <v>427</v>
      </c>
      <c r="J3" s="509"/>
      <c r="K3" s="268"/>
      <c r="L3" s="65"/>
      <c r="M3" s="68"/>
      <c r="N3" s="65"/>
    </row>
    <row r="4" spans="1:14" s="31" customFormat="1" ht="15">
      <c r="A4" s="229">
        <v>1</v>
      </c>
      <c r="B4" s="118" t="s">
        <v>402</v>
      </c>
      <c r="C4" s="51">
        <v>39500</v>
      </c>
      <c r="D4" s="300" t="s">
        <v>43</v>
      </c>
      <c r="E4" s="300" t="s">
        <v>496</v>
      </c>
      <c r="F4" s="120">
        <v>230</v>
      </c>
      <c r="G4" s="120">
        <v>30</v>
      </c>
      <c r="H4" s="399">
        <f>11178366+8377359.5+4672112.5+2362758+1366481.5+794201+526150+259383+162480.5+71477.5+186652+102815+31501+9708+8823.5+5724+3796+3024+2161+13986+11929.5+905+5825+547+419+6173.5+6130+150+355+12</f>
        <v>30171406</v>
      </c>
      <c r="I4" s="434">
        <f>1530255+1134702+635170+318515+192563+137173+96324+54461+35028+20139+72208+38598+10936+3213+2963+1896+1251+1004+711+4452+3769+206+1822+128+100+1906+1891+26+73+4</f>
        <v>4301487</v>
      </c>
      <c r="J4" s="412">
        <f>+H4/I4</f>
        <v>7.014180445041447</v>
      </c>
      <c r="K4" s="232">
        <v>1</v>
      </c>
      <c r="L4" s="230"/>
      <c r="M4" s="231"/>
      <c r="N4" s="230"/>
    </row>
    <row r="5" spans="1:14" s="31" customFormat="1" ht="15">
      <c r="A5" s="229">
        <v>2</v>
      </c>
      <c r="B5" s="350" t="s">
        <v>169</v>
      </c>
      <c r="C5" s="42">
        <v>39457</v>
      </c>
      <c r="D5" s="87" t="s">
        <v>42</v>
      </c>
      <c r="E5" s="87" t="s">
        <v>249</v>
      </c>
      <c r="F5" s="43">
        <v>233</v>
      </c>
      <c r="G5" s="43">
        <v>30</v>
      </c>
      <c r="H5" s="187">
        <v>6795141</v>
      </c>
      <c r="I5" s="188">
        <v>960979</v>
      </c>
      <c r="J5" s="215">
        <f>+H5/I5</f>
        <v>7.071060866054305</v>
      </c>
      <c r="K5" s="232">
        <v>1</v>
      </c>
      <c r="L5" s="230"/>
      <c r="M5" s="231"/>
      <c r="N5" s="230"/>
    </row>
    <row r="6" spans="1:14" s="31" customFormat="1" ht="15">
      <c r="A6" s="311">
        <v>3</v>
      </c>
      <c r="B6" s="309" t="s">
        <v>224</v>
      </c>
      <c r="C6" s="351">
        <v>39457</v>
      </c>
      <c r="D6" s="339" t="s">
        <v>43</v>
      </c>
      <c r="E6" s="339" t="s">
        <v>578</v>
      </c>
      <c r="F6" s="310">
        <v>213</v>
      </c>
      <c r="G6" s="310">
        <v>22</v>
      </c>
      <c r="H6" s="398">
        <f>427669.5+1938073+150000+1380941+1095820.5+816147.5+1486+389781.5+45114.5+7082.5-8+4849+22793+809+720+5158+1216+418+3627+3613+7225.5+3613+295+6029+1695.5+30</f>
        <v>6314199</v>
      </c>
      <c r="I6" s="435">
        <f>45000+279515+20000+201794+152671+116739+58282+7998+1796+956+5506+180+166+1305+230+78+906+904+1807+903+59+2010+503+6</f>
        <v>899314</v>
      </c>
      <c r="J6" s="433">
        <f>+H6/I6</f>
        <v>7.021128326702353</v>
      </c>
      <c r="K6" s="232">
        <v>1</v>
      </c>
      <c r="L6" s="230"/>
      <c r="M6" s="231"/>
      <c r="N6" s="230"/>
    </row>
    <row r="7" spans="1:14" s="31" customFormat="1" ht="15">
      <c r="A7" s="229">
        <v>4</v>
      </c>
      <c r="B7" s="336" t="s">
        <v>166</v>
      </c>
      <c r="C7" s="233">
        <v>39584</v>
      </c>
      <c r="D7" s="337" t="s">
        <v>323</v>
      </c>
      <c r="E7" s="337" t="s">
        <v>323</v>
      </c>
      <c r="F7" s="338">
        <v>167</v>
      </c>
      <c r="G7" s="338" t="s">
        <v>566</v>
      </c>
      <c r="H7" s="397">
        <v>5307359.095</v>
      </c>
      <c r="I7" s="420">
        <v>713545.61</v>
      </c>
      <c r="J7" s="424">
        <f>+H7/I7</f>
        <v>7.4380095968917805</v>
      </c>
      <c r="K7" s="232">
        <v>1</v>
      </c>
      <c r="L7" s="230"/>
      <c r="M7" s="231"/>
      <c r="N7" s="230"/>
    </row>
    <row r="8" spans="1:14" s="31" customFormat="1" ht="15">
      <c r="A8" s="229">
        <v>5</v>
      </c>
      <c r="B8" s="56">
        <v>120</v>
      </c>
      <c r="C8" s="42">
        <v>39493</v>
      </c>
      <c r="D8" s="46" t="s">
        <v>43</v>
      </c>
      <c r="E8" s="46" t="s">
        <v>533</v>
      </c>
      <c r="F8" s="43">
        <v>179</v>
      </c>
      <c r="G8" s="43">
        <v>29</v>
      </c>
      <c r="H8" s="86">
        <f>940515+844172.5+750489+533469+396399.5+362067.5+228159+211115.5+153941.5+48+73076.5+60280+47290.5+46690+13789+13717.5+9809+2709.5+1288.5+22597.5+10821.5+12218+7313+44774.5+111294+3629+0.5+41599.5+20470.5+5217-3719.5+10067</f>
        <v>4975309.5</v>
      </c>
      <c r="I8" s="188">
        <f>135921+127724+124508+97493+101422+99063+62455+57586+44490+6+19837+19877+15923+15427+4822+4847+3310+822+280+7405+3528+4050+2428+14923+37098+1709+6180+3303+3114</f>
        <v>1019551</v>
      </c>
      <c r="J8" s="218">
        <f>+H8/I8</f>
        <v>4.879902525719655</v>
      </c>
      <c r="K8" s="232">
        <v>1</v>
      </c>
      <c r="L8" s="230"/>
      <c r="M8" s="231"/>
      <c r="N8" s="230"/>
    </row>
    <row r="9" spans="1:14" s="31" customFormat="1" ht="15">
      <c r="A9" s="229">
        <v>6</v>
      </c>
      <c r="B9" s="55" t="s">
        <v>114</v>
      </c>
      <c r="C9" s="41">
        <v>39647</v>
      </c>
      <c r="D9" s="44" t="s">
        <v>81</v>
      </c>
      <c r="E9" s="44" t="s">
        <v>290</v>
      </c>
      <c r="F9" s="63">
        <v>108</v>
      </c>
      <c r="G9" s="63">
        <v>9</v>
      </c>
      <c r="H9" s="94">
        <f>1222515+828853.5+616915.5+465273+341230+269480+214782+33294.5+48263</f>
        <v>4040606.5</v>
      </c>
      <c r="I9" s="188">
        <f>124195+81105+60538+46526+36523+29809+22690+5484+5511</f>
        <v>412381</v>
      </c>
      <c r="J9" s="216">
        <f>IF(H9&lt;&gt;0,H9/I9,"")</f>
        <v>9.798236339695572</v>
      </c>
      <c r="K9" s="232"/>
      <c r="L9" s="230"/>
      <c r="M9" s="231"/>
      <c r="N9" s="230"/>
    </row>
    <row r="10" spans="1:14" s="31" customFormat="1" ht="15">
      <c r="A10" s="229">
        <v>7</v>
      </c>
      <c r="B10" s="350" t="s">
        <v>256</v>
      </c>
      <c r="C10" s="42">
        <v>39472</v>
      </c>
      <c r="D10" s="87" t="s">
        <v>42</v>
      </c>
      <c r="E10" s="87" t="s">
        <v>226</v>
      </c>
      <c r="F10" s="43">
        <v>152</v>
      </c>
      <c r="G10" s="43">
        <v>34</v>
      </c>
      <c r="H10" s="86">
        <v>3983320</v>
      </c>
      <c r="I10" s="95">
        <v>523745</v>
      </c>
      <c r="J10" s="155">
        <f>+H10/I10</f>
        <v>7.605456854003379</v>
      </c>
      <c r="K10" s="232">
        <v>1</v>
      </c>
      <c r="L10" s="230"/>
      <c r="M10" s="231"/>
      <c r="N10" s="230"/>
    </row>
    <row r="11" spans="1:14" s="31" customFormat="1" ht="15">
      <c r="A11" s="229">
        <v>8</v>
      </c>
      <c r="B11" s="55" t="s">
        <v>171</v>
      </c>
      <c r="C11" s="41">
        <v>39654</v>
      </c>
      <c r="D11" s="45" t="s">
        <v>41</v>
      </c>
      <c r="E11" s="44" t="s">
        <v>140</v>
      </c>
      <c r="F11" s="63">
        <v>158</v>
      </c>
      <c r="G11" s="63">
        <v>8</v>
      </c>
      <c r="H11" s="85">
        <f>1499167+765833+498798+219+345996+180620+120657+85001+38515</f>
        <v>3534806</v>
      </c>
      <c r="I11" s="198">
        <f>168641+87154+58708+22+41361+24139+15950+10313+4468</f>
        <v>410756</v>
      </c>
      <c r="J11" s="218">
        <f>+H11/I11</f>
        <v>8.60561014324806</v>
      </c>
      <c r="K11" s="232"/>
      <c r="L11" s="230"/>
      <c r="M11" s="231"/>
      <c r="N11" s="230"/>
    </row>
    <row r="12" spans="1:14" s="31" customFormat="1" ht="15">
      <c r="A12" s="229">
        <v>9</v>
      </c>
      <c r="B12" s="55" t="s">
        <v>255</v>
      </c>
      <c r="C12" s="41">
        <v>39472</v>
      </c>
      <c r="D12" s="45" t="s">
        <v>41</v>
      </c>
      <c r="E12" s="44" t="s">
        <v>140</v>
      </c>
      <c r="F12" s="63">
        <v>111</v>
      </c>
      <c r="G12" s="63">
        <v>21</v>
      </c>
      <c r="H12" s="197">
        <f>1551506+940903+602264+144551+29688+19039+13388+3909+3175+6017+3240+154+5643+2381+676+682+668+452+2381+2970+1196</f>
        <v>3334883</v>
      </c>
      <c r="I12" s="198">
        <f>185165+115152+74770+21048+5434+3839+2772+840+558+1222+569+28+1369+793+242+135+133+90+793+574+224</f>
        <v>415750</v>
      </c>
      <c r="J12" s="218">
        <f>+H12/I12</f>
        <v>8.021366205652436</v>
      </c>
      <c r="K12" s="232"/>
      <c r="L12" s="230"/>
      <c r="M12" s="231"/>
      <c r="N12" s="230"/>
    </row>
    <row r="13" spans="1:14" s="31" customFormat="1" ht="15">
      <c r="A13" s="229">
        <v>10</v>
      </c>
      <c r="B13" s="350" t="s">
        <v>572</v>
      </c>
      <c r="C13" s="42">
        <v>39661</v>
      </c>
      <c r="D13" s="87" t="s">
        <v>42</v>
      </c>
      <c r="E13" s="87" t="s">
        <v>47</v>
      </c>
      <c r="F13" s="43">
        <v>148</v>
      </c>
      <c r="G13" s="43">
        <v>7</v>
      </c>
      <c r="H13" s="86">
        <v>3348665</v>
      </c>
      <c r="I13" s="95">
        <v>433034</v>
      </c>
      <c r="J13" s="155">
        <f>+H13/I13</f>
        <v>7.733030200861826</v>
      </c>
      <c r="K13" s="232"/>
      <c r="L13" s="230"/>
      <c r="M13" s="231"/>
      <c r="N13" s="230"/>
    </row>
    <row r="14" spans="1:14" s="31" customFormat="1" ht="15">
      <c r="A14" s="229">
        <v>11</v>
      </c>
      <c r="B14" s="55" t="s">
        <v>206</v>
      </c>
      <c r="C14" s="41">
        <v>39514</v>
      </c>
      <c r="D14" s="45" t="s">
        <v>41</v>
      </c>
      <c r="E14" s="44" t="s">
        <v>140</v>
      </c>
      <c r="F14" s="63">
        <v>129</v>
      </c>
      <c r="G14" s="63">
        <v>14</v>
      </c>
      <c r="H14" s="197">
        <f>1426287+820107+516469+257495+100801+69492+26640+9108+3545+2846+1962+2278+187+178</f>
        <v>3237395</v>
      </c>
      <c r="I14" s="198">
        <f>180898+107241+67200+35456+16036+14880+5582+1948+951+715+529+653+29+53</f>
        <v>432171</v>
      </c>
      <c r="J14" s="218">
        <f>+H14/I14</f>
        <v>7.49100471803985</v>
      </c>
      <c r="K14" s="232"/>
      <c r="L14" s="230"/>
      <c r="M14" s="231"/>
      <c r="N14" s="230"/>
    </row>
    <row r="15" spans="1:14" s="31" customFormat="1" ht="15">
      <c r="A15" s="229">
        <v>12</v>
      </c>
      <c r="B15" s="56" t="s">
        <v>301</v>
      </c>
      <c r="C15" s="41">
        <v>39451</v>
      </c>
      <c r="D15" s="46" t="s">
        <v>42</v>
      </c>
      <c r="E15" s="46" t="s">
        <v>298</v>
      </c>
      <c r="F15" s="43">
        <v>137</v>
      </c>
      <c r="G15" s="43">
        <v>11</v>
      </c>
      <c r="H15" s="187">
        <v>2786897</v>
      </c>
      <c r="I15" s="188">
        <v>336440</v>
      </c>
      <c r="J15" s="215">
        <v>8.283488883604804</v>
      </c>
      <c r="K15" s="232"/>
      <c r="L15" s="230"/>
      <c r="M15" s="231"/>
      <c r="N15" s="230"/>
    </row>
    <row r="16" spans="1:14" s="31" customFormat="1" ht="15">
      <c r="A16" s="229">
        <v>13</v>
      </c>
      <c r="B16" s="350" t="s">
        <v>540</v>
      </c>
      <c r="C16" s="42">
        <v>39591</v>
      </c>
      <c r="D16" s="87" t="s">
        <v>42</v>
      </c>
      <c r="E16" s="87" t="s">
        <v>38</v>
      </c>
      <c r="F16" s="43">
        <v>192</v>
      </c>
      <c r="G16" s="43">
        <v>17</v>
      </c>
      <c r="H16" s="86">
        <v>2683950</v>
      </c>
      <c r="I16" s="188">
        <v>330715</v>
      </c>
      <c r="J16" s="81">
        <f>+H16/I16</f>
        <v>8.115598022466473</v>
      </c>
      <c r="K16" s="232"/>
      <c r="L16" s="230"/>
      <c r="M16" s="231"/>
      <c r="N16" s="230"/>
    </row>
    <row r="17" spans="1:14" s="31" customFormat="1" ht="15">
      <c r="A17" s="229">
        <v>14</v>
      </c>
      <c r="B17" s="55" t="s">
        <v>227</v>
      </c>
      <c r="C17" s="41">
        <v>39633</v>
      </c>
      <c r="D17" s="45" t="s">
        <v>41</v>
      </c>
      <c r="E17" s="44" t="s">
        <v>46</v>
      </c>
      <c r="F17" s="63">
        <v>142</v>
      </c>
      <c r="G17" s="63">
        <v>11</v>
      </c>
      <c r="H17" s="85">
        <f>1199651+648074+354971-239+213613+76961+51453+10+30872+12006+6725+2326+696</f>
        <v>2597119</v>
      </c>
      <c r="I17" s="198">
        <f>143901+78583+44154-17+27689+11757+9313+5638+2056+1089+502+141</f>
        <v>324806</v>
      </c>
      <c r="J17" s="218">
        <f>+H17/I17</f>
        <v>7.995908326816623</v>
      </c>
      <c r="K17" s="232"/>
      <c r="L17" s="230"/>
      <c r="M17" s="231"/>
      <c r="N17" s="230"/>
    </row>
    <row r="18" spans="1:14" s="31" customFormat="1" ht="15">
      <c r="A18" s="229">
        <v>15</v>
      </c>
      <c r="B18" s="350" t="s">
        <v>441</v>
      </c>
      <c r="C18" s="42">
        <v>39626</v>
      </c>
      <c r="D18" s="87" t="s">
        <v>42</v>
      </c>
      <c r="E18" s="87" t="s">
        <v>47</v>
      </c>
      <c r="F18" s="43">
        <v>118</v>
      </c>
      <c r="G18" s="43">
        <v>12</v>
      </c>
      <c r="H18" s="86">
        <v>2408285</v>
      </c>
      <c r="I18" s="95">
        <v>296093</v>
      </c>
      <c r="J18" s="155">
        <f>+H18/I18</f>
        <v>8.133542501849082</v>
      </c>
      <c r="K18" s="232"/>
      <c r="L18" s="230"/>
      <c r="M18" s="231"/>
      <c r="N18" s="230"/>
    </row>
    <row r="19" spans="1:14" s="31" customFormat="1" ht="15">
      <c r="A19" s="229">
        <v>16</v>
      </c>
      <c r="B19" s="56" t="s">
        <v>54</v>
      </c>
      <c r="C19" s="41">
        <v>39486</v>
      </c>
      <c r="D19" s="46" t="s">
        <v>41</v>
      </c>
      <c r="E19" s="46" t="s">
        <v>55</v>
      </c>
      <c r="F19" s="43">
        <v>138</v>
      </c>
      <c r="G19" s="43">
        <v>17</v>
      </c>
      <c r="H19" s="86">
        <f>1002369+655421+339962+116542+43967+41854+21467+9106+4629+5735+3597+918+1019+983+531+390+417</f>
        <v>2248907</v>
      </c>
      <c r="I19" s="95">
        <f>140503+94564+50087+20103+10039+8460+4373+1889+1077+1210+1009+182+203+195+106+78+90</f>
        <v>334168</v>
      </c>
      <c r="J19" s="215">
        <f>+H19/I19</f>
        <v>6.72986940700486</v>
      </c>
      <c r="K19" s="232">
        <v>1</v>
      </c>
      <c r="L19" s="230"/>
      <c r="M19" s="231"/>
      <c r="N19" s="230"/>
    </row>
    <row r="20" spans="1:14" s="31" customFormat="1" ht="15">
      <c r="A20" s="229">
        <v>17</v>
      </c>
      <c r="B20" s="350" t="s">
        <v>79</v>
      </c>
      <c r="C20" s="42">
        <v>39570</v>
      </c>
      <c r="D20" s="87" t="s">
        <v>42</v>
      </c>
      <c r="E20" s="87" t="s">
        <v>38</v>
      </c>
      <c r="F20" s="43">
        <v>140</v>
      </c>
      <c r="G20" s="43">
        <v>19</v>
      </c>
      <c r="H20" s="86">
        <v>2087895</v>
      </c>
      <c r="I20" s="95">
        <v>261681</v>
      </c>
      <c r="J20" s="155">
        <f>+H20/I20</f>
        <v>7.9787795063455125</v>
      </c>
      <c r="K20" s="232"/>
      <c r="L20" s="230"/>
      <c r="M20" s="231"/>
      <c r="N20" s="230"/>
    </row>
    <row r="21" spans="1:14" s="31" customFormat="1" ht="15">
      <c r="A21" s="229">
        <v>18</v>
      </c>
      <c r="B21" s="57" t="s">
        <v>480</v>
      </c>
      <c r="C21" s="42">
        <v>39500</v>
      </c>
      <c r="D21" s="47" t="s">
        <v>425</v>
      </c>
      <c r="E21" s="47" t="s">
        <v>403</v>
      </c>
      <c r="F21" s="88">
        <v>100</v>
      </c>
      <c r="G21" s="88">
        <v>30</v>
      </c>
      <c r="H21" s="85">
        <v>1748034.4</v>
      </c>
      <c r="I21" s="198">
        <v>237648</v>
      </c>
      <c r="J21" s="218">
        <f>H21/I21</f>
        <v>7.355561166094391</v>
      </c>
      <c r="K21" s="232"/>
      <c r="L21" s="230"/>
      <c r="M21" s="231"/>
      <c r="N21" s="230"/>
    </row>
    <row r="22" spans="1:14" s="31" customFormat="1" ht="15">
      <c r="A22" s="229">
        <v>19</v>
      </c>
      <c r="B22" s="56" t="s">
        <v>147</v>
      </c>
      <c r="C22" s="42">
        <v>39465</v>
      </c>
      <c r="D22" s="87" t="s">
        <v>42</v>
      </c>
      <c r="E22" s="87" t="s">
        <v>47</v>
      </c>
      <c r="F22" s="43">
        <v>113</v>
      </c>
      <c r="G22" s="43">
        <v>32</v>
      </c>
      <c r="H22" s="187">
        <v>1620394</v>
      </c>
      <c r="I22" s="188">
        <v>183213</v>
      </c>
      <c r="J22" s="215">
        <f aca="true" t="shared" si="0" ref="J22:J29">+H22/I22</f>
        <v>8.844317815875511</v>
      </c>
      <c r="K22" s="232"/>
      <c r="L22" s="230"/>
      <c r="M22" s="231"/>
      <c r="N22" s="230"/>
    </row>
    <row r="23" spans="1:14" s="31" customFormat="1" ht="15">
      <c r="A23" s="229">
        <v>20</v>
      </c>
      <c r="B23" s="350" t="s">
        <v>520</v>
      </c>
      <c r="C23" s="42">
        <v>39640</v>
      </c>
      <c r="D23" s="87" t="s">
        <v>42</v>
      </c>
      <c r="E23" s="87" t="s">
        <v>47</v>
      </c>
      <c r="F23" s="43">
        <v>137</v>
      </c>
      <c r="G23" s="43">
        <v>10</v>
      </c>
      <c r="H23" s="86">
        <v>1618290</v>
      </c>
      <c r="I23" s="95">
        <v>214812</v>
      </c>
      <c r="J23" s="155">
        <f t="shared" si="0"/>
        <v>7.533517680576504</v>
      </c>
      <c r="K23" s="232"/>
      <c r="L23" s="230"/>
      <c r="M23" s="231"/>
      <c r="N23" s="230"/>
    </row>
    <row r="24" spans="1:14" s="31" customFormat="1" ht="15">
      <c r="A24" s="229">
        <v>21</v>
      </c>
      <c r="B24" s="56" t="s">
        <v>30</v>
      </c>
      <c r="C24" s="347">
        <v>39521</v>
      </c>
      <c r="D24" s="48" t="s">
        <v>165</v>
      </c>
      <c r="E24" s="48" t="s">
        <v>194</v>
      </c>
      <c r="F24" s="76">
        <v>42</v>
      </c>
      <c r="G24" s="76">
        <v>17</v>
      </c>
      <c r="H24" s="187">
        <v>1590011</v>
      </c>
      <c r="I24" s="188">
        <v>194837</v>
      </c>
      <c r="J24" s="218">
        <f t="shared" si="0"/>
        <v>8.160724092446507</v>
      </c>
      <c r="K24" s="232"/>
      <c r="L24" s="230"/>
      <c r="M24" s="231"/>
      <c r="N24" s="230"/>
    </row>
    <row r="25" spans="1:14" s="31" customFormat="1" ht="15">
      <c r="A25" s="229">
        <v>22</v>
      </c>
      <c r="B25" s="350" t="s">
        <v>191</v>
      </c>
      <c r="C25" s="42">
        <v>39612</v>
      </c>
      <c r="D25" s="87" t="s">
        <v>42</v>
      </c>
      <c r="E25" s="87" t="s">
        <v>47</v>
      </c>
      <c r="F25" s="43">
        <v>115</v>
      </c>
      <c r="G25" s="43">
        <v>14</v>
      </c>
      <c r="H25" s="86">
        <v>1581843</v>
      </c>
      <c r="I25" s="95">
        <v>208055</v>
      </c>
      <c r="J25" s="155">
        <f t="shared" si="0"/>
        <v>7.6030040133618515</v>
      </c>
      <c r="K25" s="232"/>
      <c r="L25" s="230"/>
      <c r="M25" s="231"/>
      <c r="N25" s="230"/>
    </row>
    <row r="26" spans="1:14" s="31" customFormat="1" ht="15">
      <c r="A26" s="229">
        <v>23</v>
      </c>
      <c r="B26" s="350" t="s">
        <v>85</v>
      </c>
      <c r="C26" s="42">
        <v>39598</v>
      </c>
      <c r="D26" s="87" t="s">
        <v>42</v>
      </c>
      <c r="E26" s="87" t="s">
        <v>217</v>
      </c>
      <c r="F26" s="43">
        <v>122</v>
      </c>
      <c r="G26" s="43">
        <v>16</v>
      </c>
      <c r="H26" s="187">
        <v>1559138</v>
      </c>
      <c r="I26" s="188">
        <v>16882</v>
      </c>
      <c r="J26" s="215">
        <f t="shared" si="0"/>
        <v>92.35505271887217</v>
      </c>
      <c r="K26" s="232"/>
      <c r="L26" s="230"/>
      <c r="M26" s="231"/>
      <c r="N26" s="230"/>
    </row>
    <row r="27" spans="1:14" s="31" customFormat="1" ht="15">
      <c r="A27" s="229">
        <v>24</v>
      </c>
      <c r="B27" s="57" t="s">
        <v>149</v>
      </c>
      <c r="C27" s="41">
        <v>39507</v>
      </c>
      <c r="D27" s="47" t="s">
        <v>223</v>
      </c>
      <c r="E27" s="47" t="s">
        <v>528</v>
      </c>
      <c r="F27" s="64" t="s">
        <v>150</v>
      </c>
      <c r="G27" s="64" t="s">
        <v>522</v>
      </c>
      <c r="H27" s="197">
        <v>1526145.18</v>
      </c>
      <c r="I27" s="198">
        <v>214465</v>
      </c>
      <c r="J27" s="218">
        <f t="shared" si="0"/>
        <v>7.116057072249551</v>
      </c>
      <c r="K27" s="232">
        <v>1</v>
      </c>
      <c r="L27" s="230"/>
      <c r="M27" s="231"/>
      <c r="N27" s="230"/>
    </row>
    <row r="28" spans="1:14" s="31" customFormat="1" ht="15">
      <c r="A28" s="229">
        <v>25</v>
      </c>
      <c r="B28" s="350" t="s">
        <v>228</v>
      </c>
      <c r="C28" s="42">
        <v>39633</v>
      </c>
      <c r="D28" s="87" t="s">
        <v>42</v>
      </c>
      <c r="E28" s="87" t="s">
        <v>38</v>
      </c>
      <c r="F28" s="43">
        <v>123</v>
      </c>
      <c r="G28" s="43">
        <v>11</v>
      </c>
      <c r="H28" s="86">
        <v>1520101</v>
      </c>
      <c r="I28" s="95">
        <v>207136</v>
      </c>
      <c r="J28" s="155">
        <f t="shared" si="0"/>
        <v>7.3386615556928785</v>
      </c>
      <c r="K28" s="232"/>
      <c r="L28" s="230"/>
      <c r="M28" s="231"/>
      <c r="N28" s="230"/>
    </row>
    <row r="29" spans="1:14" s="31" customFormat="1" ht="15">
      <c r="A29" s="229">
        <v>26</v>
      </c>
      <c r="B29" s="62" t="s">
        <v>284</v>
      </c>
      <c r="C29" s="41">
        <v>39577</v>
      </c>
      <c r="D29" s="47" t="s">
        <v>468</v>
      </c>
      <c r="E29" s="47" t="s">
        <v>585</v>
      </c>
      <c r="F29" s="58">
        <v>85</v>
      </c>
      <c r="G29" s="58">
        <v>17</v>
      </c>
      <c r="H29" s="85">
        <v>1477365</v>
      </c>
      <c r="I29" s="198">
        <v>183392</v>
      </c>
      <c r="J29" s="216">
        <f t="shared" si="0"/>
        <v>8.055776696911535</v>
      </c>
      <c r="K29" s="232"/>
      <c r="L29" s="230"/>
      <c r="M29" s="231"/>
      <c r="N29" s="230"/>
    </row>
    <row r="30" spans="1:14" s="31" customFormat="1" ht="15">
      <c r="A30" s="229">
        <v>27</v>
      </c>
      <c r="B30" s="56" t="s">
        <v>124</v>
      </c>
      <c r="C30" s="42">
        <v>39556</v>
      </c>
      <c r="D30" s="87" t="s">
        <v>42</v>
      </c>
      <c r="E30" s="87" t="s">
        <v>217</v>
      </c>
      <c r="F30" s="43">
        <v>123</v>
      </c>
      <c r="G30" s="43">
        <v>22</v>
      </c>
      <c r="H30" s="86">
        <v>1434566</v>
      </c>
      <c r="I30" s="385">
        <v>174435</v>
      </c>
      <c r="J30" s="155">
        <v>8.227813824874218</v>
      </c>
      <c r="K30" s="384"/>
      <c r="L30" s="230"/>
      <c r="M30" s="231"/>
      <c r="N30" s="230"/>
    </row>
    <row r="31" spans="1:14" s="31" customFormat="1" ht="15">
      <c r="A31" s="229">
        <v>28</v>
      </c>
      <c r="B31" s="56" t="s">
        <v>212</v>
      </c>
      <c r="C31" s="41">
        <v>39542</v>
      </c>
      <c r="D31" s="46" t="s">
        <v>41</v>
      </c>
      <c r="E31" s="46" t="s">
        <v>46</v>
      </c>
      <c r="F31" s="43">
        <v>74</v>
      </c>
      <c r="G31" s="43">
        <v>15</v>
      </c>
      <c r="H31" s="86">
        <f>1128+629672+306256+249189+74697+45336+11817+4692+3213+494+451+740+402+2061+103+261</f>
        <v>1330512</v>
      </c>
      <c r="I31" s="95">
        <f>106+69367+34984+27955+10156+7289+2161+1069+464+81+78+140+128+232+20+50</f>
        <v>154280</v>
      </c>
      <c r="J31" s="215">
        <f aca="true" t="shared" si="1" ref="J31:J36">+H31/I31</f>
        <v>8.624008296603577</v>
      </c>
      <c r="K31" s="232"/>
      <c r="L31" s="230"/>
      <c r="M31" s="231"/>
      <c r="N31" s="230"/>
    </row>
    <row r="32" spans="1:14" s="31" customFormat="1" ht="15">
      <c r="A32" s="229">
        <v>29</v>
      </c>
      <c r="B32" s="55" t="s">
        <v>450</v>
      </c>
      <c r="C32" s="41">
        <v>39479</v>
      </c>
      <c r="D32" s="45" t="s">
        <v>41</v>
      </c>
      <c r="E32" s="44" t="s">
        <v>140</v>
      </c>
      <c r="F32" s="63">
        <v>48</v>
      </c>
      <c r="G32" s="63">
        <v>20</v>
      </c>
      <c r="H32" s="197">
        <f>300+559935+434395+195557+20127+10758+3791+6562+6592+4029+6780+4161+5630+756+4378+130+2548+1190+1190+1190+1676</f>
        <v>1271675</v>
      </c>
      <c r="I32" s="198">
        <f>40+55864+44109+21194+2258+1822+696+1321+1165+1034+1153+840+1123+123+1602+19+500+119+397+119+244</f>
        <v>135742</v>
      </c>
      <c r="J32" s="218">
        <f t="shared" si="1"/>
        <v>9.3683237317853</v>
      </c>
      <c r="K32" s="232"/>
      <c r="L32" s="230"/>
      <c r="M32" s="231"/>
      <c r="N32" s="230"/>
    </row>
    <row r="33" spans="1:14" s="31" customFormat="1" ht="15">
      <c r="A33" s="229">
        <v>30</v>
      </c>
      <c r="B33" s="57" t="s">
        <v>56</v>
      </c>
      <c r="C33" s="41">
        <v>39479</v>
      </c>
      <c r="D33" s="47" t="s">
        <v>223</v>
      </c>
      <c r="E33" s="47" t="s">
        <v>550</v>
      </c>
      <c r="F33" s="64" t="s">
        <v>474</v>
      </c>
      <c r="G33" s="64" t="s">
        <v>543</v>
      </c>
      <c r="H33" s="85">
        <v>1190513.03</v>
      </c>
      <c r="I33" s="93">
        <v>144944</v>
      </c>
      <c r="J33" s="81">
        <f t="shared" si="1"/>
        <v>8.213606841262832</v>
      </c>
      <c r="K33" s="384"/>
      <c r="L33" s="230"/>
      <c r="M33" s="231"/>
      <c r="N33" s="230"/>
    </row>
    <row r="34" spans="1:14" s="31" customFormat="1" ht="15">
      <c r="A34" s="229">
        <v>31</v>
      </c>
      <c r="B34" s="56" t="s">
        <v>125</v>
      </c>
      <c r="C34" s="42">
        <v>39556</v>
      </c>
      <c r="D34" s="46" t="s">
        <v>43</v>
      </c>
      <c r="E34" s="46" t="s">
        <v>44</v>
      </c>
      <c r="F34" s="43">
        <v>104</v>
      </c>
      <c r="G34" s="43">
        <v>18</v>
      </c>
      <c r="H34" s="86">
        <f>547723+268930+138072.5+72001+47770.5+20534.5+29707+9377+8368.5+23017+5732.5+1280+238+81+2408+580+1042+0.5+260</f>
        <v>1177123</v>
      </c>
      <c r="I34" s="188">
        <f>69527+33465+19378+11928+8462+4284+6759+1860+1698+5423+992+174+49+18+602+163+76+32</f>
        <v>164890</v>
      </c>
      <c r="J34" s="218">
        <f t="shared" si="1"/>
        <v>7.138838013220935</v>
      </c>
      <c r="K34" s="232"/>
      <c r="L34" s="230"/>
      <c r="M34" s="231"/>
      <c r="N34" s="230"/>
    </row>
    <row r="35" spans="1:14" s="31" customFormat="1" ht="15">
      <c r="A35" s="229">
        <v>32</v>
      </c>
      <c r="B35" s="55" t="s">
        <v>221</v>
      </c>
      <c r="C35" s="41">
        <v>39493</v>
      </c>
      <c r="D35" s="44" t="s">
        <v>41</v>
      </c>
      <c r="E35" s="44" t="s">
        <v>217</v>
      </c>
      <c r="F35" s="63">
        <v>53</v>
      </c>
      <c r="G35" s="63">
        <v>20</v>
      </c>
      <c r="H35" s="85">
        <f>496653+338165+147188+7622+20375+13201+22122+16110+15107+7153+6103+6011+8532+5418+904+495+2084+1764+2378+907</f>
        <v>1118292</v>
      </c>
      <c r="I35" s="198">
        <f>54042+36169+15909+1283+3836+2773+4056+2942+2933+1275+1033+848+1235+692+188+95+268+300+238+177</f>
        <v>130292</v>
      </c>
      <c r="J35" s="81">
        <f t="shared" si="1"/>
        <v>8.582967488410647</v>
      </c>
      <c r="K35" s="232"/>
      <c r="L35" s="230"/>
      <c r="M35" s="231"/>
      <c r="N35" s="230"/>
    </row>
    <row r="36" spans="1:14" s="31" customFormat="1" ht="15">
      <c r="A36" s="229">
        <v>33</v>
      </c>
      <c r="B36" s="350" t="s">
        <v>330</v>
      </c>
      <c r="C36" s="42">
        <v>39479</v>
      </c>
      <c r="D36" s="87" t="s">
        <v>42</v>
      </c>
      <c r="E36" s="87" t="s">
        <v>217</v>
      </c>
      <c r="F36" s="43">
        <v>60</v>
      </c>
      <c r="G36" s="43">
        <v>30</v>
      </c>
      <c r="H36" s="187">
        <v>1101785</v>
      </c>
      <c r="I36" s="188">
        <v>130457</v>
      </c>
      <c r="J36" s="215">
        <f t="shared" si="1"/>
        <v>8.445579769579249</v>
      </c>
      <c r="K36" s="232"/>
      <c r="L36" s="230"/>
      <c r="M36" s="231"/>
      <c r="N36" s="230"/>
    </row>
    <row r="37" spans="1:14" s="31" customFormat="1" ht="15">
      <c r="A37" s="229">
        <v>34</v>
      </c>
      <c r="B37" s="56" t="s">
        <v>216</v>
      </c>
      <c r="C37" s="41">
        <v>39486</v>
      </c>
      <c r="D37" s="46" t="s">
        <v>42</v>
      </c>
      <c r="E37" s="46" t="s">
        <v>47</v>
      </c>
      <c r="F37" s="43">
        <v>96</v>
      </c>
      <c r="G37" s="43">
        <v>17</v>
      </c>
      <c r="H37" s="187">
        <v>983749</v>
      </c>
      <c r="I37" s="188">
        <v>107363</v>
      </c>
      <c r="J37" s="215">
        <v>9.162830770377132</v>
      </c>
      <c r="K37" s="232"/>
      <c r="L37" s="230"/>
      <c r="M37" s="231"/>
      <c r="N37" s="230"/>
    </row>
    <row r="38" spans="1:14" s="31" customFormat="1" ht="15">
      <c r="A38" s="229">
        <v>35</v>
      </c>
      <c r="B38" s="55" t="s">
        <v>459</v>
      </c>
      <c r="C38" s="41">
        <v>39528</v>
      </c>
      <c r="D38" s="44" t="s">
        <v>81</v>
      </c>
      <c r="E38" s="44" t="s">
        <v>51</v>
      </c>
      <c r="F38" s="63">
        <v>37</v>
      </c>
      <c r="G38" s="63">
        <v>20</v>
      </c>
      <c r="H38" s="94">
        <f>967277.5+1145+698+210.5</f>
        <v>969331</v>
      </c>
      <c r="I38" s="95">
        <f>126814+238+125+41</f>
        <v>127218</v>
      </c>
      <c r="J38" s="156">
        <f>IF(H38&lt;&gt;0,H38/I38,"")</f>
        <v>7.6194485057146</v>
      </c>
      <c r="K38" s="232"/>
      <c r="L38" s="230"/>
      <c r="M38" s="231"/>
      <c r="N38" s="230"/>
    </row>
    <row r="39" spans="1:14" s="31" customFormat="1" ht="15">
      <c r="A39" s="229">
        <v>36</v>
      </c>
      <c r="B39" s="56" t="s">
        <v>460</v>
      </c>
      <c r="C39" s="41">
        <v>39528</v>
      </c>
      <c r="D39" s="46" t="s">
        <v>468</v>
      </c>
      <c r="E39" s="46" t="s">
        <v>468</v>
      </c>
      <c r="F39" s="43">
        <v>34</v>
      </c>
      <c r="G39" s="43">
        <v>17</v>
      </c>
      <c r="H39" s="86">
        <v>912028</v>
      </c>
      <c r="I39" s="95">
        <v>102947</v>
      </c>
      <c r="J39" s="215">
        <f>+H39/I39</f>
        <v>8.85919939386286</v>
      </c>
      <c r="K39" s="232"/>
      <c r="L39" s="230"/>
      <c r="M39" s="231"/>
      <c r="N39" s="230"/>
    </row>
    <row r="40" spans="1:14" s="31" customFormat="1" ht="15">
      <c r="A40" s="229">
        <v>37</v>
      </c>
      <c r="B40" s="56" t="s">
        <v>220</v>
      </c>
      <c r="C40" s="41">
        <v>39493</v>
      </c>
      <c r="D40" s="46" t="s">
        <v>42</v>
      </c>
      <c r="E40" s="46" t="s">
        <v>38</v>
      </c>
      <c r="F40" s="43">
        <v>69</v>
      </c>
      <c r="G40" s="43">
        <v>13</v>
      </c>
      <c r="H40" s="187">
        <v>879062</v>
      </c>
      <c r="I40" s="188">
        <v>106657</v>
      </c>
      <c r="J40" s="215">
        <v>8.241953177006664</v>
      </c>
      <c r="K40" s="232"/>
      <c r="L40" s="230"/>
      <c r="M40" s="231"/>
      <c r="N40" s="230"/>
    </row>
    <row r="41" spans="1:14" s="31" customFormat="1" ht="15">
      <c r="A41" s="229">
        <v>38</v>
      </c>
      <c r="B41" s="55" t="s">
        <v>153</v>
      </c>
      <c r="C41" s="41">
        <v>39507</v>
      </c>
      <c r="D41" s="44" t="s">
        <v>41</v>
      </c>
      <c r="E41" s="44" t="s">
        <v>217</v>
      </c>
      <c r="F41" s="63">
        <v>81</v>
      </c>
      <c r="G41" s="63">
        <v>14</v>
      </c>
      <c r="H41" s="85">
        <f>390592+281742+92300+14485+38340+34340+7638+8876+611+1056+748+832+372+1190</f>
        <v>873122</v>
      </c>
      <c r="I41" s="198">
        <f>48282+35299+12688+2621+7467+7727+1347+1652+79+256+152+163+76+119</f>
        <v>117928</v>
      </c>
      <c r="J41" s="81">
        <f aca="true" t="shared" si="2" ref="J41:J47">+H41/I41</f>
        <v>7.403856590461976</v>
      </c>
      <c r="K41" s="232"/>
      <c r="L41" s="230"/>
      <c r="M41" s="231"/>
      <c r="N41" s="230"/>
    </row>
    <row r="42" spans="1:14" s="31" customFormat="1" ht="15">
      <c r="A42" s="229">
        <v>39</v>
      </c>
      <c r="B42" s="56" t="s">
        <v>479</v>
      </c>
      <c r="C42" s="347">
        <v>39472</v>
      </c>
      <c r="D42" s="48" t="s">
        <v>165</v>
      </c>
      <c r="E42" s="48" t="s">
        <v>426</v>
      </c>
      <c r="F42" s="76">
        <v>70</v>
      </c>
      <c r="G42" s="76">
        <v>24</v>
      </c>
      <c r="H42" s="187">
        <v>872632</v>
      </c>
      <c r="I42" s="188">
        <v>109949</v>
      </c>
      <c r="J42" s="218">
        <f t="shared" si="2"/>
        <v>7.936697923582752</v>
      </c>
      <c r="K42" s="232"/>
      <c r="L42" s="230"/>
      <c r="M42" s="231"/>
      <c r="N42" s="230"/>
    </row>
    <row r="43" spans="1:14" s="31" customFormat="1" ht="15">
      <c r="A43" s="229">
        <v>40</v>
      </c>
      <c r="B43" s="56" t="s">
        <v>192</v>
      </c>
      <c r="C43" s="42">
        <v>39612</v>
      </c>
      <c r="D43" s="46" t="s">
        <v>43</v>
      </c>
      <c r="E43" s="46" t="s">
        <v>44</v>
      </c>
      <c r="F43" s="43">
        <v>50</v>
      </c>
      <c r="G43" s="43">
        <v>11</v>
      </c>
      <c r="H43" s="86">
        <f>350561+224131.5+133237.5+60697+37821.5+30118.5+9065+2035+1791+510+160</f>
        <v>850128</v>
      </c>
      <c r="I43" s="95">
        <f>37998+25286+15728+8127+6131+5190+1536+265+198+57+16</f>
        <v>100532</v>
      </c>
      <c r="J43" s="391">
        <f t="shared" si="2"/>
        <v>8.456292523773525</v>
      </c>
      <c r="K43" s="232"/>
      <c r="L43" s="230"/>
      <c r="M43" s="231"/>
      <c r="N43" s="230"/>
    </row>
    <row r="44" spans="1:14" s="31" customFormat="1" ht="15">
      <c r="A44" s="229">
        <v>41</v>
      </c>
      <c r="B44" s="350" t="s">
        <v>159</v>
      </c>
      <c r="C44" s="42">
        <v>39647</v>
      </c>
      <c r="D44" s="87" t="s">
        <v>42</v>
      </c>
      <c r="E44" s="87" t="s">
        <v>47</v>
      </c>
      <c r="F44" s="43">
        <v>45</v>
      </c>
      <c r="G44" s="43">
        <v>9</v>
      </c>
      <c r="H44" s="86">
        <v>846283</v>
      </c>
      <c r="I44" s="95">
        <v>91086</v>
      </c>
      <c r="J44" s="155">
        <f t="shared" si="2"/>
        <v>9.291032650462201</v>
      </c>
      <c r="K44" s="232"/>
      <c r="L44" s="230"/>
      <c r="M44" s="231"/>
      <c r="N44" s="230"/>
    </row>
    <row r="45" spans="1:14" s="31" customFormat="1" ht="15">
      <c r="A45" s="229">
        <v>42</v>
      </c>
      <c r="B45" s="57" t="s">
        <v>57</v>
      </c>
      <c r="C45" s="41">
        <v>39486</v>
      </c>
      <c r="D45" s="44" t="s">
        <v>223</v>
      </c>
      <c r="E45" s="47" t="s">
        <v>603</v>
      </c>
      <c r="F45" s="64" t="s">
        <v>58</v>
      </c>
      <c r="G45" s="64" t="s">
        <v>604</v>
      </c>
      <c r="H45" s="85">
        <v>822961.84</v>
      </c>
      <c r="I45" s="198">
        <v>118845</v>
      </c>
      <c r="J45" s="218">
        <f t="shared" si="2"/>
        <v>6.924665236232067</v>
      </c>
      <c r="K45" s="232">
        <v>1</v>
      </c>
      <c r="L45" s="230"/>
      <c r="M45" s="231"/>
      <c r="N45" s="230"/>
    </row>
    <row r="46" spans="1:14" s="31" customFormat="1" ht="15">
      <c r="A46" s="229">
        <v>43</v>
      </c>
      <c r="B46" s="56" t="s">
        <v>285</v>
      </c>
      <c r="C46" s="42">
        <v>39577</v>
      </c>
      <c r="D46" s="46" t="s">
        <v>43</v>
      </c>
      <c r="E46" s="46" t="s">
        <v>44</v>
      </c>
      <c r="F46" s="43">
        <v>50</v>
      </c>
      <c r="G46" s="43">
        <v>12</v>
      </c>
      <c r="H46" s="187">
        <f>332700+230764+110972+56261.5+53340.5+14368+6276+4961+4154+2670+207+3630</f>
        <v>820304</v>
      </c>
      <c r="I46" s="188">
        <f>34514+23745+12355+8120+8763+2655+1145+814+577+409+35+1210</f>
        <v>94342</v>
      </c>
      <c r="J46" s="389">
        <f t="shared" si="2"/>
        <v>8.695003285917196</v>
      </c>
      <c r="K46" s="232"/>
      <c r="L46" s="230"/>
      <c r="M46" s="231"/>
      <c r="N46" s="230"/>
    </row>
    <row r="47" spans="1:14" s="31" customFormat="1" ht="15">
      <c r="A47" s="229">
        <v>44</v>
      </c>
      <c r="B47" s="55" t="s">
        <v>5</v>
      </c>
      <c r="C47" s="41">
        <v>39689</v>
      </c>
      <c r="D47" s="45" t="s">
        <v>41</v>
      </c>
      <c r="E47" s="44" t="s">
        <v>140</v>
      </c>
      <c r="F47" s="63">
        <v>87</v>
      </c>
      <c r="G47" s="63">
        <v>3</v>
      </c>
      <c r="H47" s="85">
        <f>412827+260944+146403</f>
        <v>820174</v>
      </c>
      <c r="I47" s="198">
        <f>45777+28195+16216</f>
        <v>90188</v>
      </c>
      <c r="J47" s="218">
        <f t="shared" si="2"/>
        <v>9.09404798864594</v>
      </c>
      <c r="K47" s="232"/>
      <c r="L47" s="230"/>
      <c r="M47" s="231"/>
      <c r="N47" s="230"/>
    </row>
    <row r="48" spans="1:14" s="31" customFormat="1" ht="15">
      <c r="A48" s="229">
        <v>45</v>
      </c>
      <c r="B48" s="56" t="s">
        <v>283</v>
      </c>
      <c r="C48" s="41">
        <v>39493</v>
      </c>
      <c r="D48" s="46" t="s">
        <v>41</v>
      </c>
      <c r="E48" s="46" t="s">
        <v>140</v>
      </c>
      <c r="F48" s="43">
        <v>32</v>
      </c>
      <c r="G48" s="43">
        <v>16</v>
      </c>
      <c r="H48" s="187">
        <v>813778</v>
      </c>
      <c r="I48" s="188">
        <v>90582</v>
      </c>
      <c r="J48" s="215">
        <v>8.98388200746285</v>
      </c>
      <c r="K48" s="232"/>
      <c r="L48" s="230"/>
      <c r="M48" s="231"/>
      <c r="N48" s="230"/>
    </row>
    <row r="49" spans="1:14" s="31" customFormat="1" ht="15">
      <c r="A49" s="229">
        <v>46</v>
      </c>
      <c r="B49" s="56" t="s">
        <v>257</v>
      </c>
      <c r="C49" s="42">
        <v>39472</v>
      </c>
      <c r="D49" s="46" t="s">
        <v>414</v>
      </c>
      <c r="E49" s="46" t="s">
        <v>414</v>
      </c>
      <c r="F49" s="43">
        <v>59</v>
      </c>
      <c r="G49" s="43">
        <v>26</v>
      </c>
      <c r="H49" s="187">
        <f>395290.5+262822+75939+23709.5+4083+1327+9321+1445+1267+2173+4575+201+1748+3343+728+28+948+1329+163+182+173+15521.5+171+40+110+75</f>
        <v>806712.5</v>
      </c>
      <c r="I49" s="188">
        <f>47426+32442+9866+4010+887+225+2185+263+226+460+1077+33+367+887+230+4+139+355+32+35+32+3859+49+8+22+15</f>
        <v>105134</v>
      </c>
      <c r="J49" s="219">
        <f>H49/I49</f>
        <v>7.673183746456902</v>
      </c>
      <c r="K49" s="232"/>
      <c r="L49" s="230"/>
      <c r="M49" s="231"/>
      <c r="N49" s="230"/>
    </row>
    <row r="50" spans="1:14" s="31" customFormat="1" ht="15">
      <c r="A50" s="229">
        <v>47</v>
      </c>
      <c r="B50" s="350" t="s">
        <v>366</v>
      </c>
      <c r="C50" s="42">
        <v>39549</v>
      </c>
      <c r="D50" s="87" t="s">
        <v>42</v>
      </c>
      <c r="E50" s="87" t="s">
        <v>38</v>
      </c>
      <c r="F50" s="43">
        <v>58</v>
      </c>
      <c r="G50" s="43">
        <v>17</v>
      </c>
      <c r="H50" s="187">
        <v>796715</v>
      </c>
      <c r="I50" s="188">
        <v>103170</v>
      </c>
      <c r="J50" s="215">
        <f>+H50/I50</f>
        <v>7.722351458757391</v>
      </c>
      <c r="K50" s="232"/>
      <c r="L50" s="230"/>
      <c r="M50" s="231"/>
      <c r="N50" s="230"/>
    </row>
    <row r="51" spans="1:14" s="31" customFormat="1" ht="15">
      <c r="A51" s="229">
        <v>48</v>
      </c>
      <c r="B51" s="56" t="s">
        <v>151</v>
      </c>
      <c r="C51" s="41">
        <v>39507</v>
      </c>
      <c r="D51" s="46" t="s">
        <v>42</v>
      </c>
      <c r="E51" s="46" t="s">
        <v>152</v>
      </c>
      <c r="F51" s="43">
        <v>73</v>
      </c>
      <c r="G51" s="43">
        <v>10</v>
      </c>
      <c r="H51" s="187">
        <v>796182</v>
      </c>
      <c r="I51" s="188">
        <v>101362</v>
      </c>
      <c r="J51" s="215">
        <v>7.854837118446754</v>
      </c>
      <c r="K51" s="232"/>
      <c r="L51" s="230"/>
      <c r="M51" s="231"/>
      <c r="N51" s="230"/>
    </row>
    <row r="52" spans="1:14" s="31" customFormat="1" ht="15">
      <c r="A52" s="229">
        <v>49</v>
      </c>
      <c r="B52" s="55" t="s">
        <v>538</v>
      </c>
      <c r="C52" s="41">
        <v>39675</v>
      </c>
      <c r="D52" s="45" t="s">
        <v>41</v>
      </c>
      <c r="E52" s="44" t="s">
        <v>46</v>
      </c>
      <c r="F52" s="63">
        <v>51</v>
      </c>
      <c r="G52" s="63">
        <v>5</v>
      </c>
      <c r="H52" s="85">
        <f>3571+334271+201561+123971+75809+33126</f>
        <v>772309</v>
      </c>
      <c r="I52" s="198">
        <f>196+34368+21371+13150+10970+5430</f>
        <v>85485</v>
      </c>
      <c r="J52" s="218">
        <f>+H52/I52</f>
        <v>9.03443879043107</v>
      </c>
      <c r="K52" s="232"/>
      <c r="L52" s="230"/>
      <c r="M52" s="231"/>
      <c r="N52" s="230"/>
    </row>
    <row r="53" spans="1:14" s="31" customFormat="1" ht="15">
      <c r="A53" s="229">
        <v>50</v>
      </c>
      <c r="B53" s="350" t="s">
        <v>179</v>
      </c>
      <c r="C53" s="42">
        <v>39500</v>
      </c>
      <c r="D53" s="87" t="s">
        <v>42</v>
      </c>
      <c r="E53" s="87" t="s">
        <v>180</v>
      </c>
      <c r="F53" s="43">
        <v>123</v>
      </c>
      <c r="G53" s="43">
        <v>27</v>
      </c>
      <c r="H53" s="187">
        <v>735296</v>
      </c>
      <c r="I53" s="188">
        <v>104976</v>
      </c>
      <c r="J53" s="215">
        <f>+H53/I53</f>
        <v>7.004420057918001</v>
      </c>
      <c r="K53" s="232">
        <v>1</v>
      </c>
      <c r="L53" s="230"/>
      <c r="M53" s="231"/>
      <c r="N53" s="230"/>
    </row>
    <row r="54" spans="1:12" s="31" customFormat="1" ht="15">
      <c r="A54" s="229">
        <v>51</v>
      </c>
      <c r="B54" s="350" t="s">
        <v>404</v>
      </c>
      <c r="C54" s="42">
        <v>39521</v>
      </c>
      <c r="D54" s="87" t="s">
        <v>42</v>
      </c>
      <c r="E54" s="87" t="s">
        <v>38</v>
      </c>
      <c r="F54" s="43">
        <v>121</v>
      </c>
      <c r="G54" s="43">
        <v>19</v>
      </c>
      <c r="H54" s="187">
        <v>724824</v>
      </c>
      <c r="I54" s="188">
        <v>90763</v>
      </c>
      <c r="J54" s="215">
        <f>+H54/I54</f>
        <v>7.985897337020592</v>
      </c>
      <c r="K54" s="232"/>
      <c r="L54" s="230"/>
    </row>
    <row r="55" spans="1:12" s="31" customFormat="1" ht="15">
      <c r="A55" s="229">
        <v>52</v>
      </c>
      <c r="B55" s="55">
        <v>21</v>
      </c>
      <c r="C55" s="41">
        <v>39605</v>
      </c>
      <c r="D55" s="45" t="s">
        <v>41</v>
      </c>
      <c r="E55" s="44" t="s">
        <v>46</v>
      </c>
      <c r="F55" s="63">
        <v>60</v>
      </c>
      <c r="G55" s="63">
        <v>13</v>
      </c>
      <c r="H55" s="85">
        <f>346936+200854+115553+32265+15426+4040+687+939+461+1760+1190+159+88</f>
        <v>720358</v>
      </c>
      <c r="I55" s="93">
        <f>37017+22682+13118+5117+2794+789+132+185+84+316+119+21+12</f>
        <v>82386</v>
      </c>
      <c r="J55" s="81">
        <f>+H55/I55</f>
        <v>8.743694316995606</v>
      </c>
      <c r="K55" s="232"/>
      <c r="L55" s="230"/>
    </row>
    <row r="56" spans="1:12" s="31" customFormat="1" ht="15">
      <c r="A56" s="229">
        <v>53</v>
      </c>
      <c r="B56" s="56" t="s">
        <v>346</v>
      </c>
      <c r="C56" s="41">
        <v>39535</v>
      </c>
      <c r="D56" s="46" t="s">
        <v>43</v>
      </c>
      <c r="E56" s="46" t="s">
        <v>414</v>
      </c>
      <c r="F56" s="43">
        <v>66</v>
      </c>
      <c r="G56" s="43">
        <v>10</v>
      </c>
      <c r="H56" s="187">
        <v>714580.5</v>
      </c>
      <c r="I56" s="188">
        <v>95063</v>
      </c>
      <c r="J56" s="215">
        <v>7.516915098408424</v>
      </c>
      <c r="K56" s="232"/>
      <c r="L56" s="230"/>
    </row>
    <row r="57" spans="1:12" s="31" customFormat="1" ht="15">
      <c r="A57" s="229">
        <v>54</v>
      </c>
      <c r="B57" s="56" t="s">
        <v>420</v>
      </c>
      <c r="C57" s="42">
        <v>39682</v>
      </c>
      <c r="D57" s="47" t="s">
        <v>50</v>
      </c>
      <c r="E57" s="46" t="s">
        <v>44</v>
      </c>
      <c r="F57" s="43">
        <v>57</v>
      </c>
      <c r="G57" s="43">
        <v>4</v>
      </c>
      <c r="H57" s="85">
        <f>250521.5+215776.5+154982+92465</f>
        <v>713745</v>
      </c>
      <c r="I57" s="198">
        <f>27427+24071+17303+13094</f>
        <v>81895</v>
      </c>
      <c r="J57" s="218">
        <f>H57/I57</f>
        <v>8.715367238537151</v>
      </c>
      <c r="K57" s="232"/>
      <c r="L57" s="230"/>
    </row>
    <row r="58" spans="1:12" s="31" customFormat="1" ht="15">
      <c r="A58" s="229">
        <v>55</v>
      </c>
      <c r="B58" s="57" t="s">
        <v>352</v>
      </c>
      <c r="C58" s="42">
        <v>39591</v>
      </c>
      <c r="D58" s="47" t="s">
        <v>425</v>
      </c>
      <c r="E58" s="47" t="s">
        <v>50</v>
      </c>
      <c r="F58" s="88">
        <v>40</v>
      </c>
      <c r="G58" s="88">
        <v>16</v>
      </c>
      <c r="H58" s="85">
        <v>703462</v>
      </c>
      <c r="I58" s="93">
        <v>79204</v>
      </c>
      <c r="J58" s="81">
        <f>H58/I58</f>
        <v>8.881647391545881</v>
      </c>
      <c r="K58" s="232"/>
      <c r="L58" s="230"/>
    </row>
    <row r="59" spans="1:12" s="31" customFormat="1" ht="15">
      <c r="A59" s="229">
        <v>56</v>
      </c>
      <c r="B59" s="56" t="s">
        <v>367</v>
      </c>
      <c r="C59" s="41">
        <v>39549</v>
      </c>
      <c r="D59" s="46" t="s">
        <v>43</v>
      </c>
      <c r="E59" s="46" t="s">
        <v>44</v>
      </c>
      <c r="F59" s="43">
        <v>56</v>
      </c>
      <c r="G59" s="43">
        <v>10</v>
      </c>
      <c r="H59" s="187">
        <v>692842</v>
      </c>
      <c r="I59" s="188">
        <v>84201</v>
      </c>
      <c r="J59" s="215">
        <v>8.228429591097493</v>
      </c>
      <c r="K59" s="232"/>
      <c r="L59" s="230"/>
    </row>
    <row r="60" spans="1:12" s="31" customFormat="1" ht="15">
      <c r="A60" s="229">
        <v>57</v>
      </c>
      <c r="B60" s="56" t="s">
        <v>234</v>
      </c>
      <c r="C60" s="41">
        <v>39514</v>
      </c>
      <c r="D60" s="46" t="s">
        <v>42</v>
      </c>
      <c r="E60" s="46" t="s">
        <v>38</v>
      </c>
      <c r="F60" s="43">
        <v>30</v>
      </c>
      <c r="G60" s="43">
        <v>28</v>
      </c>
      <c r="H60" s="187">
        <v>689952</v>
      </c>
      <c r="I60" s="188">
        <v>78812</v>
      </c>
      <c r="J60" s="215">
        <v>8.773598115969703</v>
      </c>
      <c r="K60" s="232"/>
      <c r="L60" s="230"/>
    </row>
    <row r="61" spans="1:12" s="31" customFormat="1" ht="15">
      <c r="A61" s="229">
        <v>58</v>
      </c>
      <c r="B61" s="55" t="s">
        <v>554</v>
      </c>
      <c r="C61" s="41">
        <v>39563</v>
      </c>
      <c r="D61" s="45" t="s">
        <v>41</v>
      </c>
      <c r="E61" s="44" t="s">
        <v>140</v>
      </c>
      <c r="F61" s="63">
        <v>65</v>
      </c>
      <c r="G61" s="63">
        <v>14</v>
      </c>
      <c r="H61" s="197">
        <f>300337+199681+85511+45691+18383+9367+7647+3294+2113+1499+457+210+144+287</f>
        <v>674621</v>
      </c>
      <c r="I61" s="198">
        <f>36141+24610+12709+8193+3642+1806+1492+597+403+290+86+40+27+54</f>
        <v>90090</v>
      </c>
      <c r="J61" s="218">
        <f aca="true" t="shared" si="3" ref="J61:J67">+H61/I61</f>
        <v>7.488300588300588</v>
      </c>
      <c r="K61" s="232"/>
      <c r="L61" s="230"/>
    </row>
    <row r="62" spans="1:14" s="31" customFormat="1" ht="15">
      <c r="A62" s="229">
        <v>59</v>
      </c>
      <c r="B62" s="350" t="s">
        <v>532</v>
      </c>
      <c r="C62" s="42">
        <v>39668</v>
      </c>
      <c r="D62" s="87" t="s">
        <v>42</v>
      </c>
      <c r="E62" s="87" t="s">
        <v>550</v>
      </c>
      <c r="F62" s="43">
        <v>51</v>
      </c>
      <c r="G62" s="43">
        <v>6</v>
      </c>
      <c r="H62" s="86">
        <v>637273</v>
      </c>
      <c r="I62" s="95">
        <v>77145</v>
      </c>
      <c r="J62" s="155">
        <f t="shared" si="3"/>
        <v>8.260716831939854</v>
      </c>
      <c r="K62" s="232"/>
      <c r="L62" s="230"/>
      <c r="M62" s="231"/>
      <c r="N62" s="230"/>
    </row>
    <row r="63" spans="1:14" s="31" customFormat="1" ht="15">
      <c r="A63" s="229">
        <v>60</v>
      </c>
      <c r="B63" s="350" t="s">
        <v>100</v>
      </c>
      <c r="C63" s="42">
        <v>39605</v>
      </c>
      <c r="D63" s="87" t="s">
        <v>42</v>
      </c>
      <c r="E63" s="87" t="s">
        <v>152</v>
      </c>
      <c r="F63" s="43">
        <v>60</v>
      </c>
      <c r="G63" s="43">
        <v>15</v>
      </c>
      <c r="H63" s="187">
        <v>605241</v>
      </c>
      <c r="I63" s="188">
        <v>76261</v>
      </c>
      <c r="J63" s="218">
        <f t="shared" si="3"/>
        <v>7.936441955914557</v>
      </c>
      <c r="K63" s="232"/>
      <c r="L63" s="230"/>
      <c r="M63" s="231"/>
      <c r="N63" s="230"/>
    </row>
    <row r="64" spans="1:14" s="31" customFormat="1" ht="15">
      <c r="A64" s="229">
        <v>61</v>
      </c>
      <c r="B64" s="55" t="s">
        <v>268</v>
      </c>
      <c r="C64" s="41">
        <v>39570</v>
      </c>
      <c r="D64" s="45" t="s">
        <v>41</v>
      </c>
      <c r="E64" s="44" t="s">
        <v>140</v>
      </c>
      <c r="F64" s="63">
        <v>65</v>
      </c>
      <c r="G64" s="63">
        <v>17</v>
      </c>
      <c r="H64" s="197">
        <f>600466+307+98</f>
        <v>600871</v>
      </c>
      <c r="I64" s="198">
        <f>68411+60+19</f>
        <v>68490</v>
      </c>
      <c r="J64" s="218">
        <f t="shared" si="3"/>
        <v>8.773120163527523</v>
      </c>
      <c r="K64" s="232"/>
      <c r="L64" s="230"/>
      <c r="M64" s="231"/>
      <c r="N64" s="230"/>
    </row>
    <row r="65" spans="1:14" s="31" customFormat="1" ht="15">
      <c r="A65" s="229">
        <v>62</v>
      </c>
      <c r="B65" s="350" t="s">
        <v>6</v>
      </c>
      <c r="C65" s="42">
        <v>39689</v>
      </c>
      <c r="D65" s="87" t="s">
        <v>42</v>
      </c>
      <c r="E65" s="87" t="s">
        <v>217</v>
      </c>
      <c r="F65" s="43">
        <v>127</v>
      </c>
      <c r="G65" s="43">
        <v>3</v>
      </c>
      <c r="H65" s="86">
        <v>739253</v>
      </c>
      <c r="I65" s="95">
        <v>92095</v>
      </c>
      <c r="J65" s="155">
        <f t="shared" si="3"/>
        <v>8.02706987350019</v>
      </c>
      <c r="K65" s="232"/>
      <c r="L65" s="230"/>
      <c r="M65" s="231"/>
      <c r="N65" s="230"/>
    </row>
    <row r="66" spans="1:14" s="31" customFormat="1" ht="15">
      <c r="A66" s="229">
        <v>63</v>
      </c>
      <c r="B66" s="350" t="s">
        <v>126</v>
      </c>
      <c r="C66" s="42">
        <v>39556</v>
      </c>
      <c r="D66" s="87" t="s">
        <v>42</v>
      </c>
      <c r="E66" s="87" t="s">
        <v>47</v>
      </c>
      <c r="F66" s="43">
        <v>37</v>
      </c>
      <c r="G66" s="43">
        <v>15</v>
      </c>
      <c r="H66" s="187">
        <v>589516</v>
      </c>
      <c r="I66" s="188">
        <v>66104</v>
      </c>
      <c r="J66" s="218">
        <f t="shared" si="3"/>
        <v>8.918007987413771</v>
      </c>
      <c r="K66" s="232"/>
      <c r="L66" s="230"/>
      <c r="M66" s="231"/>
      <c r="N66" s="230"/>
    </row>
    <row r="67" spans="1:14" s="31" customFormat="1" ht="15">
      <c r="A67" s="229">
        <v>64</v>
      </c>
      <c r="B67" s="56" t="s">
        <v>235</v>
      </c>
      <c r="C67" s="42">
        <v>39514</v>
      </c>
      <c r="D67" s="46" t="s">
        <v>43</v>
      </c>
      <c r="E67" s="46" t="s">
        <v>44</v>
      </c>
      <c r="F67" s="43">
        <v>50</v>
      </c>
      <c r="G67" s="43">
        <v>11</v>
      </c>
      <c r="H67" s="187">
        <v>565352.5</v>
      </c>
      <c r="I67" s="188">
        <v>70581</v>
      </c>
      <c r="J67" s="218">
        <f t="shared" si="3"/>
        <v>8.009981439764243</v>
      </c>
      <c r="K67" s="232"/>
      <c r="L67" s="230"/>
      <c r="M67" s="231"/>
      <c r="N67" s="230"/>
    </row>
    <row r="68" spans="1:14" s="31" customFormat="1" ht="15">
      <c r="A68" s="229">
        <v>65</v>
      </c>
      <c r="B68" s="56" t="s">
        <v>61</v>
      </c>
      <c r="C68" s="41">
        <v>39542</v>
      </c>
      <c r="D68" s="46" t="s">
        <v>42</v>
      </c>
      <c r="E68" s="46" t="s">
        <v>217</v>
      </c>
      <c r="F68" s="43">
        <v>59</v>
      </c>
      <c r="G68" s="43">
        <v>7</v>
      </c>
      <c r="H68" s="187">
        <v>562205</v>
      </c>
      <c r="I68" s="188">
        <v>65146</v>
      </c>
      <c r="J68" s="215">
        <v>8.629923556319651</v>
      </c>
      <c r="K68" s="232"/>
      <c r="L68" s="230"/>
      <c r="M68" s="231"/>
      <c r="N68" s="230"/>
    </row>
    <row r="69" spans="1:14" s="31" customFormat="1" ht="15">
      <c r="A69" s="229">
        <v>66</v>
      </c>
      <c r="B69" s="55" t="s">
        <v>233</v>
      </c>
      <c r="C69" s="41">
        <v>39619</v>
      </c>
      <c r="D69" s="45" t="s">
        <v>41</v>
      </c>
      <c r="E69" s="44" t="s">
        <v>46</v>
      </c>
      <c r="F69" s="63">
        <v>57</v>
      </c>
      <c r="G69" s="63">
        <v>10</v>
      </c>
      <c r="H69" s="197">
        <f>3496+244480+171209+81802+22298+19526+3987+9075+1431+2380+1190</f>
        <v>560874</v>
      </c>
      <c r="I69" s="198">
        <f>183+25209+18576+8919+3170+3315+691+1413+248+238+119</f>
        <v>62081</v>
      </c>
      <c r="J69" s="218">
        <f>+H69/I69</f>
        <v>9.034551634155378</v>
      </c>
      <c r="K69" s="232"/>
      <c r="L69" s="230"/>
      <c r="M69" s="231"/>
      <c r="N69" s="230"/>
    </row>
    <row r="70" spans="1:14" s="31" customFormat="1" ht="15">
      <c r="A70" s="229">
        <v>67</v>
      </c>
      <c r="B70" s="56" t="s">
        <v>331</v>
      </c>
      <c r="C70" s="41">
        <v>39479</v>
      </c>
      <c r="D70" s="46" t="s">
        <v>43</v>
      </c>
      <c r="E70" s="46" t="s">
        <v>332</v>
      </c>
      <c r="F70" s="43">
        <v>50</v>
      </c>
      <c r="G70" s="43">
        <v>13</v>
      </c>
      <c r="H70" s="187">
        <v>512938</v>
      </c>
      <c r="I70" s="188">
        <v>62761</v>
      </c>
      <c r="J70" s="215">
        <v>8.17287806121636</v>
      </c>
      <c r="K70" s="232"/>
      <c r="L70" s="230"/>
      <c r="M70" s="231"/>
      <c r="N70" s="230"/>
    </row>
    <row r="71" spans="1:14" s="31" customFormat="1" ht="15">
      <c r="A71" s="229">
        <v>68</v>
      </c>
      <c r="B71" s="57" t="s">
        <v>86</v>
      </c>
      <c r="C71" s="41">
        <v>39598</v>
      </c>
      <c r="D71" s="44" t="s">
        <v>223</v>
      </c>
      <c r="E71" s="44" t="s">
        <v>304</v>
      </c>
      <c r="F71" s="64" t="s">
        <v>58</v>
      </c>
      <c r="G71" s="64" t="s">
        <v>265</v>
      </c>
      <c r="H71" s="197">
        <v>506997.41</v>
      </c>
      <c r="I71" s="198">
        <v>60731</v>
      </c>
      <c r="J71" s="218">
        <f aca="true" t="shared" si="4" ref="J71:J77">+H71/I71</f>
        <v>8.348247353081621</v>
      </c>
      <c r="K71" s="232"/>
      <c r="L71" s="230"/>
      <c r="M71" s="231"/>
      <c r="N71" s="230"/>
    </row>
    <row r="72" spans="1:14" s="31" customFormat="1" ht="15">
      <c r="A72" s="229">
        <v>69</v>
      </c>
      <c r="B72" s="55" t="s">
        <v>75</v>
      </c>
      <c r="C72" s="41">
        <v>39675</v>
      </c>
      <c r="D72" s="44" t="s">
        <v>223</v>
      </c>
      <c r="E72" s="44" t="s">
        <v>304</v>
      </c>
      <c r="F72" s="58">
        <v>38</v>
      </c>
      <c r="G72" s="58">
        <v>5</v>
      </c>
      <c r="H72" s="393">
        <v>475799.11</v>
      </c>
      <c r="I72" s="261">
        <v>52103</v>
      </c>
      <c r="J72" s="389">
        <f t="shared" si="4"/>
        <v>9.131894708558049</v>
      </c>
      <c r="K72" s="232"/>
      <c r="L72" s="230"/>
      <c r="M72" s="231"/>
      <c r="N72" s="230"/>
    </row>
    <row r="73" spans="1:14" s="31" customFormat="1" ht="15">
      <c r="A73" s="229">
        <v>70</v>
      </c>
      <c r="B73" s="350" t="s">
        <v>582</v>
      </c>
      <c r="C73" s="42">
        <v>39556</v>
      </c>
      <c r="D73" s="87" t="s">
        <v>42</v>
      </c>
      <c r="E73" s="87" t="s">
        <v>47</v>
      </c>
      <c r="F73" s="43">
        <v>56</v>
      </c>
      <c r="G73" s="43">
        <v>18</v>
      </c>
      <c r="H73" s="86">
        <v>473367</v>
      </c>
      <c r="I73" s="95">
        <v>58335</v>
      </c>
      <c r="J73" s="155">
        <f t="shared" si="4"/>
        <v>8.114631010542556</v>
      </c>
      <c r="K73" s="232"/>
      <c r="L73" s="230"/>
      <c r="M73" s="231"/>
      <c r="N73" s="230"/>
    </row>
    <row r="74" spans="1:14" s="31" customFormat="1" ht="15">
      <c r="A74" s="229">
        <v>71</v>
      </c>
      <c r="B74" s="55" t="s">
        <v>75</v>
      </c>
      <c r="C74" s="41">
        <v>39675</v>
      </c>
      <c r="D74" s="44" t="s">
        <v>223</v>
      </c>
      <c r="E74" s="44" t="s">
        <v>304</v>
      </c>
      <c r="F74" s="58">
        <v>38</v>
      </c>
      <c r="G74" s="58">
        <v>4</v>
      </c>
      <c r="H74" s="393">
        <v>449768.61</v>
      </c>
      <c r="I74" s="401">
        <v>48510</v>
      </c>
      <c r="J74" s="391">
        <f t="shared" si="4"/>
        <v>9.271667903525046</v>
      </c>
      <c r="K74" s="232"/>
      <c r="L74" s="230"/>
      <c r="M74" s="231"/>
      <c r="N74" s="230"/>
    </row>
    <row r="75" spans="1:14" s="31" customFormat="1" ht="15">
      <c r="A75" s="229">
        <v>72</v>
      </c>
      <c r="B75" s="350" t="s">
        <v>461</v>
      </c>
      <c r="C75" s="42">
        <v>39528</v>
      </c>
      <c r="D75" s="87" t="s">
        <v>42</v>
      </c>
      <c r="E75" s="87" t="s">
        <v>217</v>
      </c>
      <c r="F75" s="43">
        <v>57</v>
      </c>
      <c r="G75" s="43">
        <v>22</v>
      </c>
      <c r="H75" s="187">
        <v>443753</v>
      </c>
      <c r="I75" s="188">
        <v>50602</v>
      </c>
      <c r="J75" s="218">
        <f t="shared" si="4"/>
        <v>8.769475514801787</v>
      </c>
      <c r="K75" s="232"/>
      <c r="L75" s="230"/>
      <c r="M75" s="231"/>
      <c r="N75" s="230"/>
    </row>
    <row r="76" spans="1:14" s="31" customFormat="1" ht="15">
      <c r="A76" s="229">
        <v>73</v>
      </c>
      <c r="B76" s="56" t="s">
        <v>521</v>
      </c>
      <c r="C76" s="42">
        <v>39640</v>
      </c>
      <c r="D76" s="46" t="s">
        <v>43</v>
      </c>
      <c r="E76" s="46" t="s">
        <v>44</v>
      </c>
      <c r="F76" s="43">
        <v>50</v>
      </c>
      <c r="G76" s="43">
        <v>9</v>
      </c>
      <c r="H76" s="86">
        <f>179034+93959+47122.5+34357.5+29502.5+18361+5793+2718+1225.5</f>
        <v>412073</v>
      </c>
      <c r="I76" s="95">
        <f>20014+12635+6913+5578+5209+3158+1023+459+180</f>
        <v>55169</v>
      </c>
      <c r="J76" s="391">
        <f t="shared" si="4"/>
        <v>7.469285287027135</v>
      </c>
      <c r="K76" s="232"/>
      <c r="L76" s="230"/>
      <c r="M76" s="231"/>
      <c r="N76" s="230"/>
    </row>
    <row r="77" spans="1:14" s="31" customFormat="1" ht="15">
      <c r="A77" s="229">
        <v>74</v>
      </c>
      <c r="B77" s="55" t="s">
        <v>569</v>
      </c>
      <c r="C77" s="41">
        <v>39696</v>
      </c>
      <c r="D77" s="44" t="s">
        <v>570</v>
      </c>
      <c r="E77" s="44" t="s">
        <v>570</v>
      </c>
      <c r="F77" s="63">
        <v>50</v>
      </c>
      <c r="G77" s="63">
        <v>2</v>
      </c>
      <c r="H77" s="85">
        <v>411946</v>
      </c>
      <c r="I77" s="198">
        <v>34681</v>
      </c>
      <c r="J77" s="218">
        <f t="shared" si="4"/>
        <v>11.878146535567025</v>
      </c>
      <c r="K77" s="232"/>
      <c r="L77" s="230"/>
      <c r="M77" s="231"/>
      <c r="N77" s="230"/>
    </row>
    <row r="78" spans="1:14" s="31" customFormat="1" ht="15">
      <c r="A78" s="229">
        <v>75</v>
      </c>
      <c r="B78" s="77" t="s">
        <v>555</v>
      </c>
      <c r="C78" s="61">
        <v>39563</v>
      </c>
      <c r="D78" s="80" t="s">
        <v>412</v>
      </c>
      <c r="E78" s="80" t="s">
        <v>177</v>
      </c>
      <c r="F78" s="79">
        <v>99</v>
      </c>
      <c r="G78" s="79">
        <v>15</v>
      </c>
      <c r="H78" s="201">
        <v>407785</v>
      </c>
      <c r="I78" s="202">
        <v>65183</v>
      </c>
      <c r="J78" s="219">
        <f>H78/I78</f>
        <v>6.256002331896354</v>
      </c>
      <c r="K78" s="232">
        <v>1</v>
      </c>
      <c r="L78" s="230"/>
      <c r="M78" s="231"/>
      <c r="N78" s="230"/>
    </row>
    <row r="79" spans="1:14" s="31" customFormat="1" ht="15">
      <c r="A79" s="229">
        <v>76</v>
      </c>
      <c r="B79" s="57" t="s">
        <v>348</v>
      </c>
      <c r="C79" s="42">
        <v>39535</v>
      </c>
      <c r="D79" s="47" t="s">
        <v>425</v>
      </c>
      <c r="E79" s="47" t="s">
        <v>50</v>
      </c>
      <c r="F79" s="88">
        <v>69</v>
      </c>
      <c r="G79" s="88">
        <v>21</v>
      </c>
      <c r="H79" s="85">
        <v>403879</v>
      </c>
      <c r="I79" s="93">
        <v>56067</v>
      </c>
      <c r="J79" s="81">
        <f>H79/I79</f>
        <v>7.203506518986213</v>
      </c>
      <c r="K79" s="232"/>
      <c r="L79" s="230"/>
      <c r="M79" s="231"/>
      <c r="N79" s="230"/>
    </row>
    <row r="80" spans="1:14" s="31" customFormat="1" ht="15">
      <c r="A80" s="229">
        <v>77</v>
      </c>
      <c r="B80" s="56" t="s">
        <v>347</v>
      </c>
      <c r="C80" s="41">
        <v>39535</v>
      </c>
      <c r="D80" s="46" t="s">
        <v>42</v>
      </c>
      <c r="E80" s="46" t="s">
        <v>217</v>
      </c>
      <c r="F80" s="43">
        <v>63</v>
      </c>
      <c r="G80" s="43">
        <v>25</v>
      </c>
      <c r="H80" s="187">
        <v>394410</v>
      </c>
      <c r="I80" s="188">
        <v>43979</v>
      </c>
      <c r="J80" s="215">
        <v>8.969228319952695</v>
      </c>
      <c r="K80" s="232"/>
      <c r="L80" s="230"/>
      <c r="M80" s="231"/>
      <c r="N80" s="230"/>
    </row>
    <row r="81" spans="1:14" s="31" customFormat="1" ht="15">
      <c r="A81" s="229">
        <v>78</v>
      </c>
      <c r="B81" s="57" t="s">
        <v>269</v>
      </c>
      <c r="C81" s="42">
        <v>39570</v>
      </c>
      <c r="D81" s="47" t="s">
        <v>425</v>
      </c>
      <c r="E81" s="47" t="s">
        <v>50</v>
      </c>
      <c r="F81" s="88">
        <v>20</v>
      </c>
      <c r="G81" s="88">
        <v>19</v>
      </c>
      <c r="H81" s="85">
        <v>387047.5</v>
      </c>
      <c r="I81" s="93">
        <v>52916</v>
      </c>
      <c r="J81" s="81">
        <f>H81/I81</f>
        <v>7.314375614180966</v>
      </c>
      <c r="K81" s="232"/>
      <c r="L81" s="230"/>
      <c r="M81" s="231"/>
      <c r="N81" s="230"/>
    </row>
    <row r="82" spans="1:14" s="31" customFormat="1" ht="15">
      <c r="A82" s="229">
        <v>79</v>
      </c>
      <c r="B82" s="55" t="s">
        <v>9</v>
      </c>
      <c r="C82" s="41">
        <v>39675</v>
      </c>
      <c r="D82" s="45" t="s">
        <v>41</v>
      </c>
      <c r="E82" s="44" t="s">
        <v>140</v>
      </c>
      <c r="F82" s="63">
        <v>99</v>
      </c>
      <c r="G82" s="63">
        <v>5</v>
      </c>
      <c r="H82" s="85">
        <f>203796+107114+30031+11268+8827</f>
        <v>361036</v>
      </c>
      <c r="I82" s="198">
        <f>23580+12861+4029+1667+1478</f>
        <v>43615</v>
      </c>
      <c r="J82" s="218">
        <f>+H82/I82</f>
        <v>8.27779433681073</v>
      </c>
      <c r="K82" s="232"/>
      <c r="L82" s="230"/>
      <c r="M82" s="231"/>
      <c r="N82" s="230"/>
    </row>
    <row r="83" spans="1:14" s="31" customFormat="1" ht="15">
      <c r="A83" s="229">
        <v>80</v>
      </c>
      <c r="B83" s="55" t="s">
        <v>324</v>
      </c>
      <c r="C83" s="41">
        <v>39584</v>
      </c>
      <c r="D83" s="45" t="s">
        <v>41</v>
      </c>
      <c r="E83" s="44" t="s">
        <v>217</v>
      </c>
      <c r="F83" s="63">
        <v>70</v>
      </c>
      <c r="G83" s="63">
        <v>15</v>
      </c>
      <c r="H83" s="85">
        <f>183871+101049+23966+13757+10517+2554+295+414+12+35+42+60+60+78+24</f>
        <v>336734</v>
      </c>
      <c r="I83" s="198">
        <f>19706+11937+3114+2379+1910+411+40+81+2+6+7+10+10+13+4</f>
        <v>39630</v>
      </c>
      <c r="J83" s="218">
        <f>+H83/I83</f>
        <v>8.496946757506938</v>
      </c>
      <c r="K83" s="232"/>
      <c r="L83" s="230"/>
      <c r="M83" s="231"/>
      <c r="N83" s="230"/>
    </row>
    <row r="84" spans="1:14" s="31" customFormat="1" ht="15">
      <c r="A84" s="229">
        <v>81</v>
      </c>
      <c r="B84" s="56" t="s">
        <v>302</v>
      </c>
      <c r="C84" s="41">
        <v>39451</v>
      </c>
      <c r="D84" s="46" t="s">
        <v>412</v>
      </c>
      <c r="E84" s="46" t="s">
        <v>564</v>
      </c>
      <c r="F84" s="43">
        <v>22</v>
      </c>
      <c r="G84" s="43">
        <v>22</v>
      </c>
      <c r="H84" s="187">
        <v>329644.5</v>
      </c>
      <c r="I84" s="188">
        <v>37626</v>
      </c>
      <c r="J84" s="215">
        <v>8.76108276191995</v>
      </c>
      <c r="K84" s="232"/>
      <c r="L84" s="230"/>
      <c r="M84" s="231"/>
      <c r="N84" s="230"/>
    </row>
    <row r="85" spans="1:14" s="31" customFormat="1" ht="15">
      <c r="A85" s="229">
        <v>82</v>
      </c>
      <c r="B85" s="55" t="s">
        <v>462</v>
      </c>
      <c r="C85" s="41">
        <v>39528</v>
      </c>
      <c r="D85" s="45" t="s">
        <v>41</v>
      </c>
      <c r="E85" s="44" t="s">
        <v>463</v>
      </c>
      <c r="F85" s="63">
        <v>72</v>
      </c>
      <c r="G85" s="63">
        <v>14</v>
      </c>
      <c r="H85" s="197">
        <f>172485+85617+36350+13710+8796+1398+289+1879+1060+1033+550+390+521+353</f>
        <v>324431</v>
      </c>
      <c r="I85" s="198">
        <f>24425+12520+5681+2676+1627+258+53+322+226+232+108+72+121+61</f>
        <v>48382</v>
      </c>
      <c r="J85" s="218">
        <f>+H85/I85</f>
        <v>6.705613657971973</v>
      </c>
      <c r="K85" s="232">
        <v>1</v>
      </c>
      <c r="L85" s="230"/>
      <c r="M85" s="231"/>
      <c r="N85" s="230"/>
    </row>
    <row r="86" spans="1:14" s="31" customFormat="1" ht="15">
      <c r="A86" s="229">
        <v>83</v>
      </c>
      <c r="B86" s="56" t="s">
        <v>405</v>
      </c>
      <c r="C86" s="41">
        <v>39521</v>
      </c>
      <c r="D86" s="46" t="s">
        <v>43</v>
      </c>
      <c r="E86" s="46" t="s">
        <v>414</v>
      </c>
      <c r="F86" s="43">
        <v>35</v>
      </c>
      <c r="G86" s="43">
        <v>10</v>
      </c>
      <c r="H86" s="187">
        <f>158911.5+84709.5+32412+22388.5+11834.5+4448+941+1712+223+247</f>
        <v>317827</v>
      </c>
      <c r="I86" s="188">
        <f>16141+8958+4283+3485+1951+836+173+378+49+92</f>
        <v>36346</v>
      </c>
      <c r="J86" s="215">
        <f>+H86/I86</f>
        <v>8.744483574533648</v>
      </c>
      <c r="K86" s="232"/>
      <c r="L86" s="230"/>
      <c r="M86" s="231"/>
      <c r="N86" s="230"/>
    </row>
    <row r="87" spans="1:14" s="31" customFormat="1" ht="15">
      <c r="A87" s="229">
        <v>84</v>
      </c>
      <c r="B87" s="56" t="s">
        <v>571</v>
      </c>
      <c r="C87" s="42">
        <v>39696</v>
      </c>
      <c r="D87" s="46" t="s">
        <v>414</v>
      </c>
      <c r="E87" s="46" t="s">
        <v>414</v>
      </c>
      <c r="F87" s="43">
        <v>48</v>
      </c>
      <c r="G87" s="43">
        <v>2</v>
      </c>
      <c r="H87" s="86">
        <f>186468.5+119856.5</f>
        <v>306325</v>
      </c>
      <c r="I87" s="188">
        <f>19349+12596</f>
        <v>31945</v>
      </c>
      <c r="J87" s="218">
        <f>+H87/I87</f>
        <v>9.589137580215997</v>
      </c>
      <c r="K87" s="232"/>
      <c r="L87" s="230"/>
      <c r="M87" s="231"/>
      <c r="N87" s="230"/>
    </row>
    <row r="88" spans="1:14" s="31" customFormat="1" ht="15">
      <c r="A88" s="229">
        <v>85</v>
      </c>
      <c r="B88" s="62" t="s">
        <v>229</v>
      </c>
      <c r="C88" s="41">
        <v>39633</v>
      </c>
      <c r="D88" s="47" t="s">
        <v>468</v>
      </c>
      <c r="E88" s="47" t="s">
        <v>550</v>
      </c>
      <c r="F88" s="58">
        <v>28</v>
      </c>
      <c r="G88" s="58">
        <v>11</v>
      </c>
      <c r="H88" s="85">
        <v>299795</v>
      </c>
      <c r="I88" s="198">
        <v>39624</v>
      </c>
      <c r="J88" s="216">
        <f>+H88/I88</f>
        <v>7.565995356349687</v>
      </c>
      <c r="K88" s="232"/>
      <c r="L88" s="230"/>
      <c r="M88" s="231"/>
      <c r="N88" s="230"/>
    </row>
    <row r="89" spans="1:14" s="31" customFormat="1" ht="15">
      <c r="A89" s="229">
        <v>86</v>
      </c>
      <c r="B89" s="350" t="s">
        <v>236</v>
      </c>
      <c r="C89" s="42">
        <v>39514</v>
      </c>
      <c r="D89" s="87" t="s">
        <v>42</v>
      </c>
      <c r="E89" s="87" t="s">
        <v>217</v>
      </c>
      <c r="F89" s="43">
        <v>27</v>
      </c>
      <c r="G89" s="43">
        <v>28</v>
      </c>
      <c r="H89" s="86">
        <v>298165</v>
      </c>
      <c r="I89" s="95">
        <v>31890</v>
      </c>
      <c r="J89" s="155">
        <f>+H89/I89</f>
        <v>9.349796174349326</v>
      </c>
      <c r="K89" s="232"/>
      <c r="L89" s="230"/>
      <c r="M89" s="231"/>
      <c r="N89" s="230"/>
    </row>
    <row r="90" spans="1:14" s="31" customFormat="1" ht="15">
      <c r="A90" s="229">
        <v>87</v>
      </c>
      <c r="B90" s="56" t="s">
        <v>534</v>
      </c>
      <c r="C90" s="42">
        <v>39668</v>
      </c>
      <c r="D90" s="47" t="s">
        <v>50</v>
      </c>
      <c r="E90" s="46" t="s">
        <v>44</v>
      </c>
      <c r="F90" s="43">
        <v>30</v>
      </c>
      <c r="G90" s="43">
        <v>6</v>
      </c>
      <c r="H90" s="85">
        <f>89054.5+57486.5+37042+30101+44531+28219</f>
        <v>286434</v>
      </c>
      <c r="I90" s="198">
        <f>9455+7403+4904+5003+7318+4503</f>
        <v>38586</v>
      </c>
      <c r="J90" s="218">
        <f>H90/I90</f>
        <v>7.423262323122376</v>
      </c>
      <c r="K90" s="232"/>
      <c r="L90" s="230"/>
      <c r="M90" s="231"/>
      <c r="N90" s="230"/>
    </row>
    <row r="91" spans="1:14" s="31" customFormat="1" ht="15">
      <c r="A91" s="229">
        <v>88</v>
      </c>
      <c r="B91" s="62" t="s">
        <v>13</v>
      </c>
      <c r="C91" s="41">
        <v>39458</v>
      </c>
      <c r="D91" s="47" t="s">
        <v>468</v>
      </c>
      <c r="E91" s="47" t="s">
        <v>550</v>
      </c>
      <c r="F91" s="58">
        <v>8</v>
      </c>
      <c r="G91" s="58">
        <v>32</v>
      </c>
      <c r="H91" s="197">
        <v>284442</v>
      </c>
      <c r="I91" s="198">
        <v>28406</v>
      </c>
      <c r="J91" s="216">
        <f>+H91/I91</f>
        <v>10.013447863127508</v>
      </c>
      <c r="K91" s="232"/>
      <c r="L91" s="230"/>
      <c r="M91" s="231"/>
      <c r="N91" s="230"/>
    </row>
    <row r="92" spans="1:14" s="31" customFormat="1" ht="15">
      <c r="A92" s="229">
        <v>89</v>
      </c>
      <c r="B92" s="57" t="s">
        <v>503</v>
      </c>
      <c r="C92" s="41">
        <v>39479</v>
      </c>
      <c r="D92" s="44" t="s">
        <v>223</v>
      </c>
      <c r="E92" s="47" t="s">
        <v>170</v>
      </c>
      <c r="F92" s="64" t="s">
        <v>482</v>
      </c>
      <c r="G92" s="64" t="s">
        <v>327</v>
      </c>
      <c r="H92" s="197">
        <v>283768.54</v>
      </c>
      <c r="I92" s="198">
        <v>38212</v>
      </c>
      <c r="J92" s="389">
        <f>+H92/I92</f>
        <v>7.426162985449596</v>
      </c>
      <c r="K92" s="232">
        <v>1</v>
      </c>
      <c r="L92" s="230"/>
      <c r="M92" s="231"/>
      <c r="N92" s="230"/>
    </row>
    <row r="93" spans="1:14" s="31" customFormat="1" ht="15">
      <c r="A93" s="229">
        <v>90</v>
      </c>
      <c r="B93" s="55" t="s">
        <v>70</v>
      </c>
      <c r="C93" s="41">
        <v>39619</v>
      </c>
      <c r="D93" s="45" t="s">
        <v>41</v>
      </c>
      <c r="E93" s="44" t="s">
        <v>140</v>
      </c>
      <c r="F93" s="63">
        <v>69</v>
      </c>
      <c r="G93" s="63">
        <v>9</v>
      </c>
      <c r="H93" s="197">
        <f>143164+80019+17883+10561+14716+7574+3678+1073+814</f>
        <v>279482</v>
      </c>
      <c r="I93" s="198">
        <f>16085+9334+2216+1570+2616+1472+721+206+111</f>
        <v>34331</v>
      </c>
      <c r="J93" s="218">
        <f>+H93/I93</f>
        <v>8.140805685823308</v>
      </c>
      <c r="K93" s="232"/>
      <c r="L93" s="230"/>
      <c r="M93" s="231"/>
      <c r="N93" s="230"/>
    </row>
    <row r="94" spans="1:14" s="31" customFormat="1" ht="15">
      <c r="A94" s="229">
        <v>91</v>
      </c>
      <c r="B94" s="56" t="s">
        <v>589</v>
      </c>
      <c r="C94" s="41">
        <v>39703</v>
      </c>
      <c r="D94" s="47" t="s">
        <v>50</v>
      </c>
      <c r="E94" s="46" t="s">
        <v>44</v>
      </c>
      <c r="F94" s="43">
        <v>63</v>
      </c>
      <c r="G94" s="43">
        <v>1</v>
      </c>
      <c r="H94" s="85">
        <v>274289</v>
      </c>
      <c r="I94" s="198">
        <v>28733</v>
      </c>
      <c r="J94" s="218">
        <f>H94/I94</f>
        <v>9.54613162565691</v>
      </c>
      <c r="K94" s="232"/>
      <c r="L94" s="230"/>
      <c r="M94" s="231"/>
      <c r="N94" s="230"/>
    </row>
    <row r="95" spans="1:14" s="31" customFormat="1" ht="15">
      <c r="A95" s="229">
        <v>92</v>
      </c>
      <c r="B95" s="62" t="s">
        <v>421</v>
      </c>
      <c r="C95" s="41">
        <v>39682</v>
      </c>
      <c r="D95" s="47" t="s">
        <v>468</v>
      </c>
      <c r="E95" s="47" t="s">
        <v>422</v>
      </c>
      <c r="F95" s="58">
        <v>32</v>
      </c>
      <c r="G95" s="58">
        <v>4</v>
      </c>
      <c r="H95" s="85">
        <v>269824</v>
      </c>
      <c r="I95" s="198">
        <v>29741</v>
      </c>
      <c r="J95" s="216">
        <f>+H95/I95</f>
        <v>9.072458895127937</v>
      </c>
      <c r="K95" s="232"/>
      <c r="L95" s="230"/>
      <c r="M95" s="231"/>
      <c r="N95" s="230"/>
    </row>
    <row r="96" spans="1:14" s="31" customFormat="1" ht="15">
      <c r="A96" s="229">
        <v>93</v>
      </c>
      <c r="B96" s="57" t="s">
        <v>87</v>
      </c>
      <c r="C96" s="42">
        <v>39598</v>
      </c>
      <c r="D96" s="47" t="s">
        <v>425</v>
      </c>
      <c r="E96" s="47" t="s">
        <v>355</v>
      </c>
      <c r="F96" s="88">
        <v>38</v>
      </c>
      <c r="G96" s="88">
        <v>16</v>
      </c>
      <c r="H96" s="85">
        <v>264928.58</v>
      </c>
      <c r="I96" s="198">
        <v>34077</v>
      </c>
      <c r="J96" s="218">
        <f>H96/I96</f>
        <v>7.774410306071545</v>
      </c>
      <c r="K96" s="232"/>
      <c r="L96" s="230"/>
      <c r="M96" s="231"/>
      <c r="N96" s="230"/>
    </row>
    <row r="97" spans="1:14" s="31" customFormat="1" ht="15">
      <c r="A97" s="229">
        <v>94</v>
      </c>
      <c r="B97" s="56" t="s">
        <v>590</v>
      </c>
      <c r="C97" s="347">
        <v>39703</v>
      </c>
      <c r="D97" s="48" t="s">
        <v>165</v>
      </c>
      <c r="E97" s="48" t="s">
        <v>165</v>
      </c>
      <c r="F97" s="76">
        <v>54</v>
      </c>
      <c r="G97" s="76">
        <v>1</v>
      </c>
      <c r="H97" s="96">
        <v>264540</v>
      </c>
      <c r="I97" s="210">
        <v>25715</v>
      </c>
      <c r="J97" s="218">
        <f>+H97/I97</f>
        <v>10.287380906085943</v>
      </c>
      <c r="K97" s="232"/>
      <c r="L97" s="230"/>
      <c r="M97" s="231"/>
      <c r="N97" s="230"/>
    </row>
    <row r="98" spans="1:14" s="31" customFormat="1" ht="15">
      <c r="A98" s="229">
        <v>95</v>
      </c>
      <c r="B98" s="57" t="s">
        <v>410</v>
      </c>
      <c r="C98" s="42">
        <v>39451</v>
      </c>
      <c r="D98" s="47" t="s">
        <v>425</v>
      </c>
      <c r="E98" s="47" t="s">
        <v>50</v>
      </c>
      <c r="F98" s="88">
        <v>25</v>
      </c>
      <c r="G98" s="88">
        <v>26</v>
      </c>
      <c r="H98" s="85">
        <v>263536.5</v>
      </c>
      <c r="I98" s="198">
        <v>32800</v>
      </c>
      <c r="J98" s="218">
        <f>H98/I98</f>
        <v>8.034649390243903</v>
      </c>
      <c r="K98" s="232"/>
      <c r="L98" s="230"/>
      <c r="M98" s="231"/>
      <c r="N98" s="230"/>
    </row>
    <row r="99" spans="1:14" s="31" customFormat="1" ht="15">
      <c r="A99" s="229">
        <v>96</v>
      </c>
      <c r="B99" s="56" t="s">
        <v>286</v>
      </c>
      <c r="C99" s="41">
        <v>39577</v>
      </c>
      <c r="D99" s="46" t="s">
        <v>42</v>
      </c>
      <c r="E99" s="46" t="s">
        <v>152</v>
      </c>
      <c r="F99" s="43">
        <v>45</v>
      </c>
      <c r="G99" s="43">
        <v>10</v>
      </c>
      <c r="H99" s="86">
        <v>257724</v>
      </c>
      <c r="I99" s="95">
        <v>33843</v>
      </c>
      <c r="J99" s="215">
        <f>+H99/I99</f>
        <v>7.615282333126496</v>
      </c>
      <c r="K99" s="232"/>
      <c r="L99" s="230"/>
      <c r="M99" s="231"/>
      <c r="N99" s="230"/>
    </row>
    <row r="100" spans="1:14" s="31" customFormat="1" ht="15">
      <c r="A100" s="229">
        <v>97</v>
      </c>
      <c r="B100" s="56" t="s">
        <v>154</v>
      </c>
      <c r="C100" s="41">
        <v>39507</v>
      </c>
      <c r="D100" s="46" t="s">
        <v>43</v>
      </c>
      <c r="E100" s="46" t="s">
        <v>44</v>
      </c>
      <c r="F100" s="43">
        <v>27</v>
      </c>
      <c r="G100" s="43">
        <v>11</v>
      </c>
      <c r="H100" s="187">
        <f>142023+69625+9810.5+9329.5+4868.5+7637+1929.5+2734+1506+1953+423</f>
        <v>251839</v>
      </c>
      <c r="I100" s="188">
        <f>14268+6834+980+1733+937+1518+372+479+344+651+43</f>
        <v>28159</v>
      </c>
      <c r="J100" s="215">
        <f>+H100/I100</f>
        <v>8.943463901416953</v>
      </c>
      <c r="K100" s="232"/>
      <c r="L100" s="230"/>
      <c r="M100" s="231"/>
      <c r="N100" s="230"/>
    </row>
    <row r="101" spans="1:14" s="31" customFormat="1" ht="15">
      <c r="A101" s="229">
        <v>98</v>
      </c>
      <c r="B101" s="350" t="s">
        <v>71</v>
      </c>
      <c r="C101" s="42">
        <v>39619</v>
      </c>
      <c r="D101" s="87" t="s">
        <v>42</v>
      </c>
      <c r="E101" s="87" t="s">
        <v>217</v>
      </c>
      <c r="F101" s="43">
        <v>64</v>
      </c>
      <c r="G101" s="43">
        <v>10</v>
      </c>
      <c r="H101" s="187">
        <v>245453</v>
      </c>
      <c r="I101" s="188">
        <v>31236</v>
      </c>
      <c r="J101" s="215">
        <f>+H101/I101</f>
        <v>7.858016391343321</v>
      </c>
      <c r="K101" s="232"/>
      <c r="L101" s="230"/>
      <c r="M101" s="231"/>
      <c r="N101" s="230"/>
    </row>
    <row r="102" spans="1:14" s="31" customFormat="1" ht="15">
      <c r="A102" s="229">
        <v>99</v>
      </c>
      <c r="B102" s="350" t="s">
        <v>230</v>
      </c>
      <c r="C102" s="42">
        <v>39633</v>
      </c>
      <c r="D102" s="87" t="s">
        <v>42</v>
      </c>
      <c r="E102" s="87" t="s">
        <v>47</v>
      </c>
      <c r="F102" s="43">
        <v>36</v>
      </c>
      <c r="G102" s="43">
        <v>11</v>
      </c>
      <c r="H102" s="86">
        <v>229641</v>
      </c>
      <c r="I102" s="95">
        <v>28543</v>
      </c>
      <c r="J102" s="155">
        <f>+H102/I102</f>
        <v>8.045440213011947</v>
      </c>
      <c r="K102" s="232"/>
      <c r="L102" s="230"/>
      <c r="M102" s="231"/>
      <c r="N102" s="230"/>
    </row>
    <row r="103" spans="1:14" s="31" customFormat="1" ht="15">
      <c r="A103" s="229">
        <v>100</v>
      </c>
      <c r="B103" s="57" t="s">
        <v>584</v>
      </c>
      <c r="C103" s="42">
        <v>39584</v>
      </c>
      <c r="D103" s="47" t="s">
        <v>425</v>
      </c>
      <c r="E103" s="47" t="s">
        <v>356</v>
      </c>
      <c r="F103" s="88">
        <v>63</v>
      </c>
      <c r="G103" s="88">
        <v>14</v>
      </c>
      <c r="H103" s="85">
        <v>225861</v>
      </c>
      <c r="I103" s="198">
        <v>30790</v>
      </c>
      <c r="J103" s="218">
        <f>H103/I103</f>
        <v>7.335531016563819</v>
      </c>
      <c r="K103" s="232"/>
      <c r="L103" s="230"/>
      <c r="M103" s="231"/>
      <c r="N103" s="230"/>
    </row>
    <row r="104" spans="1:14" s="31" customFormat="1" ht="15">
      <c r="A104" s="229">
        <v>101</v>
      </c>
      <c r="B104" s="56" t="s">
        <v>62</v>
      </c>
      <c r="C104" s="41">
        <v>39542</v>
      </c>
      <c r="D104" s="46" t="s">
        <v>412</v>
      </c>
      <c r="E104" s="46" t="s">
        <v>63</v>
      </c>
      <c r="F104" s="43">
        <v>43</v>
      </c>
      <c r="G104" s="43">
        <v>11</v>
      </c>
      <c r="H104" s="187">
        <v>224523.5</v>
      </c>
      <c r="I104" s="188">
        <v>28396</v>
      </c>
      <c r="J104" s="215">
        <v>7.906870686012115</v>
      </c>
      <c r="K104" s="232"/>
      <c r="L104" s="230"/>
      <c r="M104" s="231"/>
      <c r="N104" s="230"/>
    </row>
    <row r="105" spans="1:14" s="31" customFormat="1" ht="15">
      <c r="A105" s="229">
        <v>102</v>
      </c>
      <c r="B105" s="350" t="s">
        <v>172</v>
      </c>
      <c r="C105" s="42">
        <v>39654</v>
      </c>
      <c r="D105" s="87" t="s">
        <v>42</v>
      </c>
      <c r="E105" s="87" t="s">
        <v>217</v>
      </c>
      <c r="F105" s="43">
        <v>35</v>
      </c>
      <c r="G105" s="43">
        <v>8</v>
      </c>
      <c r="H105" s="86">
        <v>224614</v>
      </c>
      <c r="I105" s="95">
        <v>26368</v>
      </c>
      <c r="J105" s="155">
        <f>+H105/I105</f>
        <v>8.518431432038835</v>
      </c>
      <c r="K105" s="232"/>
      <c r="L105" s="230"/>
      <c r="M105" s="231"/>
      <c r="N105" s="230"/>
    </row>
    <row r="106" spans="1:14" s="31" customFormat="1" ht="15">
      <c r="A106" s="229">
        <v>103</v>
      </c>
      <c r="B106" s="350" t="s">
        <v>333</v>
      </c>
      <c r="C106" s="42">
        <v>39479</v>
      </c>
      <c r="D106" s="87" t="s">
        <v>42</v>
      </c>
      <c r="E106" s="87" t="s">
        <v>527</v>
      </c>
      <c r="F106" s="43">
        <v>25</v>
      </c>
      <c r="G106" s="43">
        <v>27</v>
      </c>
      <c r="H106" s="187">
        <v>222518</v>
      </c>
      <c r="I106" s="188">
        <v>24356</v>
      </c>
      <c r="J106" s="215">
        <f>+H106/I106</f>
        <v>9.136065035309574</v>
      </c>
      <c r="K106" s="232"/>
      <c r="L106" s="230"/>
      <c r="M106" s="231"/>
      <c r="N106" s="230"/>
    </row>
    <row r="107" spans="1:14" s="31" customFormat="1" ht="15">
      <c r="A107" s="229">
        <v>104</v>
      </c>
      <c r="B107" s="57" t="s">
        <v>160</v>
      </c>
      <c r="C107" s="42">
        <v>39647</v>
      </c>
      <c r="D107" s="47" t="s">
        <v>425</v>
      </c>
      <c r="E107" s="47" t="s">
        <v>50</v>
      </c>
      <c r="F107" s="88">
        <v>25</v>
      </c>
      <c r="G107" s="88">
        <v>9</v>
      </c>
      <c r="H107" s="85">
        <v>222176</v>
      </c>
      <c r="I107" s="198">
        <v>31861</v>
      </c>
      <c r="J107" s="218">
        <f>H107/I107</f>
        <v>6.973290229434104</v>
      </c>
      <c r="K107" s="232"/>
      <c r="L107" s="230"/>
      <c r="M107" s="231"/>
      <c r="N107" s="230"/>
    </row>
    <row r="108" spans="1:14" s="31" customFormat="1" ht="15">
      <c r="A108" s="229">
        <v>105</v>
      </c>
      <c r="B108" s="56" t="s">
        <v>320</v>
      </c>
      <c r="C108" s="41">
        <v>39493</v>
      </c>
      <c r="D108" s="46" t="s">
        <v>42</v>
      </c>
      <c r="E108" s="46" t="s">
        <v>298</v>
      </c>
      <c r="F108" s="43">
        <v>16</v>
      </c>
      <c r="G108" s="43">
        <v>31</v>
      </c>
      <c r="H108" s="187">
        <v>221650</v>
      </c>
      <c r="I108" s="188">
        <v>24989</v>
      </c>
      <c r="J108" s="215">
        <v>8.87146231135663</v>
      </c>
      <c r="K108" s="232"/>
      <c r="L108" s="230"/>
      <c r="M108" s="231"/>
      <c r="N108" s="230"/>
    </row>
    <row r="109" spans="1:14" s="31" customFormat="1" ht="15">
      <c r="A109" s="229">
        <v>106</v>
      </c>
      <c r="B109" s="56" t="s">
        <v>20</v>
      </c>
      <c r="C109" s="42">
        <v>39584</v>
      </c>
      <c r="D109" s="46" t="s">
        <v>43</v>
      </c>
      <c r="E109" s="46" t="s">
        <v>21</v>
      </c>
      <c r="F109" s="43">
        <v>30</v>
      </c>
      <c r="G109" s="43">
        <v>11</v>
      </c>
      <c r="H109" s="187">
        <f>76736.5+44604.5+24968+24135.5+13319+13790+4499+2476+1561+3401+226</f>
        <v>209716.5</v>
      </c>
      <c r="I109" s="188">
        <f>8495+5197+3367+4280+2455+3081+749+412+261+463+31</f>
        <v>28791</v>
      </c>
      <c r="J109" s="218">
        <f>+H109/I109</f>
        <v>7.284099197665937</v>
      </c>
      <c r="K109" s="232"/>
      <c r="L109" s="230"/>
      <c r="M109" s="231"/>
      <c r="N109" s="230"/>
    </row>
    <row r="110" spans="1:14" s="31" customFormat="1" ht="15">
      <c r="A110" s="229">
        <v>107</v>
      </c>
      <c r="B110" s="56" t="s">
        <v>193</v>
      </c>
      <c r="C110" s="347">
        <v>39612</v>
      </c>
      <c r="D110" s="48" t="s">
        <v>165</v>
      </c>
      <c r="E110" s="48" t="s">
        <v>231</v>
      </c>
      <c r="F110" s="76">
        <v>25</v>
      </c>
      <c r="G110" s="76">
        <v>14</v>
      </c>
      <c r="H110" s="96">
        <v>208970</v>
      </c>
      <c r="I110" s="210">
        <v>29819</v>
      </c>
      <c r="J110" s="218">
        <f>+H110/I110</f>
        <v>7.0079479526476405</v>
      </c>
      <c r="K110" s="232"/>
      <c r="L110" s="230"/>
      <c r="M110" s="231"/>
      <c r="N110" s="230"/>
    </row>
    <row r="111" spans="1:14" s="31" customFormat="1" ht="15">
      <c r="A111" s="229">
        <v>108</v>
      </c>
      <c r="B111" s="55" t="s">
        <v>67</v>
      </c>
      <c r="C111" s="41">
        <v>39465</v>
      </c>
      <c r="D111" s="44" t="s">
        <v>81</v>
      </c>
      <c r="E111" s="44" t="s">
        <v>290</v>
      </c>
      <c r="F111" s="63">
        <v>29</v>
      </c>
      <c r="G111" s="63">
        <v>8</v>
      </c>
      <c r="H111" s="94">
        <v>205137</v>
      </c>
      <c r="I111" s="188">
        <v>20288</v>
      </c>
      <c r="J111" s="216">
        <f>IF(H111&lt;&gt;0,H111/I111,"")</f>
        <v>10.111248028391167</v>
      </c>
      <c r="K111" s="232"/>
      <c r="L111" s="230"/>
      <c r="M111" s="231"/>
      <c r="N111" s="230"/>
    </row>
    <row r="112" spans="1:14" s="31" customFormat="1" ht="15">
      <c r="A112" s="229">
        <v>109</v>
      </c>
      <c r="B112" s="56" t="s">
        <v>406</v>
      </c>
      <c r="C112" s="41">
        <v>39521</v>
      </c>
      <c r="D112" s="46" t="s">
        <v>43</v>
      </c>
      <c r="E112" s="46" t="s">
        <v>483</v>
      </c>
      <c r="F112" s="43">
        <v>100</v>
      </c>
      <c r="G112" s="43">
        <v>10</v>
      </c>
      <c r="H112" s="86">
        <f>130222+40364+11767.5+6435+3349+6171+506+85+3062+202.5</f>
        <v>202164</v>
      </c>
      <c r="I112" s="95">
        <f>18824+6193+1964+1132+641+1497+105+15+766+75</f>
        <v>31212</v>
      </c>
      <c r="J112" s="215">
        <f>+H112/I112</f>
        <v>6.477124183006536</v>
      </c>
      <c r="K112" s="232">
        <v>1</v>
      </c>
      <c r="L112" s="230"/>
      <c r="M112" s="231"/>
      <c r="N112" s="230"/>
    </row>
    <row r="113" spans="1:14" s="31" customFormat="1" ht="15">
      <c r="A113" s="229">
        <v>110</v>
      </c>
      <c r="B113" s="56" t="s">
        <v>349</v>
      </c>
      <c r="C113" s="347">
        <v>39535</v>
      </c>
      <c r="D113" s="48" t="s">
        <v>165</v>
      </c>
      <c r="E113" s="48" t="s">
        <v>194</v>
      </c>
      <c r="F113" s="76">
        <v>10</v>
      </c>
      <c r="G113" s="76">
        <v>21</v>
      </c>
      <c r="H113" s="187">
        <v>200287</v>
      </c>
      <c r="I113" s="188">
        <v>23766</v>
      </c>
      <c r="J113" s="218">
        <f>+H113/I113</f>
        <v>8.427459395775477</v>
      </c>
      <c r="K113" s="232"/>
      <c r="L113" s="230"/>
      <c r="M113" s="231"/>
      <c r="N113" s="230"/>
    </row>
    <row r="114" spans="1:14" s="31" customFormat="1" ht="15">
      <c r="A114" s="229">
        <v>111</v>
      </c>
      <c r="B114" s="56" t="s">
        <v>465</v>
      </c>
      <c r="C114" s="41">
        <v>39521</v>
      </c>
      <c r="D114" s="46" t="s">
        <v>41</v>
      </c>
      <c r="E114" s="46" t="s">
        <v>303</v>
      </c>
      <c r="F114" s="43">
        <v>36</v>
      </c>
      <c r="G114" s="43">
        <v>10</v>
      </c>
      <c r="H114" s="187">
        <v>197714</v>
      </c>
      <c r="I114" s="188">
        <v>26182</v>
      </c>
      <c r="J114" s="215">
        <v>7.551523947750363</v>
      </c>
      <c r="K114" s="232"/>
      <c r="L114" s="230"/>
      <c r="M114" s="231"/>
      <c r="N114" s="230"/>
    </row>
    <row r="115" spans="1:14" s="31" customFormat="1" ht="15">
      <c r="A115" s="229">
        <v>112</v>
      </c>
      <c r="B115" s="57" t="s">
        <v>237</v>
      </c>
      <c r="C115" s="41">
        <v>39514</v>
      </c>
      <c r="D115" s="44" t="s">
        <v>223</v>
      </c>
      <c r="E115" s="47" t="s">
        <v>102</v>
      </c>
      <c r="F115" s="64" t="s">
        <v>477</v>
      </c>
      <c r="G115" s="64" t="s">
        <v>185</v>
      </c>
      <c r="H115" s="85">
        <v>185587.91</v>
      </c>
      <c r="I115" s="198">
        <v>27672</v>
      </c>
      <c r="J115" s="81">
        <f>+H115/I115</f>
        <v>6.706703888407054</v>
      </c>
      <c r="K115" s="232">
        <v>1</v>
      </c>
      <c r="L115" s="230"/>
      <c r="M115" s="231"/>
      <c r="N115" s="230"/>
    </row>
    <row r="116" spans="1:14" s="31" customFormat="1" ht="15">
      <c r="A116" s="229">
        <v>113</v>
      </c>
      <c r="B116" s="56" t="s">
        <v>481</v>
      </c>
      <c r="C116" s="41">
        <v>39570</v>
      </c>
      <c r="D116" s="46" t="s">
        <v>42</v>
      </c>
      <c r="E116" s="46" t="s">
        <v>217</v>
      </c>
      <c r="F116" s="43">
        <v>53</v>
      </c>
      <c r="G116" s="43">
        <v>11</v>
      </c>
      <c r="H116" s="86">
        <v>181572</v>
      </c>
      <c r="I116" s="95">
        <v>23161</v>
      </c>
      <c r="J116" s="215">
        <f>+H116/I116</f>
        <v>7.83955787746643</v>
      </c>
      <c r="K116" s="232"/>
      <c r="L116" s="230"/>
      <c r="M116" s="231"/>
      <c r="N116" s="230"/>
    </row>
    <row r="117" spans="1:14" s="31" customFormat="1" ht="15">
      <c r="A117" s="229">
        <v>114</v>
      </c>
      <c r="B117" s="62" t="s">
        <v>321</v>
      </c>
      <c r="C117" s="41">
        <v>39493</v>
      </c>
      <c r="D117" s="47" t="s">
        <v>468</v>
      </c>
      <c r="E117" s="47" t="s">
        <v>550</v>
      </c>
      <c r="F117" s="58">
        <v>10</v>
      </c>
      <c r="G117" s="58">
        <v>29</v>
      </c>
      <c r="H117" s="85">
        <v>181318</v>
      </c>
      <c r="I117" s="93">
        <v>22368</v>
      </c>
      <c r="J117" s="156">
        <f>+H117/I117</f>
        <v>8.106133762517883</v>
      </c>
      <c r="K117" s="232"/>
      <c r="L117" s="230"/>
      <c r="M117" s="231"/>
      <c r="N117" s="230"/>
    </row>
    <row r="118" spans="1:14" s="31" customFormat="1" ht="15">
      <c r="A118" s="229">
        <v>115</v>
      </c>
      <c r="B118" s="56" t="s">
        <v>372</v>
      </c>
      <c r="C118" s="41">
        <v>39542</v>
      </c>
      <c r="D118" s="46" t="s">
        <v>468</v>
      </c>
      <c r="E118" s="46" t="s">
        <v>550</v>
      </c>
      <c r="F118" s="43">
        <v>24</v>
      </c>
      <c r="G118" s="43">
        <v>13</v>
      </c>
      <c r="H118" s="187">
        <v>179035</v>
      </c>
      <c r="I118" s="188">
        <v>19479</v>
      </c>
      <c r="J118" s="215">
        <v>9.191180245392472</v>
      </c>
      <c r="K118" s="232"/>
      <c r="L118" s="230"/>
      <c r="M118" s="231"/>
      <c r="N118" s="230"/>
    </row>
    <row r="119" spans="1:14" s="31" customFormat="1" ht="15">
      <c r="A119" s="229">
        <v>116</v>
      </c>
      <c r="B119" s="56" t="s">
        <v>494</v>
      </c>
      <c r="C119" s="42">
        <v>39689</v>
      </c>
      <c r="D119" s="47" t="s">
        <v>50</v>
      </c>
      <c r="E119" s="46" t="s">
        <v>495</v>
      </c>
      <c r="F119" s="43">
        <v>20</v>
      </c>
      <c r="G119" s="43">
        <v>3</v>
      </c>
      <c r="H119" s="85">
        <f>9050+94575.5+58004+15995.5</f>
        <v>177625</v>
      </c>
      <c r="I119" s="198">
        <f>689+8946+5338+2008</f>
        <v>16981</v>
      </c>
      <c r="J119" s="218">
        <f>H119/I119</f>
        <v>10.460220246157471</v>
      </c>
      <c r="K119" s="232"/>
      <c r="L119" s="230"/>
      <c r="M119" s="231"/>
      <c r="N119" s="230"/>
    </row>
    <row r="120" spans="1:14" s="31" customFormat="1" ht="15">
      <c r="A120" s="229">
        <v>117</v>
      </c>
      <c r="B120" s="350" t="s">
        <v>492</v>
      </c>
      <c r="C120" s="42">
        <v>39682</v>
      </c>
      <c r="D120" s="87" t="s">
        <v>42</v>
      </c>
      <c r="E120" s="87" t="s">
        <v>152</v>
      </c>
      <c r="F120" s="43">
        <v>21</v>
      </c>
      <c r="G120" s="43">
        <v>3</v>
      </c>
      <c r="H120" s="86">
        <v>194067</v>
      </c>
      <c r="I120" s="95">
        <v>20241</v>
      </c>
      <c r="J120" s="155">
        <f>+H120/I120</f>
        <v>9.587816807469986</v>
      </c>
      <c r="K120" s="232"/>
      <c r="L120" s="230"/>
      <c r="M120" s="231"/>
      <c r="N120" s="230"/>
    </row>
    <row r="121" spans="1:14" s="31" customFormat="1" ht="15">
      <c r="A121" s="229">
        <v>118</v>
      </c>
      <c r="B121" s="56" t="s">
        <v>535</v>
      </c>
      <c r="C121" s="42">
        <v>39668</v>
      </c>
      <c r="D121" s="46" t="s">
        <v>414</v>
      </c>
      <c r="E121" s="46" t="s">
        <v>414</v>
      </c>
      <c r="F121" s="43">
        <v>33</v>
      </c>
      <c r="G121" s="43">
        <v>6</v>
      </c>
      <c r="H121" s="86">
        <f>57923.5+37457+30660.5+23373+17370+9239</f>
        <v>176023</v>
      </c>
      <c r="I121" s="188">
        <f>6263+4058+4481+3773+2979+1643</f>
        <v>23197</v>
      </c>
      <c r="J121" s="218">
        <f>+H121/I121</f>
        <v>7.5881795059706</v>
      </c>
      <c r="K121" s="232"/>
      <c r="L121" s="230"/>
      <c r="M121" s="231"/>
      <c r="N121" s="230"/>
    </row>
    <row r="122" spans="1:14" s="31" customFormat="1" ht="15">
      <c r="A122" s="229">
        <v>119</v>
      </c>
      <c r="B122" s="57" t="s">
        <v>258</v>
      </c>
      <c r="C122" s="42">
        <v>39472</v>
      </c>
      <c r="D122" s="47" t="s">
        <v>425</v>
      </c>
      <c r="E122" s="47" t="s">
        <v>355</v>
      </c>
      <c r="F122" s="88">
        <v>25</v>
      </c>
      <c r="G122" s="88">
        <v>27</v>
      </c>
      <c r="H122" s="197">
        <v>174238.5</v>
      </c>
      <c r="I122" s="198">
        <v>26416</v>
      </c>
      <c r="J122" s="218">
        <f>H122/I122</f>
        <v>6.595945639006662</v>
      </c>
      <c r="K122" s="232"/>
      <c r="L122" s="230"/>
      <c r="M122" s="231"/>
      <c r="N122" s="230"/>
    </row>
    <row r="123" spans="1:14" s="31" customFormat="1" ht="15">
      <c r="A123" s="229">
        <v>120</v>
      </c>
      <c r="B123" s="57" t="s">
        <v>101</v>
      </c>
      <c r="C123" s="41">
        <v>39605</v>
      </c>
      <c r="D123" s="47" t="s">
        <v>468</v>
      </c>
      <c r="E123" s="47" t="s">
        <v>550</v>
      </c>
      <c r="F123" s="58">
        <v>20</v>
      </c>
      <c r="G123" s="58">
        <v>15</v>
      </c>
      <c r="H123" s="85">
        <v>171034</v>
      </c>
      <c r="I123" s="198">
        <v>19650</v>
      </c>
      <c r="J123" s="216">
        <f>+H123/I123</f>
        <v>8.704020356234096</v>
      </c>
      <c r="K123" s="232"/>
      <c r="L123" s="230"/>
      <c r="M123" s="231"/>
      <c r="N123" s="230"/>
    </row>
    <row r="124" spans="1:14" s="31" customFormat="1" ht="15">
      <c r="A124" s="229">
        <v>121</v>
      </c>
      <c r="B124" s="57" t="s">
        <v>72</v>
      </c>
      <c r="C124" s="41">
        <v>39619</v>
      </c>
      <c r="D124" s="44" t="s">
        <v>223</v>
      </c>
      <c r="E124" s="44" t="s">
        <v>223</v>
      </c>
      <c r="F124" s="64" t="s">
        <v>264</v>
      </c>
      <c r="G124" s="64" t="s">
        <v>265</v>
      </c>
      <c r="H124" s="85">
        <v>170263</v>
      </c>
      <c r="I124" s="93">
        <v>23611</v>
      </c>
      <c r="J124" s="81">
        <f>+H124/I124</f>
        <v>7.21117275846004</v>
      </c>
      <c r="K124" s="232"/>
      <c r="L124" s="230"/>
      <c r="M124" s="231"/>
      <c r="N124" s="230"/>
    </row>
    <row r="125" spans="1:14" s="31" customFormat="1" ht="15">
      <c r="A125" s="229">
        <v>122</v>
      </c>
      <c r="B125" s="56" t="s">
        <v>491</v>
      </c>
      <c r="C125" s="42">
        <v>39682</v>
      </c>
      <c r="D125" s="46" t="s">
        <v>43</v>
      </c>
      <c r="E125" s="46" t="s">
        <v>8</v>
      </c>
      <c r="F125" s="43">
        <v>60</v>
      </c>
      <c r="G125" s="43">
        <v>4</v>
      </c>
      <c r="H125" s="86">
        <f>111737+37434.5+11042+9412+0.5</f>
        <v>169626</v>
      </c>
      <c r="I125" s="188">
        <f>13345+4357+1377+1694</f>
        <v>20773</v>
      </c>
      <c r="J125" s="218">
        <f>+H125/I125</f>
        <v>8.165695855196649</v>
      </c>
      <c r="K125" s="232"/>
      <c r="L125" s="230"/>
      <c r="M125" s="231"/>
      <c r="N125" s="230"/>
    </row>
    <row r="126" spans="1:14" s="31" customFormat="1" ht="15">
      <c r="A126" s="229">
        <v>123</v>
      </c>
      <c r="B126" s="57" t="s">
        <v>253</v>
      </c>
      <c r="C126" s="41">
        <v>39549</v>
      </c>
      <c r="D126" s="47" t="s">
        <v>223</v>
      </c>
      <c r="E126" s="47" t="s">
        <v>35</v>
      </c>
      <c r="F126" s="64" t="s">
        <v>128</v>
      </c>
      <c r="G126" s="64" t="s">
        <v>265</v>
      </c>
      <c r="H126" s="197">
        <v>166294.62</v>
      </c>
      <c r="I126" s="198">
        <v>24774</v>
      </c>
      <c r="J126" s="218">
        <f>+H126/I126</f>
        <v>6.712465488011625</v>
      </c>
      <c r="K126" s="232">
        <v>1</v>
      </c>
      <c r="L126" s="230"/>
      <c r="M126" s="231"/>
      <c r="N126" s="230"/>
    </row>
    <row r="127" spans="1:14" s="31" customFormat="1" ht="15">
      <c r="A127" s="229">
        <v>124</v>
      </c>
      <c r="B127" s="56" t="s">
        <v>313</v>
      </c>
      <c r="C127" s="41">
        <v>39465</v>
      </c>
      <c r="D127" s="46" t="s">
        <v>223</v>
      </c>
      <c r="E127" s="46" t="s">
        <v>455</v>
      </c>
      <c r="F127" s="43">
        <v>63</v>
      </c>
      <c r="G127" s="43">
        <v>7</v>
      </c>
      <c r="H127" s="187">
        <v>155372.17</v>
      </c>
      <c r="I127" s="188">
        <v>21414</v>
      </c>
      <c r="J127" s="215">
        <v>7.25563509853367</v>
      </c>
      <c r="K127" s="232"/>
      <c r="L127" s="230"/>
      <c r="M127" s="231"/>
      <c r="N127" s="230"/>
    </row>
    <row r="128" spans="1:14" s="31" customFormat="1" ht="15">
      <c r="A128" s="229">
        <v>125</v>
      </c>
      <c r="B128" s="62" t="s">
        <v>312</v>
      </c>
      <c r="C128" s="41">
        <v>39465</v>
      </c>
      <c r="D128" s="47" t="s">
        <v>468</v>
      </c>
      <c r="E128" s="47" t="s">
        <v>507</v>
      </c>
      <c r="F128" s="58">
        <v>16</v>
      </c>
      <c r="G128" s="58">
        <v>34</v>
      </c>
      <c r="H128" s="85">
        <v>155360</v>
      </c>
      <c r="I128" s="198">
        <v>15909</v>
      </c>
      <c r="J128" s="216">
        <f>+H128/I128</f>
        <v>9.765541517380099</v>
      </c>
      <c r="K128" s="232"/>
      <c r="L128" s="230"/>
      <c r="M128" s="231"/>
      <c r="N128" s="230"/>
    </row>
    <row r="129" spans="1:14" s="31" customFormat="1" ht="15">
      <c r="A129" s="229">
        <v>126</v>
      </c>
      <c r="B129" s="55" t="s">
        <v>368</v>
      </c>
      <c r="C129" s="41">
        <v>39549</v>
      </c>
      <c r="D129" s="45" t="s">
        <v>41</v>
      </c>
      <c r="E129" s="44" t="s">
        <v>369</v>
      </c>
      <c r="F129" s="63">
        <v>44</v>
      </c>
      <c r="G129" s="63">
        <v>10</v>
      </c>
      <c r="H129" s="197">
        <f>92316+36945+11983+3297+4402+504+625+741+233+738</f>
        <v>151784</v>
      </c>
      <c r="I129" s="198">
        <f>10316+4640+1815+597+765+105+297+110+38+137</f>
        <v>18820</v>
      </c>
      <c r="J129" s="218">
        <f>+H129/I129</f>
        <v>8.065037194473964</v>
      </c>
      <c r="K129" s="232">
        <v>1</v>
      </c>
      <c r="L129" s="230"/>
      <c r="M129" s="231"/>
      <c r="N129" s="230"/>
    </row>
    <row r="130" spans="1:14" s="31" customFormat="1" ht="15">
      <c r="A130" s="229">
        <v>127</v>
      </c>
      <c r="B130" s="57" t="s">
        <v>314</v>
      </c>
      <c r="C130" s="42">
        <v>39465</v>
      </c>
      <c r="D130" s="47" t="s">
        <v>425</v>
      </c>
      <c r="E130" s="47" t="s">
        <v>50</v>
      </c>
      <c r="F130" s="88">
        <v>16</v>
      </c>
      <c r="G130" s="88">
        <v>19</v>
      </c>
      <c r="H130" s="85">
        <v>151441.5</v>
      </c>
      <c r="I130" s="198">
        <v>18350</v>
      </c>
      <c r="J130" s="81">
        <f>H130/I130</f>
        <v>8.252942779291553</v>
      </c>
      <c r="K130" s="232"/>
      <c r="L130" s="230"/>
      <c r="M130" s="231"/>
      <c r="N130" s="230"/>
    </row>
    <row r="131" spans="1:14" s="31" customFormat="1" ht="15">
      <c r="A131" s="229">
        <v>128</v>
      </c>
      <c r="B131" s="56" t="s">
        <v>155</v>
      </c>
      <c r="C131" s="41">
        <v>39507</v>
      </c>
      <c r="D131" s="46" t="s">
        <v>42</v>
      </c>
      <c r="E131" s="46" t="s">
        <v>298</v>
      </c>
      <c r="F131" s="43">
        <v>38</v>
      </c>
      <c r="G131" s="43">
        <v>13</v>
      </c>
      <c r="H131" s="187">
        <v>141233</v>
      </c>
      <c r="I131" s="188">
        <v>15466</v>
      </c>
      <c r="J131" s="215">
        <v>9.131837579206001</v>
      </c>
      <c r="K131" s="232"/>
      <c r="L131" s="230"/>
      <c r="M131" s="231"/>
      <c r="N131" s="230"/>
    </row>
    <row r="132" spans="1:14" s="31" customFormat="1" ht="15">
      <c r="A132" s="229">
        <v>129</v>
      </c>
      <c r="B132" s="57" t="s">
        <v>156</v>
      </c>
      <c r="C132" s="42">
        <v>39507</v>
      </c>
      <c r="D132" s="47" t="s">
        <v>425</v>
      </c>
      <c r="E132" s="47" t="s">
        <v>50</v>
      </c>
      <c r="F132" s="88">
        <v>20</v>
      </c>
      <c r="G132" s="88">
        <v>27</v>
      </c>
      <c r="H132" s="85">
        <v>130193</v>
      </c>
      <c r="I132" s="198">
        <v>16975</v>
      </c>
      <c r="J132" s="218">
        <f>H132/I132</f>
        <v>7.669690721649484</v>
      </c>
      <c r="K132" s="232"/>
      <c r="L132" s="230"/>
      <c r="M132" s="231"/>
      <c r="N132" s="230"/>
    </row>
    <row r="133" spans="1:14" s="31" customFormat="1" ht="15">
      <c r="A133" s="229">
        <v>130</v>
      </c>
      <c r="B133" s="56" t="s">
        <v>464</v>
      </c>
      <c r="C133" s="41">
        <v>39528</v>
      </c>
      <c r="D133" s="46" t="s">
        <v>42</v>
      </c>
      <c r="E133" s="46" t="s">
        <v>38</v>
      </c>
      <c r="F133" s="43">
        <v>33</v>
      </c>
      <c r="G133" s="43">
        <v>12</v>
      </c>
      <c r="H133" s="187">
        <v>130183</v>
      </c>
      <c r="I133" s="188">
        <v>14003</v>
      </c>
      <c r="J133" s="215">
        <v>9.29679354424052</v>
      </c>
      <c r="K133" s="232"/>
      <c r="L133" s="230"/>
      <c r="M133" s="231"/>
      <c r="N133" s="230"/>
    </row>
    <row r="134" spans="1:14" s="31" customFormat="1" ht="15">
      <c r="A134" s="229">
        <v>131</v>
      </c>
      <c r="B134" s="57" t="s">
        <v>127</v>
      </c>
      <c r="C134" s="42">
        <v>39556</v>
      </c>
      <c r="D134" s="47" t="s">
        <v>425</v>
      </c>
      <c r="E134" s="47" t="s">
        <v>355</v>
      </c>
      <c r="F134" s="88">
        <v>17</v>
      </c>
      <c r="G134" s="88">
        <v>12</v>
      </c>
      <c r="H134" s="85">
        <v>129001</v>
      </c>
      <c r="I134" s="93">
        <v>13924</v>
      </c>
      <c r="J134" s="81">
        <f>H134/I134</f>
        <v>9.264650962367137</v>
      </c>
      <c r="K134" s="384"/>
      <c r="L134" s="230"/>
      <c r="M134" s="231"/>
      <c r="N134" s="230"/>
    </row>
    <row r="135" spans="1:14" s="31" customFormat="1" ht="15">
      <c r="A135" s="229">
        <v>132</v>
      </c>
      <c r="B135" s="57" t="s">
        <v>161</v>
      </c>
      <c r="C135" s="41">
        <v>39647</v>
      </c>
      <c r="D135" s="44" t="s">
        <v>223</v>
      </c>
      <c r="E135" s="44" t="s">
        <v>304</v>
      </c>
      <c r="F135" s="64" t="s">
        <v>566</v>
      </c>
      <c r="G135" s="64" t="s">
        <v>515</v>
      </c>
      <c r="H135" s="85">
        <v>120286</v>
      </c>
      <c r="I135" s="198">
        <v>14221</v>
      </c>
      <c r="J135" s="218">
        <f>+H135/I135</f>
        <v>8.458336263272624</v>
      </c>
      <c r="K135" s="232"/>
      <c r="L135" s="230"/>
      <c r="M135" s="231"/>
      <c r="N135" s="230"/>
    </row>
    <row r="136" spans="1:14" s="31" customFormat="1" ht="15">
      <c r="A136" s="229">
        <v>133</v>
      </c>
      <c r="B136" s="56" t="s">
        <v>64</v>
      </c>
      <c r="C136" s="41">
        <v>39542</v>
      </c>
      <c r="D136" s="46" t="s">
        <v>425</v>
      </c>
      <c r="E136" s="46" t="s">
        <v>50</v>
      </c>
      <c r="F136" s="43">
        <v>16</v>
      </c>
      <c r="G136" s="43">
        <v>13</v>
      </c>
      <c r="H136" s="187">
        <v>116690.5</v>
      </c>
      <c r="I136" s="188">
        <v>13825</v>
      </c>
      <c r="J136" s="215">
        <f>H136/I136</f>
        <v>8.440542495479205</v>
      </c>
      <c r="K136" s="232"/>
      <c r="L136" s="230"/>
      <c r="M136" s="231"/>
      <c r="N136" s="230"/>
    </row>
    <row r="137" spans="1:14" s="31" customFormat="1" ht="15">
      <c r="A137" s="229">
        <v>134</v>
      </c>
      <c r="B137" s="57" t="s">
        <v>443</v>
      </c>
      <c r="C137" s="42">
        <v>39626</v>
      </c>
      <c r="D137" s="47" t="s">
        <v>425</v>
      </c>
      <c r="E137" s="47" t="s">
        <v>403</v>
      </c>
      <c r="F137" s="88">
        <v>17</v>
      </c>
      <c r="G137" s="88">
        <v>12</v>
      </c>
      <c r="H137" s="85">
        <v>116526</v>
      </c>
      <c r="I137" s="198">
        <v>15616</v>
      </c>
      <c r="J137" s="218">
        <f>H137/I137</f>
        <v>7.461962090163935</v>
      </c>
      <c r="K137" s="232"/>
      <c r="L137" s="230"/>
      <c r="M137" s="231"/>
      <c r="N137" s="230"/>
    </row>
    <row r="138" spans="1:14" s="31" customFormat="1" ht="15">
      <c r="A138" s="229">
        <v>135</v>
      </c>
      <c r="B138" s="55" t="s">
        <v>442</v>
      </c>
      <c r="C138" s="41">
        <v>39626</v>
      </c>
      <c r="D138" s="44" t="s">
        <v>81</v>
      </c>
      <c r="E138" s="44" t="s">
        <v>51</v>
      </c>
      <c r="F138" s="63">
        <v>48</v>
      </c>
      <c r="G138" s="63">
        <v>12</v>
      </c>
      <c r="H138" s="94">
        <f>57650.5+19027+8216.5+2773+3583.5+6216+4769+8951+3231.5+728+782+474</f>
        <v>116402</v>
      </c>
      <c r="I138" s="188">
        <f>6980+2539+1216+493+742+1039+882+1668+580+133+98+78</f>
        <v>16448</v>
      </c>
      <c r="J138" s="216">
        <f>IF(H138&lt;&gt;0,H138/I138,"")</f>
        <v>7.0769698443579765</v>
      </c>
      <c r="K138" s="232"/>
      <c r="L138" s="230"/>
      <c r="M138" s="231"/>
      <c r="N138" s="230"/>
    </row>
    <row r="139" spans="1:14" s="31" customFormat="1" ht="15">
      <c r="A139" s="229">
        <v>136</v>
      </c>
      <c r="B139" s="57" t="s">
        <v>287</v>
      </c>
      <c r="C139" s="41">
        <v>39577</v>
      </c>
      <c r="D139" s="47" t="s">
        <v>336</v>
      </c>
      <c r="E139" s="47" t="s">
        <v>355</v>
      </c>
      <c r="F139" s="58">
        <v>26</v>
      </c>
      <c r="G139" s="43">
        <v>11</v>
      </c>
      <c r="H139" s="85">
        <v>115145.42</v>
      </c>
      <c r="I139" s="93">
        <v>13429</v>
      </c>
      <c r="J139" s="81">
        <f>+H139/I139</f>
        <v>8.574385285575993</v>
      </c>
      <c r="K139" s="232"/>
      <c r="L139" s="230"/>
      <c r="M139" s="231"/>
      <c r="N139" s="230"/>
    </row>
    <row r="140" spans="1:14" s="31" customFormat="1" ht="15">
      <c r="A140" s="229">
        <v>137</v>
      </c>
      <c r="B140" s="57" t="s">
        <v>14</v>
      </c>
      <c r="C140" s="42">
        <v>39458</v>
      </c>
      <c r="D140" s="47" t="s">
        <v>425</v>
      </c>
      <c r="E140" s="47" t="s">
        <v>50</v>
      </c>
      <c r="F140" s="88">
        <v>10</v>
      </c>
      <c r="G140" s="88">
        <v>27</v>
      </c>
      <c r="H140" s="197">
        <v>114566</v>
      </c>
      <c r="I140" s="198">
        <v>14232</v>
      </c>
      <c r="J140" s="218">
        <f>H140/I140</f>
        <v>8.049887577290614</v>
      </c>
      <c r="K140" s="232"/>
      <c r="L140" s="230"/>
      <c r="M140" s="231"/>
      <c r="N140" s="230"/>
    </row>
    <row r="141" spans="1:14" s="31" customFormat="1" ht="15">
      <c r="A141" s="229">
        <v>138</v>
      </c>
      <c r="B141" s="57" t="s">
        <v>373</v>
      </c>
      <c r="C141" s="42">
        <v>39549</v>
      </c>
      <c r="D141" s="47" t="s">
        <v>425</v>
      </c>
      <c r="E141" s="47" t="s">
        <v>374</v>
      </c>
      <c r="F141" s="88">
        <v>4</v>
      </c>
      <c r="G141" s="88">
        <v>23</v>
      </c>
      <c r="H141" s="85">
        <v>110959</v>
      </c>
      <c r="I141" s="198">
        <v>16514</v>
      </c>
      <c r="J141" s="218">
        <f>H141/I141</f>
        <v>6.719086835412377</v>
      </c>
      <c r="K141" s="232"/>
      <c r="L141" s="230"/>
      <c r="M141" s="231"/>
      <c r="N141" s="230"/>
    </row>
    <row r="142" spans="1:14" s="31" customFormat="1" ht="15">
      <c r="A142" s="229">
        <v>139</v>
      </c>
      <c r="B142" s="56" t="s">
        <v>556</v>
      </c>
      <c r="C142" s="347">
        <v>39563</v>
      </c>
      <c r="D142" s="48" t="s">
        <v>165</v>
      </c>
      <c r="E142" s="48" t="s">
        <v>557</v>
      </c>
      <c r="F142" s="76">
        <v>15</v>
      </c>
      <c r="G142" s="76">
        <v>10</v>
      </c>
      <c r="H142" s="187">
        <v>109355</v>
      </c>
      <c r="I142" s="188">
        <v>11276</v>
      </c>
      <c r="J142" s="218">
        <f>+H142/I142</f>
        <v>9.698031216743527</v>
      </c>
      <c r="K142" s="232"/>
      <c r="L142" s="230"/>
      <c r="M142" s="231"/>
      <c r="N142" s="230"/>
    </row>
    <row r="143" spans="1:14" s="31" customFormat="1" ht="15">
      <c r="A143" s="229">
        <v>140</v>
      </c>
      <c r="B143" s="62" t="s">
        <v>65</v>
      </c>
      <c r="C143" s="41">
        <v>39535</v>
      </c>
      <c r="D143" s="47" t="s">
        <v>468</v>
      </c>
      <c r="E143" s="47" t="s">
        <v>585</v>
      </c>
      <c r="F143" s="58">
        <v>11</v>
      </c>
      <c r="G143" s="58">
        <v>23</v>
      </c>
      <c r="H143" s="85">
        <v>107495</v>
      </c>
      <c r="I143" s="198">
        <v>10838</v>
      </c>
      <c r="J143" s="216">
        <f>+H143/I143</f>
        <v>9.918342867687766</v>
      </c>
      <c r="K143" s="232"/>
      <c r="L143" s="230"/>
      <c r="M143" s="231"/>
      <c r="N143" s="230"/>
    </row>
    <row r="144" spans="1:14" s="31" customFormat="1" ht="15">
      <c r="A144" s="229">
        <v>141</v>
      </c>
      <c r="B144" s="57" t="s">
        <v>105</v>
      </c>
      <c r="C144" s="42">
        <v>39458</v>
      </c>
      <c r="D144" s="47" t="s">
        <v>425</v>
      </c>
      <c r="E144" s="47" t="s">
        <v>546</v>
      </c>
      <c r="F144" s="88">
        <v>4</v>
      </c>
      <c r="G144" s="88">
        <v>24</v>
      </c>
      <c r="H144" s="85">
        <v>102035</v>
      </c>
      <c r="I144" s="198">
        <v>12794</v>
      </c>
      <c r="J144" s="218">
        <f>H144/I144</f>
        <v>7.975222760669063</v>
      </c>
      <c r="K144" s="232"/>
      <c r="L144" s="230"/>
      <c r="M144" s="231"/>
      <c r="N144" s="230"/>
    </row>
    <row r="145" spans="1:14" s="31" customFormat="1" ht="15">
      <c r="A145" s="229">
        <v>142</v>
      </c>
      <c r="B145" s="56" t="s">
        <v>288</v>
      </c>
      <c r="C145" s="347">
        <v>39577</v>
      </c>
      <c r="D145" s="48" t="s">
        <v>165</v>
      </c>
      <c r="E145" s="48" t="s">
        <v>49</v>
      </c>
      <c r="F145" s="76">
        <v>11</v>
      </c>
      <c r="G145" s="76">
        <v>15</v>
      </c>
      <c r="H145" s="187">
        <v>98440</v>
      </c>
      <c r="I145" s="188">
        <v>10587</v>
      </c>
      <c r="J145" s="218">
        <f>+H145/I145</f>
        <v>9.298195900632852</v>
      </c>
      <c r="K145" s="232"/>
      <c r="L145" s="230"/>
      <c r="M145" s="231"/>
      <c r="N145" s="230"/>
    </row>
    <row r="146" spans="1:14" s="31" customFormat="1" ht="15">
      <c r="A146" s="229">
        <v>143</v>
      </c>
      <c r="B146" s="57" t="s">
        <v>558</v>
      </c>
      <c r="C146" s="42">
        <v>39563</v>
      </c>
      <c r="D146" s="47" t="s">
        <v>425</v>
      </c>
      <c r="E146" s="47" t="s">
        <v>50</v>
      </c>
      <c r="F146" s="88">
        <v>25</v>
      </c>
      <c r="G146" s="88">
        <v>12</v>
      </c>
      <c r="H146" s="197">
        <v>97178</v>
      </c>
      <c r="I146" s="198">
        <v>10842</v>
      </c>
      <c r="J146" s="218">
        <f aca="true" t="shared" si="5" ref="J146:J151">H146/I146</f>
        <v>8.963106437926582</v>
      </c>
      <c r="K146" s="232"/>
      <c r="L146" s="230"/>
      <c r="M146" s="231"/>
      <c r="N146" s="230"/>
    </row>
    <row r="147" spans="1:14" s="31" customFormat="1" ht="15">
      <c r="A147" s="229">
        <v>144</v>
      </c>
      <c r="B147" s="56" t="s">
        <v>370</v>
      </c>
      <c r="C147" s="347">
        <v>39549</v>
      </c>
      <c r="D147" s="48" t="s">
        <v>165</v>
      </c>
      <c r="E147" s="48" t="s">
        <v>371</v>
      </c>
      <c r="F147" s="76">
        <v>30</v>
      </c>
      <c r="G147" s="76">
        <v>8</v>
      </c>
      <c r="H147" s="86">
        <v>94574</v>
      </c>
      <c r="I147" s="95">
        <v>10803</v>
      </c>
      <c r="J147" s="218">
        <f t="shared" si="5"/>
        <v>8.75442006849949</v>
      </c>
      <c r="K147" s="384"/>
      <c r="L147" s="230"/>
      <c r="M147" s="231"/>
      <c r="N147" s="230"/>
    </row>
    <row r="148" spans="1:14" s="31" customFormat="1" ht="15">
      <c r="A148" s="229">
        <v>145</v>
      </c>
      <c r="B148" s="55" t="s">
        <v>573</v>
      </c>
      <c r="C148" s="41">
        <v>39696</v>
      </c>
      <c r="D148" s="44" t="s">
        <v>223</v>
      </c>
      <c r="E148" s="44" t="s">
        <v>574</v>
      </c>
      <c r="F148" s="58">
        <v>9</v>
      </c>
      <c r="G148" s="58">
        <v>2</v>
      </c>
      <c r="H148" s="393">
        <v>92038.63</v>
      </c>
      <c r="I148" s="261">
        <v>8050</v>
      </c>
      <c r="J148" s="218">
        <f t="shared" si="5"/>
        <v>11.433370186335404</v>
      </c>
      <c r="K148" s="232"/>
      <c r="L148" s="230"/>
      <c r="M148" s="231"/>
      <c r="N148" s="230"/>
    </row>
    <row r="149" spans="1:14" s="31" customFormat="1" ht="15">
      <c r="A149" s="229">
        <v>146</v>
      </c>
      <c r="B149" s="57" t="s">
        <v>36</v>
      </c>
      <c r="C149" s="41">
        <v>39584</v>
      </c>
      <c r="D149" s="47" t="s">
        <v>42</v>
      </c>
      <c r="E149" s="47" t="s">
        <v>38</v>
      </c>
      <c r="F149" s="64">
        <v>38</v>
      </c>
      <c r="G149" s="64" t="s">
        <v>566</v>
      </c>
      <c r="H149" s="85">
        <v>87080</v>
      </c>
      <c r="I149" s="93">
        <v>12181</v>
      </c>
      <c r="J149" s="218">
        <f t="shared" si="5"/>
        <v>7.148838354814876</v>
      </c>
      <c r="K149" s="232"/>
      <c r="L149" s="230"/>
      <c r="M149" s="231"/>
      <c r="N149" s="230"/>
    </row>
    <row r="150" spans="1:14" s="31" customFormat="1" ht="15">
      <c r="A150" s="229">
        <v>147</v>
      </c>
      <c r="B150" s="57" t="s">
        <v>606</v>
      </c>
      <c r="C150" s="41">
        <v>39703</v>
      </c>
      <c r="D150" s="47" t="s">
        <v>42</v>
      </c>
      <c r="E150" s="47" t="s">
        <v>152</v>
      </c>
      <c r="F150" s="64" t="s">
        <v>608</v>
      </c>
      <c r="G150" s="64" t="s">
        <v>424</v>
      </c>
      <c r="H150" s="85">
        <v>82632</v>
      </c>
      <c r="I150" s="93">
        <v>8428</v>
      </c>
      <c r="J150" s="218">
        <f t="shared" si="5"/>
        <v>9.804461319411486</v>
      </c>
      <c r="K150" s="232"/>
      <c r="L150" s="230"/>
      <c r="M150" s="231"/>
      <c r="N150" s="230"/>
    </row>
    <row r="151" spans="1:14" s="31" customFormat="1" ht="15">
      <c r="A151" s="229">
        <v>148</v>
      </c>
      <c r="B151" s="62" t="s">
        <v>174</v>
      </c>
      <c r="C151" s="41">
        <v>39598</v>
      </c>
      <c r="D151" s="47" t="s">
        <v>468</v>
      </c>
      <c r="E151" s="47" t="s">
        <v>550</v>
      </c>
      <c r="F151" s="58">
        <v>6</v>
      </c>
      <c r="G151" s="58">
        <v>16</v>
      </c>
      <c r="H151" s="85">
        <v>79587</v>
      </c>
      <c r="I151" s="198">
        <v>9471</v>
      </c>
      <c r="J151" s="218">
        <f t="shared" si="5"/>
        <v>8.403230915426038</v>
      </c>
      <c r="K151" s="232"/>
      <c r="L151" s="230"/>
      <c r="M151" s="231"/>
      <c r="N151" s="230"/>
    </row>
    <row r="152" spans="1:14" s="31" customFormat="1" ht="15">
      <c r="A152" s="229">
        <v>149</v>
      </c>
      <c r="B152" s="56" t="s">
        <v>386</v>
      </c>
      <c r="C152" s="41">
        <v>39528</v>
      </c>
      <c r="D152" s="46" t="s">
        <v>223</v>
      </c>
      <c r="E152" s="46" t="s">
        <v>550</v>
      </c>
      <c r="F152" s="43">
        <v>25</v>
      </c>
      <c r="G152" s="43">
        <v>8</v>
      </c>
      <c r="H152" s="187">
        <v>79397.5</v>
      </c>
      <c r="I152" s="188">
        <v>8451</v>
      </c>
      <c r="J152" s="215">
        <v>9.39504200686309</v>
      </c>
      <c r="K152" s="232"/>
      <c r="L152" s="230"/>
      <c r="M152" s="231"/>
      <c r="N152" s="230"/>
    </row>
    <row r="153" spans="1:14" s="31" customFormat="1" ht="15">
      <c r="A153" s="229">
        <v>150</v>
      </c>
      <c r="B153" s="57" t="s">
        <v>530</v>
      </c>
      <c r="C153" s="42">
        <v>39479</v>
      </c>
      <c r="D153" s="47" t="s">
        <v>425</v>
      </c>
      <c r="E153" s="47" t="s">
        <v>356</v>
      </c>
      <c r="F153" s="88">
        <v>5</v>
      </c>
      <c r="G153" s="88">
        <v>19</v>
      </c>
      <c r="H153" s="197">
        <v>72983</v>
      </c>
      <c r="I153" s="198">
        <v>10723</v>
      </c>
      <c r="J153" s="218">
        <f>H153/I153</f>
        <v>6.806210948428611</v>
      </c>
      <c r="K153" s="232"/>
      <c r="L153" s="230"/>
      <c r="M153" s="231"/>
      <c r="N153" s="230"/>
    </row>
    <row r="154" spans="1:14" s="31" customFormat="1" ht="15">
      <c r="A154" s="229">
        <v>151</v>
      </c>
      <c r="B154" s="62" t="s">
        <v>559</v>
      </c>
      <c r="C154" s="41">
        <v>39563</v>
      </c>
      <c r="D154" s="47" t="s">
        <v>468</v>
      </c>
      <c r="E154" s="47" t="s">
        <v>550</v>
      </c>
      <c r="F154" s="58"/>
      <c r="G154" s="58">
        <v>20</v>
      </c>
      <c r="H154" s="85">
        <v>69131</v>
      </c>
      <c r="I154" s="198">
        <v>7928</v>
      </c>
      <c r="J154" s="216">
        <f>+H154/I154</f>
        <v>8.719853683148335</v>
      </c>
      <c r="K154" s="232"/>
      <c r="L154" s="230"/>
      <c r="M154" s="231"/>
      <c r="N154" s="230"/>
    </row>
    <row r="155" spans="1:14" s="31" customFormat="1" ht="15">
      <c r="A155" s="229">
        <v>152</v>
      </c>
      <c r="B155" s="56" t="s">
        <v>417</v>
      </c>
      <c r="C155" s="41">
        <v>39479</v>
      </c>
      <c r="D155" s="46" t="s">
        <v>425</v>
      </c>
      <c r="E155" s="46" t="s">
        <v>356</v>
      </c>
      <c r="F155" s="43">
        <v>5</v>
      </c>
      <c r="G155" s="43">
        <v>11</v>
      </c>
      <c r="H155" s="86">
        <v>67383</v>
      </c>
      <c r="I155" s="95">
        <v>9512</v>
      </c>
      <c r="J155" s="155">
        <v>7.0839991589571065</v>
      </c>
      <c r="K155" s="232"/>
      <c r="L155" s="230"/>
      <c r="M155" s="231"/>
      <c r="N155" s="230"/>
    </row>
    <row r="156" spans="1:14" s="31" customFormat="1" ht="15">
      <c r="A156" s="229">
        <v>153</v>
      </c>
      <c r="B156" s="56" t="s">
        <v>575</v>
      </c>
      <c r="C156" s="42">
        <v>39696</v>
      </c>
      <c r="D156" s="47" t="s">
        <v>50</v>
      </c>
      <c r="E156" s="46" t="s">
        <v>425</v>
      </c>
      <c r="F156" s="43">
        <v>15</v>
      </c>
      <c r="G156" s="43">
        <v>2</v>
      </c>
      <c r="H156" s="85">
        <f>48728+16502</f>
        <v>65230</v>
      </c>
      <c r="I156" s="198">
        <f>4540+1830</f>
        <v>6370</v>
      </c>
      <c r="J156" s="218">
        <f>H156/I156</f>
        <v>10.240188383045526</v>
      </c>
      <c r="K156" s="232"/>
      <c r="L156" s="230"/>
      <c r="M156" s="231"/>
      <c r="N156" s="230"/>
    </row>
    <row r="157" spans="1:14" s="31" customFormat="1" ht="15">
      <c r="A157" s="229">
        <v>154</v>
      </c>
      <c r="B157" s="56" t="s">
        <v>350</v>
      </c>
      <c r="C157" s="41">
        <v>39535</v>
      </c>
      <c r="D157" s="299" t="s">
        <v>468</v>
      </c>
      <c r="E157" s="299" t="s">
        <v>468</v>
      </c>
      <c r="F157" s="43">
        <v>11</v>
      </c>
      <c r="G157" s="43">
        <v>1</v>
      </c>
      <c r="H157" s="187">
        <v>63834</v>
      </c>
      <c r="I157" s="188">
        <v>5701</v>
      </c>
      <c r="J157" s="215">
        <v>11.19698298544115</v>
      </c>
      <c r="K157" s="232"/>
      <c r="L157" s="230"/>
      <c r="M157" s="231"/>
      <c r="N157" s="230"/>
    </row>
    <row r="158" spans="1:14" s="31" customFormat="1" ht="15">
      <c r="A158" s="229">
        <v>155</v>
      </c>
      <c r="B158" s="57" t="s">
        <v>325</v>
      </c>
      <c r="C158" s="42">
        <v>39493</v>
      </c>
      <c r="D158" s="47" t="s">
        <v>425</v>
      </c>
      <c r="E158" s="47" t="s">
        <v>50</v>
      </c>
      <c r="F158" s="88">
        <v>21</v>
      </c>
      <c r="G158" s="88">
        <v>17</v>
      </c>
      <c r="H158" s="85">
        <v>63587</v>
      </c>
      <c r="I158" s="198">
        <v>8093</v>
      </c>
      <c r="J158" s="81">
        <f>+H158/I158</f>
        <v>7.857036945508464</v>
      </c>
      <c r="K158" s="232"/>
      <c r="L158" s="230"/>
      <c r="M158" s="231"/>
      <c r="N158" s="230"/>
    </row>
    <row r="159" spans="1:14" s="31" customFormat="1" ht="15">
      <c r="A159" s="229">
        <v>156</v>
      </c>
      <c r="B159" s="62" t="s">
        <v>240</v>
      </c>
      <c r="C159" s="41">
        <v>39598</v>
      </c>
      <c r="D159" s="47" t="s">
        <v>468</v>
      </c>
      <c r="E159" s="47" t="s">
        <v>162</v>
      </c>
      <c r="F159" s="58">
        <v>6</v>
      </c>
      <c r="G159" s="58">
        <v>8</v>
      </c>
      <c r="H159" s="197">
        <v>62120</v>
      </c>
      <c r="I159" s="198">
        <v>6467</v>
      </c>
      <c r="J159" s="216">
        <f>+H159/I159</f>
        <v>9.605690428328437</v>
      </c>
      <c r="K159" s="232"/>
      <c r="L159" s="230"/>
      <c r="M159" s="231"/>
      <c r="N159" s="230"/>
    </row>
    <row r="160" spans="1:14" s="31" customFormat="1" ht="15">
      <c r="A160" s="229">
        <v>157</v>
      </c>
      <c r="B160" s="56" t="s">
        <v>59</v>
      </c>
      <c r="C160" s="41">
        <v>39486</v>
      </c>
      <c r="D160" s="46" t="s">
        <v>43</v>
      </c>
      <c r="E160" s="46" t="s">
        <v>120</v>
      </c>
      <c r="F160" s="43">
        <v>11</v>
      </c>
      <c r="G160" s="43">
        <v>15</v>
      </c>
      <c r="H160" s="187">
        <v>61882</v>
      </c>
      <c r="I160" s="188">
        <v>8003</v>
      </c>
      <c r="J160" s="215">
        <v>7.732350368611771</v>
      </c>
      <c r="K160" s="232"/>
      <c r="L160" s="230"/>
      <c r="M160" s="231"/>
      <c r="N160" s="230"/>
    </row>
    <row r="161" spans="1:14" s="31" customFormat="1" ht="15">
      <c r="A161" s="229">
        <v>158</v>
      </c>
      <c r="B161" s="55" t="s">
        <v>591</v>
      </c>
      <c r="C161" s="41">
        <v>39703</v>
      </c>
      <c r="D161" s="44" t="s">
        <v>223</v>
      </c>
      <c r="E161" s="44" t="s">
        <v>592</v>
      </c>
      <c r="F161" s="58">
        <v>78</v>
      </c>
      <c r="G161" s="58">
        <v>1</v>
      </c>
      <c r="H161" s="393">
        <v>61188.5</v>
      </c>
      <c r="I161" s="261">
        <v>7217</v>
      </c>
      <c r="J161" s="389">
        <f>+H161/I161</f>
        <v>8.47838437023694</v>
      </c>
      <c r="K161" s="232"/>
      <c r="L161" s="230"/>
      <c r="M161" s="231"/>
      <c r="N161" s="230"/>
    </row>
    <row r="162" spans="1:14" s="31" customFormat="1" ht="15">
      <c r="A162" s="229">
        <v>159</v>
      </c>
      <c r="B162" s="56" t="s">
        <v>88</v>
      </c>
      <c r="C162" s="42">
        <v>39577</v>
      </c>
      <c r="D162" s="46" t="s">
        <v>43</v>
      </c>
      <c r="E162" s="46" t="s">
        <v>89</v>
      </c>
      <c r="F162" s="43">
        <v>30</v>
      </c>
      <c r="G162" s="43">
        <v>10</v>
      </c>
      <c r="H162" s="86">
        <f>28833+8997.5+7985+2166+588+2829.5+211+619+240+7519</f>
        <v>59988</v>
      </c>
      <c r="I162" s="188">
        <f>3560+1419+1368+456+81+683+38+138+48+1182</f>
        <v>8973</v>
      </c>
      <c r="J162" s="218">
        <f>+H162/I162</f>
        <v>6.68538950183885</v>
      </c>
      <c r="K162" s="232">
        <v>1</v>
      </c>
      <c r="L162" s="230"/>
      <c r="M162" s="231"/>
      <c r="N162" s="230"/>
    </row>
    <row r="163" spans="1:14" s="31" customFormat="1" ht="15">
      <c r="A163" s="229">
        <v>160</v>
      </c>
      <c r="B163" s="57" t="s">
        <v>74</v>
      </c>
      <c r="C163" s="42">
        <v>39528</v>
      </c>
      <c r="D163" s="47" t="s">
        <v>425</v>
      </c>
      <c r="E163" s="47" t="s">
        <v>602</v>
      </c>
      <c r="F163" s="88">
        <v>17</v>
      </c>
      <c r="G163" s="88">
        <v>15</v>
      </c>
      <c r="H163" s="85">
        <v>58904.5</v>
      </c>
      <c r="I163" s="198">
        <v>10017</v>
      </c>
      <c r="J163" s="218">
        <f>H163/I163</f>
        <v>5.8804532295098335</v>
      </c>
      <c r="K163" s="232">
        <v>1</v>
      </c>
      <c r="L163" s="230"/>
      <c r="M163" s="231"/>
      <c r="N163" s="230"/>
    </row>
    <row r="164" spans="1:14" s="31" customFormat="1" ht="15">
      <c r="A164" s="229">
        <v>161</v>
      </c>
      <c r="B164" s="55" t="s">
        <v>129</v>
      </c>
      <c r="C164" s="41">
        <v>39556</v>
      </c>
      <c r="D164" s="47" t="s">
        <v>468</v>
      </c>
      <c r="E164" s="47" t="s">
        <v>550</v>
      </c>
      <c r="F164" s="63">
        <v>48</v>
      </c>
      <c r="G164" s="63">
        <v>19</v>
      </c>
      <c r="H164" s="260">
        <v>58572</v>
      </c>
      <c r="I164" s="261">
        <v>7921</v>
      </c>
      <c r="J164" s="218">
        <f>+H164/I164</f>
        <v>7.394520893826537</v>
      </c>
      <c r="K164" s="232"/>
      <c r="L164" s="230"/>
      <c r="M164" s="231"/>
      <c r="N164" s="230"/>
    </row>
    <row r="165" spans="1:14" s="31" customFormat="1" ht="15">
      <c r="A165" s="229">
        <v>162</v>
      </c>
      <c r="B165" s="57" t="s">
        <v>254</v>
      </c>
      <c r="C165" s="42">
        <v>39451</v>
      </c>
      <c r="D165" s="47" t="s">
        <v>425</v>
      </c>
      <c r="E165" s="47" t="s">
        <v>376</v>
      </c>
      <c r="F165" s="88">
        <v>9</v>
      </c>
      <c r="G165" s="88">
        <v>12</v>
      </c>
      <c r="H165" s="197">
        <v>53852.5</v>
      </c>
      <c r="I165" s="198">
        <v>5235</v>
      </c>
      <c r="J165" s="218">
        <f>H165/I165</f>
        <v>10.287010506208214</v>
      </c>
      <c r="K165" s="232"/>
      <c r="L165" s="230"/>
      <c r="M165" s="231"/>
      <c r="N165" s="230"/>
    </row>
    <row r="166" spans="1:14" s="31" customFormat="1" ht="15">
      <c r="A166" s="229">
        <v>163</v>
      </c>
      <c r="B166" s="55" t="s">
        <v>163</v>
      </c>
      <c r="C166" s="41">
        <v>39647</v>
      </c>
      <c r="D166" s="45" t="s">
        <v>164</v>
      </c>
      <c r="E166" s="44" t="s">
        <v>7</v>
      </c>
      <c r="F166" s="63">
        <v>5</v>
      </c>
      <c r="G166" s="63">
        <v>8</v>
      </c>
      <c r="H166" s="85">
        <v>53735</v>
      </c>
      <c r="I166" s="93">
        <v>6761</v>
      </c>
      <c r="J166" s="81">
        <f>+H166/I166</f>
        <v>7.947788788640733</v>
      </c>
      <c r="K166" s="232"/>
      <c r="L166" s="230"/>
      <c r="M166" s="231"/>
      <c r="N166" s="230"/>
    </row>
    <row r="167" spans="1:14" s="31" customFormat="1" ht="15">
      <c r="A167" s="229">
        <v>164</v>
      </c>
      <c r="B167" s="55" t="s">
        <v>241</v>
      </c>
      <c r="C167" s="41">
        <v>39598</v>
      </c>
      <c r="D167" s="44" t="s">
        <v>81</v>
      </c>
      <c r="E167" s="44" t="s">
        <v>242</v>
      </c>
      <c r="F167" s="63">
        <v>33</v>
      </c>
      <c r="G167" s="63">
        <v>16</v>
      </c>
      <c r="H167" s="94">
        <f>29298.5+8696.5+2363+3275.5+1437.5+916+430+1313+544+1575+736+168+879+171+230+358</f>
        <v>52391</v>
      </c>
      <c r="I167" s="188">
        <f>2920+958+395+542+246+140+83+240+100+475+122+29+166+33+40+70</f>
        <v>6559</v>
      </c>
      <c r="J167" s="216">
        <f>IF(H167&lt;&gt;0,H167/I167,"")</f>
        <v>7.987650556487269</v>
      </c>
      <c r="K167" s="232"/>
      <c r="L167" s="230"/>
      <c r="M167" s="231"/>
      <c r="N167" s="230"/>
    </row>
    <row r="168" spans="1:14" s="31" customFormat="1" ht="15">
      <c r="A168" s="229">
        <v>165</v>
      </c>
      <c r="B168" s="56" t="s">
        <v>326</v>
      </c>
      <c r="C168" s="42">
        <v>39493</v>
      </c>
      <c r="D168" s="46" t="s">
        <v>414</v>
      </c>
      <c r="E168" s="46" t="s">
        <v>414</v>
      </c>
      <c r="F168" s="43">
        <v>28</v>
      </c>
      <c r="G168" s="43">
        <v>13</v>
      </c>
      <c r="H168" s="187">
        <f>27309+10410+701+1266+675+1622+214+2318+420+36+3076+285+3630</f>
        <v>51962</v>
      </c>
      <c r="I168" s="188">
        <f>2886+1145+70+224+129+316+38+375+72+8+1026+57+1210</f>
        <v>7556</v>
      </c>
      <c r="J168" s="218">
        <f>+H168/I168</f>
        <v>6.876919004764425</v>
      </c>
      <c r="K168" s="232"/>
      <c r="L168" s="230"/>
      <c r="M168" s="231"/>
      <c r="N168" s="230"/>
    </row>
    <row r="169" spans="1:14" s="31" customFormat="1" ht="15">
      <c r="A169" s="229">
        <v>166</v>
      </c>
      <c r="B169" s="57" t="s">
        <v>173</v>
      </c>
      <c r="C169" s="42">
        <v>39654</v>
      </c>
      <c r="D169" s="47" t="s">
        <v>425</v>
      </c>
      <c r="E169" s="47" t="s">
        <v>116</v>
      </c>
      <c r="F169" s="88">
        <v>4</v>
      </c>
      <c r="G169" s="88">
        <v>8</v>
      </c>
      <c r="H169" s="85">
        <v>46821</v>
      </c>
      <c r="I169" s="198">
        <v>6160</v>
      </c>
      <c r="J169" s="218">
        <f>H169/I169</f>
        <v>7.600811688311689</v>
      </c>
      <c r="K169" s="232"/>
      <c r="L169" s="230"/>
      <c r="M169" s="231"/>
      <c r="N169" s="230"/>
    </row>
    <row r="170" spans="1:14" s="31" customFormat="1" ht="15">
      <c r="A170" s="229">
        <v>167</v>
      </c>
      <c r="B170" s="55" t="s">
        <v>593</v>
      </c>
      <c r="C170" s="41">
        <v>39703</v>
      </c>
      <c r="D170" s="44" t="s">
        <v>81</v>
      </c>
      <c r="E170" s="44" t="s">
        <v>562</v>
      </c>
      <c r="F170" s="63">
        <v>15</v>
      </c>
      <c r="G170" s="63">
        <v>1</v>
      </c>
      <c r="H170" s="94">
        <v>44094</v>
      </c>
      <c r="I170" s="188">
        <v>4314</v>
      </c>
      <c r="J170" s="216">
        <f>IF(H170&lt;&gt;0,H170/I170,"")</f>
        <v>10.221140472878998</v>
      </c>
      <c r="K170" s="232"/>
      <c r="L170" s="230"/>
      <c r="M170" s="231"/>
      <c r="N170" s="230"/>
    </row>
    <row r="171" spans="1:14" s="31" customFormat="1" ht="15">
      <c r="A171" s="229">
        <v>168</v>
      </c>
      <c r="B171" s="56" t="s">
        <v>536</v>
      </c>
      <c r="C171" s="347">
        <v>39668</v>
      </c>
      <c r="D171" s="48" t="s">
        <v>165</v>
      </c>
      <c r="E171" s="48" t="s">
        <v>537</v>
      </c>
      <c r="F171" s="76">
        <v>11</v>
      </c>
      <c r="G171" s="76">
        <v>6</v>
      </c>
      <c r="H171" s="96">
        <v>43619</v>
      </c>
      <c r="I171" s="210">
        <v>4985</v>
      </c>
      <c r="J171" s="218">
        <f>+H171/I171</f>
        <v>8.750050150451354</v>
      </c>
      <c r="K171" s="232"/>
      <c r="L171" s="230"/>
      <c r="M171" s="231"/>
      <c r="N171" s="230"/>
    </row>
    <row r="172" spans="1:14" s="31" customFormat="1" ht="15">
      <c r="A172" s="229">
        <v>169</v>
      </c>
      <c r="B172" s="57" t="s">
        <v>115</v>
      </c>
      <c r="C172" s="42">
        <v>39549</v>
      </c>
      <c r="D172" s="47" t="s">
        <v>425</v>
      </c>
      <c r="E172" s="47" t="s">
        <v>116</v>
      </c>
      <c r="F172" s="88">
        <v>5</v>
      </c>
      <c r="G172" s="88">
        <v>17</v>
      </c>
      <c r="H172" s="85">
        <v>42738</v>
      </c>
      <c r="I172" s="198">
        <v>5549</v>
      </c>
      <c r="J172" s="81">
        <f>+H172/I172</f>
        <v>7.7019282753649305</v>
      </c>
      <c r="K172" s="232"/>
      <c r="L172" s="230"/>
      <c r="M172" s="231"/>
      <c r="N172" s="230"/>
    </row>
    <row r="173" spans="1:14" s="31" customFormat="1" ht="15">
      <c r="A173" s="229">
        <v>170</v>
      </c>
      <c r="B173" s="57" t="s">
        <v>487</v>
      </c>
      <c r="C173" s="41">
        <v>39528</v>
      </c>
      <c r="D173" s="47" t="s">
        <v>223</v>
      </c>
      <c r="E173" s="47" t="s">
        <v>529</v>
      </c>
      <c r="F173" s="64" t="s">
        <v>430</v>
      </c>
      <c r="G173" s="64" t="s">
        <v>327</v>
      </c>
      <c r="H173" s="197">
        <v>39832.02</v>
      </c>
      <c r="I173" s="198">
        <v>4969</v>
      </c>
      <c r="J173" s="219">
        <f>H173/I173</f>
        <v>8.016103843831756</v>
      </c>
      <c r="K173" s="232"/>
      <c r="L173" s="230"/>
      <c r="M173" s="231"/>
      <c r="N173" s="230"/>
    </row>
    <row r="174" spans="1:14" s="31" customFormat="1" ht="15">
      <c r="A174" s="229">
        <v>171</v>
      </c>
      <c r="B174" s="57" t="s">
        <v>270</v>
      </c>
      <c r="C174" s="42">
        <v>39570</v>
      </c>
      <c r="D174" s="47" t="s">
        <v>425</v>
      </c>
      <c r="E174" s="47" t="s">
        <v>426</v>
      </c>
      <c r="F174" s="88">
        <v>9</v>
      </c>
      <c r="G174" s="88">
        <v>15</v>
      </c>
      <c r="H174" s="85">
        <v>36535</v>
      </c>
      <c r="I174" s="198">
        <v>5593</v>
      </c>
      <c r="J174" s="81">
        <f>+H174/I174</f>
        <v>6.53227248346147</v>
      </c>
      <c r="K174" s="232"/>
      <c r="L174" s="230"/>
      <c r="M174" s="231"/>
      <c r="N174" s="230"/>
    </row>
    <row r="175" spans="1:14" s="31" customFormat="1" ht="15">
      <c r="A175" s="229">
        <v>172</v>
      </c>
      <c r="B175" s="62" t="s">
        <v>497</v>
      </c>
      <c r="C175" s="41">
        <v>39668</v>
      </c>
      <c r="D175" s="47" t="s">
        <v>468</v>
      </c>
      <c r="E175" s="47" t="s">
        <v>550</v>
      </c>
      <c r="F175" s="58">
        <v>7</v>
      </c>
      <c r="G175" s="58">
        <v>6</v>
      </c>
      <c r="H175" s="85">
        <v>36257</v>
      </c>
      <c r="I175" s="198">
        <v>3767</v>
      </c>
      <c r="J175" s="216">
        <f>+H175/I175</f>
        <v>9.624900451287496</v>
      </c>
      <c r="K175" s="232"/>
      <c r="L175" s="230"/>
      <c r="M175" s="231"/>
      <c r="N175" s="230"/>
    </row>
    <row r="176" spans="1:14" s="31" customFormat="1" ht="15">
      <c r="A176" s="229">
        <v>173</v>
      </c>
      <c r="B176" s="57" t="s">
        <v>560</v>
      </c>
      <c r="C176" s="41">
        <v>39563</v>
      </c>
      <c r="D176" s="47" t="s">
        <v>336</v>
      </c>
      <c r="E176" s="47" t="s">
        <v>561</v>
      </c>
      <c r="F176" s="58">
        <v>13</v>
      </c>
      <c r="G176" s="43">
        <v>9</v>
      </c>
      <c r="H176" s="197">
        <v>36065</v>
      </c>
      <c r="I176" s="198">
        <v>3711</v>
      </c>
      <c r="J176" s="218">
        <f>+H176/I176</f>
        <v>9.718404742656967</v>
      </c>
      <c r="K176" s="232"/>
      <c r="L176" s="230"/>
      <c r="M176" s="231"/>
      <c r="N176" s="230"/>
    </row>
    <row r="177" spans="1:14" s="31" customFormat="1" ht="15">
      <c r="A177" s="229">
        <v>174</v>
      </c>
      <c r="B177" s="62" t="s">
        <v>10</v>
      </c>
      <c r="C177" s="41">
        <v>39689</v>
      </c>
      <c r="D177" s="47" t="s">
        <v>468</v>
      </c>
      <c r="E177" s="47" t="s">
        <v>550</v>
      </c>
      <c r="F177" s="58">
        <v>4</v>
      </c>
      <c r="G177" s="58">
        <v>3</v>
      </c>
      <c r="H177" s="85">
        <v>34542</v>
      </c>
      <c r="I177" s="198">
        <v>2723</v>
      </c>
      <c r="J177" s="216">
        <f>+H177/I177</f>
        <v>12.685273595299302</v>
      </c>
      <c r="K177" s="232"/>
      <c r="L177" s="230"/>
      <c r="M177" s="231"/>
      <c r="N177" s="230"/>
    </row>
    <row r="178" spans="1:14" s="31" customFormat="1" ht="15">
      <c r="A178" s="229">
        <v>175</v>
      </c>
      <c r="B178" s="57" t="s">
        <v>90</v>
      </c>
      <c r="C178" s="41">
        <v>39577</v>
      </c>
      <c r="D178" s="44" t="s">
        <v>223</v>
      </c>
      <c r="E178" s="44" t="s">
        <v>304</v>
      </c>
      <c r="F178" s="64" t="s">
        <v>430</v>
      </c>
      <c r="G178" s="64" t="s">
        <v>188</v>
      </c>
      <c r="H178" s="85">
        <v>33210.63</v>
      </c>
      <c r="I178" s="93">
        <v>4442</v>
      </c>
      <c r="J178" s="81">
        <f>+H178/I178</f>
        <v>7.476503827104907</v>
      </c>
      <c r="K178" s="232"/>
      <c r="L178" s="230"/>
      <c r="M178" s="231"/>
      <c r="N178" s="230"/>
    </row>
    <row r="179" spans="1:14" s="31" customFormat="1" ht="15">
      <c r="A179" s="229">
        <v>176</v>
      </c>
      <c r="B179" s="56" t="s">
        <v>22</v>
      </c>
      <c r="C179" s="41">
        <v>39584</v>
      </c>
      <c r="D179" s="46" t="s">
        <v>182</v>
      </c>
      <c r="E179" s="46" t="s">
        <v>355</v>
      </c>
      <c r="F179" s="43">
        <v>2</v>
      </c>
      <c r="G179" s="43">
        <v>8</v>
      </c>
      <c r="H179" s="187">
        <v>31317.61</v>
      </c>
      <c r="I179" s="188">
        <v>3693</v>
      </c>
      <c r="J179" s="215">
        <f>H179/I179</f>
        <v>8.480262659084755</v>
      </c>
      <c r="K179" s="232"/>
      <c r="L179" s="230"/>
      <c r="M179" s="231"/>
      <c r="N179" s="230"/>
    </row>
    <row r="180" spans="1:14" s="31" customFormat="1" ht="15">
      <c r="A180" s="229">
        <v>177</v>
      </c>
      <c r="B180" s="62" t="s">
        <v>506</v>
      </c>
      <c r="C180" s="41">
        <v>39507</v>
      </c>
      <c r="D180" s="47" t="s">
        <v>468</v>
      </c>
      <c r="E180" s="47" t="s">
        <v>78</v>
      </c>
      <c r="F180" s="58">
        <v>13</v>
      </c>
      <c r="G180" s="58">
        <v>30</v>
      </c>
      <c r="H180" s="85">
        <v>31163</v>
      </c>
      <c r="I180" s="198">
        <v>3608</v>
      </c>
      <c r="J180" s="216">
        <f>+H180/I180</f>
        <v>8.637195121951219</v>
      </c>
      <c r="K180" s="232"/>
      <c r="L180" s="230"/>
      <c r="M180" s="231"/>
      <c r="N180" s="230"/>
    </row>
    <row r="181" spans="1:14" s="31" customFormat="1" ht="15">
      <c r="A181" s="229">
        <v>178</v>
      </c>
      <c r="B181" s="62" t="s">
        <v>594</v>
      </c>
      <c r="C181" s="41">
        <v>39703</v>
      </c>
      <c r="D181" s="47" t="s">
        <v>468</v>
      </c>
      <c r="E181" s="47" t="s">
        <v>550</v>
      </c>
      <c r="F181" s="58">
        <v>5</v>
      </c>
      <c r="G181" s="58">
        <v>1</v>
      </c>
      <c r="H181" s="85">
        <v>31142</v>
      </c>
      <c r="I181" s="198">
        <v>2590</v>
      </c>
      <c r="J181" s="216">
        <f>+H181/I181</f>
        <v>12.023938223938224</v>
      </c>
      <c r="K181" s="232"/>
      <c r="L181" s="230"/>
      <c r="M181" s="231"/>
      <c r="N181" s="230"/>
    </row>
    <row r="182" spans="1:14" s="31" customFormat="1" ht="15">
      <c r="A182" s="229">
        <v>179</v>
      </c>
      <c r="B182" s="62" t="s">
        <v>243</v>
      </c>
      <c r="C182" s="41">
        <v>39598</v>
      </c>
      <c r="D182" s="47" t="s">
        <v>468</v>
      </c>
      <c r="E182" s="47" t="s">
        <v>550</v>
      </c>
      <c r="F182" s="58">
        <v>3</v>
      </c>
      <c r="G182" s="58">
        <v>14</v>
      </c>
      <c r="H182" s="85">
        <v>29446</v>
      </c>
      <c r="I182" s="93">
        <v>3061</v>
      </c>
      <c r="J182" s="156">
        <f>+H182/I182</f>
        <v>9.619732113688338</v>
      </c>
      <c r="K182" s="232"/>
      <c r="L182" s="230"/>
      <c r="M182" s="231"/>
      <c r="N182" s="230"/>
    </row>
    <row r="183" spans="1:14" s="31" customFormat="1" ht="15">
      <c r="A183" s="229">
        <v>180</v>
      </c>
      <c r="B183" s="56" t="s">
        <v>130</v>
      </c>
      <c r="C183" s="41">
        <v>39556</v>
      </c>
      <c r="D183" s="46" t="s">
        <v>223</v>
      </c>
      <c r="E183" s="46" t="s">
        <v>182</v>
      </c>
      <c r="F183" s="43">
        <v>6</v>
      </c>
      <c r="G183" s="43">
        <v>9</v>
      </c>
      <c r="H183" s="187">
        <v>28122.39</v>
      </c>
      <c r="I183" s="188">
        <v>3366</v>
      </c>
      <c r="J183" s="215">
        <v>8.354839572192516</v>
      </c>
      <c r="K183" s="232"/>
      <c r="L183" s="230"/>
      <c r="M183" s="231"/>
      <c r="N183" s="230"/>
    </row>
    <row r="184" spans="1:14" s="31" customFormat="1" ht="15">
      <c r="A184" s="229">
        <v>181</v>
      </c>
      <c r="B184" s="57" t="s">
        <v>305</v>
      </c>
      <c r="C184" s="42">
        <v>39577</v>
      </c>
      <c r="D184" s="47" t="s">
        <v>425</v>
      </c>
      <c r="E184" s="47" t="s">
        <v>356</v>
      </c>
      <c r="F184" s="88">
        <v>4</v>
      </c>
      <c r="G184" s="88">
        <v>11</v>
      </c>
      <c r="H184" s="197">
        <v>25478.5</v>
      </c>
      <c r="I184" s="198">
        <v>3733</v>
      </c>
      <c r="J184" s="218">
        <f>H184/I184</f>
        <v>6.825207607822127</v>
      </c>
      <c r="K184" s="232"/>
      <c r="L184" s="230"/>
      <c r="M184" s="231"/>
      <c r="N184" s="230"/>
    </row>
    <row r="185" spans="1:14" s="31" customFormat="1" ht="15">
      <c r="A185" s="229">
        <v>182</v>
      </c>
      <c r="B185" s="57" t="s">
        <v>308</v>
      </c>
      <c r="C185" s="42">
        <v>39619</v>
      </c>
      <c r="D185" s="47" t="s">
        <v>425</v>
      </c>
      <c r="E185" s="47" t="s">
        <v>426</v>
      </c>
      <c r="F185" s="88">
        <v>1</v>
      </c>
      <c r="G185" s="88">
        <v>13</v>
      </c>
      <c r="H185" s="85">
        <v>25225</v>
      </c>
      <c r="I185" s="198">
        <v>4014</v>
      </c>
      <c r="J185" s="218">
        <f>H185/I185</f>
        <v>6.2842551071250625</v>
      </c>
      <c r="K185" s="232"/>
      <c r="L185" s="230"/>
      <c r="M185" s="231"/>
      <c r="N185" s="230"/>
    </row>
    <row r="186" spans="1:14" s="31" customFormat="1" ht="15">
      <c r="A186" s="229">
        <v>183</v>
      </c>
      <c r="B186" s="56" t="s">
        <v>181</v>
      </c>
      <c r="C186" s="41">
        <v>39500</v>
      </c>
      <c r="D186" s="46" t="s">
        <v>182</v>
      </c>
      <c r="E186" s="46" t="s">
        <v>183</v>
      </c>
      <c r="F186" s="43">
        <v>1</v>
      </c>
      <c r="G186" s="43">
        <v>20</v>
      </c>
      <c r="H186" s="187">
        <v>23361.22</v>
      </c>
      <c r="I186" s="188">
        <v>2882</v>
      </c>
      <c r="J186" s="215">
        <f>H186/I186</f>
        <v>8.105905621096461</v>
      </c>
      <c r="K186" s="232"/>
      <c r="L186" s="230"/>
      <c r="M186" s="231"/>
      <c r="N186" s="230"/>
    </row>
    <row r="187" spans="1:14" s="31" customFormat="1" ht="15">
      <c r="A187" s="229">
        <v>184</v>
      </c>
      <c r="B187" s="55" t="s">
        <v>271</v>
      </c>
      <c r="C187" s="41">
        <v>39570</v>
      </c>
      <c r="D187" s="44" t="s">
        <v>81</v>
      </c>
      <c r="E187" s="44" t="s">
        <v>484</v>
      </c>
      <c r="F187" s="63">
        <v>3</v>
      </c>
      <c r="G187" s="63">
        <v>14</v>
      </c>
      <c r="H187" s="94">
        <f>22446+45+328+129+115</f>
        <v>23063</v>
      </c>
      <c r="I187" s="188">
        <f>2780+9+65+25+23</f>
        <v>2902</v>
      </c>
      <c r="J187" s="81">
        <f>+H187/I187</f>
        <v>7.947277739490007</v>
      </c>
      <c r="K187" s="232">
        <v>1</v>
      </c>
      <c r="L187" s="230"/>
      <c r="M187" s="231"/>
      <c r="N187" s="230"/>
    </row>
    <row r="188" spans="1:14" s="31" customFormat="1" ht="15">
      <c r="A188" s="229">
        <v>185</v>
      </c>
      <c r="B188" s="56" t="s">
        <v>493</v>
      </c>
      <c r="C188" s="42">
        <v>39682</v>
      </c>
      <c r="D188" s="47" t="s">
        <v>50</v>
      </c>
      <c r="E188" s="46" t="s">
        <v>374</v>
      </c>
      <c r="F188" s="43">
        <v>6</v>
      </c>
      <c r="G188" s="43">
        <v>4</v>
      </c>
      <c r="H188" s="85">
        <f>11018.5+3088.5+6583+2117</f>
        <v>22807</v>
      </c>
      <c r="I188" s="198">
        <f>979+358+789+310</f>
        <v>2436</v>
      </c>
      <c r="J188" s="218">
        <f>H188/I188</f>
        <v>9.36247947454844</v>
      </c>
      <c r="K188" s="232"/>
      <c r="L188" s="230"/>
      <c r="M188" s="231"/>
      <c r="N188" s="230"/>
    </row>
    <row r="189" spans="1:14" s="31" customFormat="1" ht="15">
      <c r="A189" s="229">
        <v>186</v>
      </c>
      <c r="B189" s="56" t="s">
        <v>576</v>
      </c>
      <c r="C189" s="42">
        <v>39696</v>
      </c>
      <c r="D189" s="47" t="s">
        <v>50</v>
      </c>
      <c r="E189" s="46" t="s">
        <v>425</v>
      </c>
      <c r="F189" s="43">
        <v>5</v>
      </c>
      <c r="G189" s="43">
        <v>2</v>
      </c>
      <c r="H189" s="85">
        <f>17804.5+4701</f>
        <v>22505.5</v>
      </c>
      <c r="I189" s="198">
        <f>1632+458</f>
        <v>2090</v>
      </c>
      <c r="J189" s="218">
        <f>H189/I189</f>
        <v>10.768181818181818</v>
      </c>
      <c r="K189" s="232"/>
      <c r="L189" s="230"/>
      <c r="M189" s="231"/>
      <c r="N189" s="230"/>
    </row>
    <row r="190" spans="1:14" s="31" customFormat="1" ht="15">
      <c r="A190" s="229">
        <v>187</v>
      </c>
      <c r="B190" s="56" t="s">
        <v>73</v>
      </c>
      <c r="C190" s="42">
        <v>39619</v>
      </c>
      <c r="D190" s="46" t="s">
        <v>43</v>
      </c>
      <c r="E190" s="46" t="s">
        <v>307</v>
      </c>
      <c r="F190" s="43">
        <v>6</v>
      </c>
      <c r="G190" s="43">
        <v>11</v>
      </c>
      <c r="H190" s="86">
        <f>7601+4056+1476+1782+1012+874+1097.5+450+441+2420+608</f>
        <v>21817.5</v>
      </c>
      <c r="I190" s="188">
        <f>869+488+218+277+179+156+258+81+82+807+81</f>
        <v>3496</v>
      </c>
      <c r="J190" s="81">
        <f>+H190/I190</f>
        <v>6.240703661327231</v>
      </c>
      <c r="K190" s="232">
        <v>1</v>
      </c>
      <c r="L190" s="230"/>
      <c r="M190" s="231"/>
      <c r="N190" s="230"/>
    </row>
    <row r="191" spans="1:14" s="31" customFormat="1" ht="15">
      <c r="A191" s="229">
        <v>188</v>
      </c>
      <c r="B191" s="56" t="s">
        <v>19</v>
      </c>
      <c r="C191" s="41">
        <v>39465</v>
      </c>
      <c r="D191" s="46" t="s">
        <v>425</v>
      </c>
      <c r="E191" s="46" t="s">
        <v>50</v>
      </c>
      <c r="F191" s="43">
        <v>5</v>
      </c>
      <c r="G191" s="43">
        <v>13</v>
      </c>
      <c r="H191" s="187">
        <v>21066.5</v>
      </c>
      <c r="I191" s="188">
        <v>3747</v>
      </c>
      <c r="J191" s="215">
        <v>5.622231118227915</v>
      </c>
      <c r="K191" s="232"/>
      <c r="L191" s="230"/>
      <c r="M191" s="231"/>
      <c r="N191" s="230"/>
    </row>
    <row r="192" spans="1:14" s="31" customFormat="1" ht="15">
      <c r="A192" s="229">
        <v>189</v>
      </c>
      <c r="B192" s="57" t="s">
        <v>306</v>
      </c>
      <c r="C192" s="42">
        <v>39577</v>
      </c>
      <c r="D192" s="47" t="s">
        <v>425</v>
      </c>
      <c r="E192" s="47" t="s">
        <v>513</v>
      </c>
      <c r="F192" s="88">
        <v>1</v>
      </c>
      <c r="G192" s="88">
        <v>14</v>
      </c>
      <c r="H192" s="85">
        <v>20139.81</v>
      </c>
      <c r="I192" s="198">
        <v>3742</v>
      </c>
      <c r="J192" s="218">
        <f>H192/I192</f>
        <v>5.382097808658472</v>
      </c>
      <c r="K192" s="232"/>
      <c r="L192" s="230"/>
      <c r="M192" s="231"/>
      <c r="N192" s="230"/>
    </row>
    <row r="193" spans="1:14" s="31" customFormat="1" ht="15">
      <c r="A193" s="229">
        <v>190</v>
      </c>
      <c r="B193" s="56" t="s">
        <v>595</v>
      </c>
      <c r="C193" s="42">
        <v>39703</v>
      </c>
      <c r="D193" s="47" t="s">
        <v>50</v>
      </c>
      <c r="E193" s="46" t="s">
        <v>596</v>
      </c>
      <c r="F193" s="43">
        <v>6</v>
      </c>
      <c r="G193" s="43">
        <v>1</v>
      </c>
      <c r="H193" s="85">
        <v>18453</v>
      </c>
      <c r="I193" s="198">
        <v>1896</v>
      </c>
      <c r="J193" s="218">
        <f>H193/I193</f>
        <v>9.73259493670886</v>
      </c>
      <c r="K193" s="232">
        <v>1</v>
      </c>
      <c r="L193" s="230"/>
      <c r="M193" s="231"/>
      <c r="N193" s="230"/>
    </row>
    <row r="194" spans="1:14" s="31" customFormat="1" ht="15">
      <c r="A194" s="229">
        <v>191</v>
      </c>
      <c r="B194" s="57" t="s">
        <v>244</v>
      </c>
      <c r="C194" s="42">
        <v>39598</v>
      </c>
      <c r="D194" s="47" t="s">
        <v>425</v>
      </c>
      <c r="E194" s="47" t="s">
        <v>356</v>
      </c>
      <c r="F194" s="88">
        <v>5</v>
      </c>
      <c r="G194" s="88">
        <v>15</v>
      </c>
      <c r="H194" s="85">
        <v>18082.5</v>
      </c>
      <c r="I194" s="198">
        <v>2923</v>
      </c>
      <c r="J194" s="218">
        <f>H194/I194</f>
        <v>6.186281217926788</v>
      </c>
      <c r="K194" s="232"/>
      <c r="L194" s="230"/>
      <c r="M194" s="231"/>
      <c r="N194" s="230"/>
    </row>
    <row r="195" spans="1:14" s="31" customFormat="1" ht="15">
      <c r="A195" s="229">
        <v>192</v>
      </c>
      <c r="B195" s="56" t="s">
        <v>37</v>
      </c>
      <c r="C195" s="41">
        <v>39563</v>
      </c>
      <c r="D195" s="46" t="s">
        <v>562</v>
      </c>
      <c r="E195" s="46" t="s">
        <v>426</v>
      </c>
      <c r="F195" s="43">
        <v>3</v>
      </c>
      <c r="G195" s="43">
        <v>6</v>
      </c>
      <c r="H195" s="187">
        <v>17974</v>
      </c>
      <c r="I195" s="188">
        <v>1680</v>
      </c>
      <c r="J195" s="215">
        <v>10.698809523809519</v>
      </c>
      <c r="K195" s="232"/>
      <c r="L195" s="230"/>
      <c r="M195" s="231"/>
      <c r="N195" s="230"/>
    </row>
    <row r="196" spans="1:14" s="31" customFormat="1" ht="15">
      <c r="A196" s="229">
        <v>193</v>
      </c>
      <c r="B196" s="57" t="s">
        <v>232</v>
      </c>
      <c r="C196" s="42">
        <v>39612</v>
      </c>
      <c r="D196" s="47" t="s">
        <v>425</v>
      </c>
      <c r="E196" s="47" t="s">
        <v>403</v>
      </c>
      <c r="F196" s="88">
        <v>5</v>
      </c>
      <c r="G196" s="88">
        <v>13</v>
      </c>
      <c r="H196" s="85">
        <v>16694.5</v>
      </c>
      <c r="I196" s="198">
        <v>2321</v>
      </c>
      <c r="J196" s="218">
        <f>H196/I196</f>
        <v>7.192804825506247</v>
      </c>
      <c r="K196" s="232"/>
      <c r="L196" s="230"/>
      <c r="M196" s="231"/>
      <c r="N196" s="230"/>
    </row>
    <row r="197" spans="1:14" s="31" customFormat="1" ht="15">
      <c r="A197" s="229">
        <v>194</v>
      </c>
      <c r="B197" s="56" t="s">
        <v>238</v>
      </c>
      <c r="C197" s="41">
        <v>39514</v>
      </c>
      <c r="D197" s="46" t="s">
        <v>43</v>
      </c>
      <c r="E197" s="46" t="s">
        <v>407</v>
      </c>
      <c r="F197" s="43">
        <v>15</v>
      </c>
      <c r="G197" s="43">
        <v>3</v>
      </c>
      <c r="H197" s="187">
        <v>15112.5</v>
      </c>
      <c r="I197" s="188">
        <v>2381</v>
      </c>
      <c r="J197" s="215">
        <v>6.347123057538848</v>
      </c>
      <c r="K197" s="232"/>
      <c r="L197" s="230"/>
      <c r="M197" s="231"/>
      <c r="N197" s="230"/>
    </row>
    <row r="198" spans="1:14" s="31" customFormat="1" ht="15">
      <c r="A198" s="229">
        <v>195</v>
      </c>
      <c r="B198" s="56" t="s">
        <v>567</v>
      </c>
      <c r="C198" s="41">
        <v>39542</v>
      </c>
      <c r="D198" s="46" t="s">
        <v>425</v>
      </c>
      <c r="E198" s="46" t="s">
        <v>426</v>
      </c>
      <c r="F198" s="43">
        <v>1</v>
      </c>
      <c r="G198" s="43">
        <v>11</v>
      </c>
      <c r="H198" s="187">
        <v>14675</v>
      </c>
      <c r="I198" s="188">
        <v>1589</v>
      </c>
      <c r="J198" s="215">
        <v>9.235368156073001</v>
      </c>
      <c r="K198" s="232"/>
      <c r="L198" s="230"/>
      <c r="M198" s="231"/>
      <c r="N198" s="230"/>
    </row>
    <row r="199" spans="1:14" s="31" customFormat="1" ht="15">
      <c r="A199" s="229">
        <v>196</v>
      </c>
      <c r="B199" s="57" t="s">
        <v>239</v>
      </c>
      <c r="C199" s="42">
        <v>39514</v>
      </c>
      <c r="D199" s="47" t="s">
        <v>425</v>
      </c>
      <c r="E199" s="47" t="s">
        <v>50</v>
      </c>
      <c r="F199" s="88">
        <v>5</v>
      </c>
      <c r="G199" s="88">
        <v>10</v>
      </c>
      <c r="H199" s="260">
        <v>12652.5</v>
      </c>
      <c r="I199" s="261">
        <v>2186</v>
      </c>
      <c r="J199" s="215">
        <v>5.78796889295517</v>
      </c>
      <c r="K199" s="232"/>
      <c r="L199" s="230"/>
      <c r="M199" s="231"/>
      <c r="N199" s="230"/>
    </row>
    <row r="200" spans="1:14" s="31" customFormat="1" ht="15">
      <c r="A200" s="229">
        <v>197</v>
      </c>
      <c r="B200" s="57" t="s">
        <v>523</v>
      </c>
      <c r="C200" s="42">
        <v>39661</v>
      </c>
      <c r="D200" s="47" t="s">
        <v>425</v>
      </c>
      <c r="E200" s="47" t="s">
        <v>524</v>
      </c>
      <c r="F200" s="88">
        <v>1</v>
      </c>
      <c r="G200" s="88">
        <v>7</v>
      </c>
      <c r="H200" s="85">
        <v>12362.5</v>
      </c>
      <c r="I200" s="198">
        <v>1935</v>
      </c>
      <c r="J200" s="218">
        <f>H200/I200</f>
        <v>6.388888888888889</v>
      </c>
      <c r="K200" s="232"/>
      <c r="L200" s="230"/>
      <c r="M200" s="231"/>
      <c r="N200" s="230"/>
    </row>
    <row r="201" spans="1:14" s="31" customFormat="1" ht="15">
      <c r="A201" s="229">
        <v>198</v>
      </c>
      <c r="B201" s="350" t="s">
        <v>485</v>
      </c>
      <c r="C201" s="42">
        <v>39570</v>
      </c>
      <c r="D201" s="87" t="s">
        <v>42</v>
      </c>
      <c r="E201" s="87" t="s">
        <v>152</v>
      </c>
      <c r="F201" s="43">
        <v>2</v>
      </c>
      <c r="G201" s="43">
        <v>10</v>
      </c>
      <c r="H201" s="187">
        <v>11325</v>
      </c>
      <c r="I201" s="188">
        <v>1317</v>
      </c>
      <c r="J201" s="215">
        <f>+H201/I201</f>
        <v>8.599088838268793</v>
      </c>
      <c r="K201" s="232"/>
      <c r="L201" s="230"/>
      <c r="M201" s="231"/>
      <c r="N201" s="230"/>
    </row>
    <row r="202" spans="1:14" s="31" customFormat="1" ht="15">
      <c r="A202" s="229">
        <v>199</v>
      </c>
      <c r="B202" s="56" t="s">
        <v>399</v>
      </c>
      <c r="C202" s="41">
        <v>39451</v>
      </c>
      <c r="D202" s="46" t="s">
        <v>223</v>
      </c>
      <c r="E202" s="46" t="s">
        <v>400</v>
      </c>
      <c r="F202" s="43">
        <v>5</v>
      </c>
      <c r="G202" s="43">
        <v>6</v>
      </c>
      <c r="H202" s="187">
        <v>11161.51</v>
      </c>
      <c r="I202" s="188">
        <v>1597</v>
      </c>
      <c r="J202" s="215">
        <v>6.9890482154038835</v>
      </c>
      <c r="K202" s="232">
        <v>1</v>
      </c>
      <c r="L202" s="230"/>
      <c r="M202" s="231"/>
      <c r="N202" s="230"/>
    </row>
    <row r="203" spans="1:14" s="31" customFormat="1" ht="15">
      <c r="A203" s="229">
        <v>200</v>
      </c>
      <c r="B203" s="56" t="s">
        <v>157</v>
      </c>
      <c r="C203" s="41">
        <v>39507</v>
      </c>
      <c r="D203" s="46" t="s">
        <v>425</v>
      </c>
      <c r="E203" s="46" t="s">
        <v>198</v>
      </c>
      <c r="F203" s="43">
        <v>5</v>
      </c>
      <c r="G203" s="43">
        <v>11</v>
      </c>
      <c r="H203" s="187">
        <v>9595</v>
      </c>
      <c r="I203" s="188">
        <v>1839</v>
      </c>
      <c r="J203" s="215">
        <v>5.217509516041327</v>
      </c>
      <c r="K203" s="232">
        <v>1</v>
      </c>
      <c r="L203" s="230"/>
      <c r="M203" s="231"/>
      <c r="N203" s="230"/>
    </row>
    <row r="204" spans="1:14" s="31" customFormat="1" ht="15">
      <c r="A204" s="229">
        <v>201</v>
      </c>
      <c r="B204" s="57" t="s">
        <v>247</v>
      </c>
      <c r="C204" s="42">
        <v>39598</v>
      </c>
      <c r="D204" s="47" t="s">
        <v>425</v>
      </c>
      <c r="E204" s="47" t="s">
        <v>355</v>
      </c>
      <c r="F204" s="88">
        <v>1</v>
      </c>
      <c r="G204" s="88">
        <v>14</v>
      </c>
      <c r="H204" s="85">
        <v>7610.83</v>
      </c>
      <c r="I204" s="198">
        <v>1569</v>
      </c>
      <c r="J204" s="218">
        <f>H204/I204</f>
        <v>4.850752071383046</v>
      </c>
      <c r="K204" s="232"/>
      <c r="L204" s="230"/>
      <c r="M204" s="231"/>
      <c r="N204" s="230"/>
    </row>
    <row r="205" spans="1:14" s="31" customFormat="1" ht="15">
      <c r="A205" s="229">
        <v>202</v>
      </c>
      <c r="B205" s="56" t="s">
        <v>539</v>
      </c>
      <c r="C205" s="42">
        <v>39668</v>
      </c>
      <c r="D205" s="47" t="s">
        <v>50</v>
      </c>
      <c r="E205" s="46" t="s">
        <v>356</v>
      </c>
      <c r="F205" s="43">
        <v>1</v>
      </c>
      <c r="G205" s="43">
        <v>3</v>
      </c>
      <c r="H205" s="85">
        <f>3110+2328+234</f>
        <v>5672</v>
      </c>
      <c r="I205" s="93">
        <f>365+272+41</f>
        <v>678</v>
      </c>
      <c r="J205" s="81">
        <f>H205/I205</f>
        <v>8.365781710914455</v>
      </c>
      <c r="K205" s="232"/>
      <c r="L205" s="230"/>
      <c r="M205" s="231"/>
      <c r="N205" s="230"/>
    </row>
    <row r="206" spans="1:14" s="31" customFormat="1" ht="15">
      <c r="A206" s="229">
        <v>203</v>
      </c>
      <c r="B206" s="56" t="s">
        <v>605</v>
      </c>
      <c r="C206" s="42">
        <v>39675</v>
      </c>
      <c r="D206" s="47" t="s">
        <v>50</v>
      </c>
      <c r="E206" s="46" t="s">
        <v>77</v>
      </c>
      <c r="F206" s="43">
        <v>1</v>
      </c>
      <c r="G206" s="43">
        <v>5</v>
      </c>
      <c r="H206" s="85">
        <f>2342+965+725+344</f>
        <v>4376</v>
      </c>
      <c r="I206" s="198">
        <f>283+144+96+45</f>
        <v>568</v>
      </c>
      <c r="J206" s="218">
        <f>H206/I206</f>
        <v>7.704225352112676</v>
      </c>
      <c r="K206" s="232">
        <v>1</v>
      </c>
      <c r="L206" s="230"/>
      <c r="M206" s="231"/>
      <c r="N206" s="230"/>
    </row>
    <row r="207" spans="1:14" s="31" customFormat="1" ht="15">
      <c r="A207" s="229">
        <v>204</v>
      </c>
      <c r="B207" s="62" t="s">
        <v>577</v>
      </c>
      <c r="C207" s="41">
        <v>39696</v>
      </c>
      <c r="D207" s="47" t="s">
        <v>468</v>
      </c>
      <c r="E207" s="47" t="s">
        <v>342</v>
      </c>
      <c r="F207" s="58">
        <v>1</v>
      </c>
      <c r="G207" s="58">
        <v>2</v>
      </c>
      <c r="H207" s="85">
        <v>3918</v>
      </c>
      <c r="I207" s="198">
        <v>343</v>
      </c>
      <c r="J207" s="216">
        <f>+H207/I207</f>
        <v>11.422740524781341</v>
      </c>
      <c r="K207" s="232"/>
      <c r="L207" s="230"/>
      <c r="M207" s="231"/>
      <c r="N207" s="230"/>
    </row>
    <row r="208" spans="1:14" s="31" customFormat="1" ht="15.75" thickBot="1">
      <c r="A208" s="229">
        <v>205</v>
      </c>
      <c r="B208" s="131" t="s">
        <v>245</v>
      </c>
      <c r="C208" s="159">
        <v>39598</v>
      </c>
      <c r="D208" s="248" t="s">
        <v>425</v>
      </c>
      <c r="E208" s="248" t="s">
        <v>246</v>
      </c>
      <c r="F208" s="132">
        <v>1</v>
      </c>
      <c r="G208" s="132">
        <v>4</v>
      </c>
      <c r="H208" s="220">
        <v>3192</v>
      </c>
      <c r="I208" s="221">
        <v>471</v>
      </c>
      <c r="J208" s="390">
        <v>6.777070063694268</v>
      </c>
      <c r="K208" s="232">
        <v>1</v>
      </c>
      <c r="L208" s="230"/>
      <c r="M208" s="231"/>
      <c r="N208" s="230"/>
    </row>
    <row r="209" spans="1:14" s="49" customFormat="1" ht="15">
      <c r="A209" s="502" t="s">
        <v>82</v>
      </c>
      <c r="B209" s="502"/>
      <c r="C209" s="53"/>
      <c r="D209" s="53"/>
      <c r="E209" s="53"/>
      <c r="F209" s="54">
        <f>SUM(F4:F208)</f>
        <v>9246</v>
      </c>
      <c r="G209" s="53"/>
      <c r="H209" s="129">
        <f>SUM(H4:H208)</f>
        <v>158484229.56500003</v>
      </c>
      <c r="I209" s="130">
        <f>SUM(I4:I208)</f>
        <v>20670564.61</v>
      </c>
      <c r="J209" s="176"/>
      <c r="K209" s="69"/>
      <c r="L209" s="66"/>
      <c r="M209" s="69"/>
      <c r="N209" s="66"/>
    </row>
    <row r="210" spans="1:10" ht="12.75">
      <c r="A210" s="172"/>
      <c r="B210" s="173"/>
      <c r="C210" s="174"/>
      <c r="D210" s="174"/>
      <c r="E210" s="174"/>
      <c r="F210" s="174"/>
      <c r="G210" s="174"/>
      <c r="H210" s="182"/>
      <c r="I210" s="183"/>
      <c r="J210" s="175"/>
    </row>
    <row r="211" spans="8:9" ht="12.75">
      <c r="H211" s="184"/>
      <c r="I211" s="185"/>
    </row>
    <row r="219" spans="2:16" ht="15">
      <c r="B219" s="177"/>
      <c r="C219" s="178"/>
      <c r="D219" s="179"/>
      <c r="E219" s="179"/>
      <c r="F219" s="180"/>
      <c r="G219" s="180"/>
      <c r="H219" s="436"/>
      <c r="I219" s="437"/>
      <c r="J219" s="181"/>
      <c r="K219" s="270"/>
      <c r="L219" s="32"/>
      <c r="M219" s="32"/>
      <c r="N219" s="32"/>
      <c r="O219" s="32"/>
      <c r="P219" s="32"/>
    </row>
  </sheetData>
  <sheetProtection/>
  <mergeCells count="10">
    <mergeCell ref="J2:J3"/>
    <mergeCell ref="A1:J1"/>
    <mergeCell ref="F2:F3"/>
    <mergeCell ref="E2:E3"/>
    <mergeCell ref="A209:B209"/>
    <mergeCell ref="B2:B3"/>
    <mergeCell ref="C2:C3"/>
    <mergeCell ref="D2:D3"/>
    <mergeCell ref="G2:G3"/>
    <mergeCell ref="H2:I2"/>
  </mergeCells>
  <printOptions/>
  <pageMargins left="0.87" right="0.58" top="0.63" bottom="0.76" header="0.11811023622047245" footer="0.5"/>
  <pageSetup orientation="portrait" paperSize="9" scale="80"/>
  <ignoredErrors>
    <ignoredError sqref="L77 L80:L83 L103 L36:L40 L16:L17 L22:L25 L15 L18 L26:L35 L78:L79 L11:L14 L54:L76 L5:L7 L41:L50 L88 L101:L102 L19:L21 L93:L95 L9 L84:L87 L96:L100 L10 L8 L51:L53 L89:L92 I163:I172 J111:J146" formula="1"/>
    <ignoredError sqref="G24 J7:J8 G81:G88 F27:F55 H173:H187 G14:G15 G29 H115:H118 F173:G200 G7:I9 F71:F95 G90:G95 G71:G79 G19 F151:G158 G61 G45:G59 G17 G27 G21:G22 G31:G43 G11:G12 G115:G119 G121:G148 F115:F149" numberStoredAsText="1"/>
    <ignoredError sqref="I56:I59 H61 H19 I14:I15 H45:H55 I24 H188:H200 H56:H59 J61:J62 I29 I199:I200 I19 H29 H151:H158 H24 I61 I45:I55 H14:H15 H17 I17 H27 I27 H21:H22 I21:I22 H31:H43 I31:I43 H11:H12 I11:I12 H119 H121:H148 J90:J98 J152:J198 J9:J26 J27:J42 I173:I187 J56:J60 J43:J55 I188:I198" numberStoredAsText="1" unlockedFormula="1"/>
    <ignoredError sqref="J63 J64:J78 H201:H207 J79:J89 J99:J106 I81:I88 H159 J199 I201:I207 I151:I159 H106 H81:H88 I121:I148 H66:H79 I106 H90:H101 I90:I101 H103:H104 I103:I104 I119 H64 I64 I66:I79" unlockedFormula="1"/>
    <ignoredError sqref="J90:J98 J152:J198" formula="1" unlockedFormula="1"/>
    <ignoredError sqref="J9:J26 J27:J42 I173:I187" numberStoredAsText="1" formula="1"/>
    <ignoredError sqref="J56:J60 J43:J55 I188:I198" numberStoredAsText="1" formula="1" unlockedFormula="1"/>
  </ignoredErrors>
</worksheet>
</file>

<file path=xl/worksheets/sheet3.xml><?xml version="1.0" encoding="utf-8"?>
<worksheet xmlns="http://schemas.openxmlformats.org/spreadsheetml/2006/main" xmlns:r="http://schemas.openxmlformats.org/officeDocument/2006/relationships">
  <dimension ref="A1:Q657"/>
  <sheetViews>
    <sheetView zoomScale="80" zoomScaleNormal="80" zoomScalePageLayoutView="0" workbookViewId="0" topLeftCell="A1">
      <selection activeCell="B2" sqref="B2:B3"/>
    </sheetView>
  </sheetViews>
  <sheetFormatPr defaultColWidth="4.00390625" defaultRowHeight="12.75"/>
  <cols>
    <col min="1" max="1" width="4.421875" style="0" bestFit="1" customWidth="1"/>
    <col min="2" max="2" width="46.8515625" style="0" bestFit="1" customWidth="1"/>
    <col min="3" max="3" width="10.8515625" style="82" bestFit="1" customWidth="1"/>
    <col min="4" max="4" width="13.8515625" style="0" bestFit="1" customWidth="1"/>
    <col min="5" max="5" width="23.00390625" style="0" bestFit="1" customWidth="1"/>
    <col min="6" max="6" width="6.28125" style="169" bestFit="1" customWidth="1"/>
    <col min="7" max="7" width="8.28125" style="170" bestFit="1" customWidth="1"/>
    <col min="8" max="8" width="9.8515625" style="82" customWidth="1"/>
    <col min="9" max="9" width="15.8515625" style="297" bestFit="1" customWidth="1"/>
    <col min="10" max="10" width="10.421875" style="298" bestFit="1" customWidth="1"/>
    <col min="11" max="11" width="10.28125" style="249" customWidth="1"/>
    <col min="12" max="12" width="7.00390625" style="255" bestFit="1" customWidth="1"/>
    <col min="13" max="13" width="14.57421875" style="250" bestFit="1" customWidth="1"/>
    <col min="14" max="14" width="10.57421875" style="249" bestFit="1" customWidth="1"/>
    <col min="15" max="15" width="7.00390625" style="255" bestFit="1" customWidth="1"/>
    <col min="16" max="16" width="2.8515625" style="270" customWidth="1"/>
    <col min="17" max="17" width="4.00390625" style="392" customWidth="1"/>
  </cols>
  <sheetData>
    <row r="1" spans="1:15" ht="54" customHeight="1" thickBot="1">
      <c r="A1" s="514" t="s">
        <v>588</v>
      </c>
      <c r="B1" s="515"/>
      <c r="C1" s="515"/>
      <c r="D1" s="515"/>
      <c r="E1" s="515"/>
      <c r="F1" s="515"/>
      <c r="G1" s="515"/>
      <c r="H1" s="516"/>
      <c r="I1" s="516"/>
      <c r="J1" s="517"/>
      <c r="K1" s="516"/>
      <c r="L1" s="516"/>
      <c r="M1" s="516"/>
      <c r="N1" s="516"/>
      <c r="O1" s="516"/>
    </row>
    <row r="2" spans="1:17" s="160" customFormat="1" ht="14.25">
      <c r="A2" s="162"/>
      <c r="B2" s="519" t="s">
        <v>433</v>
      </c>
      <c r="C2" s="521" t="s">
        <v>131</v>
      </c>
      <c r="D2" s="511" t="s">
        <v>40</v>
      </c>
      <c r="E2" s="511" t="s">
        <v>39</v>
      </c>
      <c r="F2" s="513" t="s">
        <v>132</v>
      </c>
      <c r="G2" s="513" t="s">
        <v>139</v>
      </c>
      <c r="H2" s="525" t="s">
        <v>141</v>
      </c>
      <c r="I2" s="527" t="s">
        <v>133</v>
      </c>
      <c r="J2" s="527"/>
      <c r="K2" s="527"/>
      <c r="L2" s="527"/>
      <c r="M2" s="528" t="s">
        <v>134</v>
      </c>
      <c r="N2" s="528"/>
      <c r="O2" s="529"/>
      <c r="P2" s="171"/>
      <c r="Q2" s="171"/>
    </row>
    <row r="3" spans="1:17" s="160" customFormat="1" ht="39" thickBot="1">
      <c r="A3" s="163"/>
      <c r="B3" s="520"/>
      <c r="C3" s="522"/>
      <c r="D3" s="512"/>
      <c r="E3" s="512"/>
      <c r="F3" s="512"/>
      <c r="G3" s="512"/>
      <c r="H3" s="526"/>
      <c r="I3" s="373" t="s">
        <v>135</v>
      </c>
      <c r="J3" s="374" t="s">
        <v>136</v>
      </c>
      <c r="K3" s="374" t="s">
        <v>377</v>
      </c>
      <c r="L3" s="375" t="s">
        <v>137</v>
      </c>
      <c r="M3" s="376" t="s">
        <v>135</v>
      </c>
      <c r="N3" s="374" t="s">
        <v>136</v>
      </c>
      <c r="O3" s="377" t="s">
        <v>138</v>
      </c>
      <c r="P3" s="171"/>
      <c r="Q3" s="171"/>
    </row>
    <row r="4" spans="1:16" ht="15">
      <c r="A4" s="91">
        <v>1</v>
      </c>
      <c r="B4" s="118" t="s">
        <v>470</v>
      </c>
      <c r="C4" s="51">
        <v>39430</v>
      </c>
      <c r="D4" s="119" t="s">
        <v>42</v>
      </c>
      <c r="E4" s="119" t="s">
        <v>52</v>
      </c>
      <c r="F4" s="120">
        <v>242</v>
      </c>
      <c r="G4" s="120">
        <v>185</v>
      </c>
      <c r="H4" s="120">
        <v>4</v>
      </c>
      <c r="I4" s="356">
        <v>1431289</v>
      </c>
      <c r="J4" s="357">
        <v>188081</v>
      </c>
      <c r="K4" s="151">
        <f>J4/G4</f>
        <v>1016.6540540540541</v>
      </c>
      <c r="L4" s="152">
        <f>+I4/J4</f>
        <v>7.609960602081018</v>
      </c>
      <c r="M4" s="153">
        <v>13067700</v>
      </c>
      <c r="N4" s="151">
        <v>1676072</v>
      </c>
      <c r="O4" s="154">
        <f>+M4/N4</f>
        <v>7.79662210215313</v>
      </c>
      <c r="P4" s="232"/>
    </row>
    <row r="5" spans="1:16" ht="15">
      <c r="A5" s="91">
        <v>2</v>
      </c>
      <c r="B5" s="56" t="s">
        <v>301</v>
      </c>
      <c r="C5" s="41">
        <v>39437</v>
      </c>
      <c r="D5" s="87" t="s">
        <v>42</v>
      </c>
      <c r="E5" s="87" t="s">
        <v>298</v>
      </c>
      <c r="F5" s="43">
        <v>137</v>
      </c>
      <c r="G5" s="43">
        <v>185</v>
      </c>
      <c r="H5" s="43">
        <v>2</v>
      </c>
      <c r="I5" s="358">
        <v>1396135</v>
      </c>
      <c r="J5" s="359">
        <v>158936</v>
      </c>
      <c r="K5" s="133">
        <f>J5/G5</f>
        <v>859.1135135135136</v>
      </c>
      <c r="L5" s="134">
        <f>+I5/J5</f>
        <v>8.784259072834349</v>
      </c>
      <c r="M5" s="135">
        <v>1396135</v>
      </c>
      <c r="N5" s="133">
        <v>158936</v>
      </c>
      <c r="O5" s="155">
        <f>+M5/N5</f>
        <v>8.784259072834349</v>
      </c>
      <c r="P5" s="232"/>
    </row>
    <row r="6" spans="1:16" ht="15">
      <c r="A6" s="378">
        <v>3</v>
      </c>
      <c r="B6" s="309" t="s">
        <v>470</v>
      </c>
      <c r="C6" s="351">
        <v>39430</v>
      </c>
      <c r="D6" s="334" t="s">
        <v>42</v>
      </c>
      <c r="E6" s="334" t="s">
        <v>12</v>
      </c>
      <c r="F6" s="310">
        <v>242</v>
      </c>
      <c r="G6" s="310">
        <v>185</v>
      </c>
      <c r="H6" s="310">
        <v>5</v>
      </c>
      <c r="I6" s="379">
        <v>920357</v>
      </c>
      <c r="J6" s="380">
        <v>125060</v>
      </c>
      <c r="K6" s="352">
        <f>J6/G6</f>
        <v>676</v>
      </c>
      <c r="L6" s="340">
        <f>+I6/J6</f>
        <v>7.35932352470814</v>
      </c>
      <c r="M6" s="353">
        <v>13988666</v>
      </c>
      <c r="N6" s="352">
        <v>1800857</v>
      </c>
      <c r="O6" s="335">
        <f>+M6/N6</f>
        <v>7.767782783419228</v>
      </c>
      <c r="P6" s="232">
        <v>1</v>
      </c>
    </row>
    <row r="7" spans="1:16" ht="15">
      <c r="A7" s="91">
        <v>4</v>
      </c>
      <c r="B7" s="222" t="s">
        <v>470</v>
      </c>
      <c r="C7" s="186">
        <v>39430</v>
      </c>
      <c r="D7" s="223" t="s">
        <v>42</v>
      </c>
      <c r="E7" s="223" t="s">
        <v>12</v>
      </c>
      <c r="F7" s="224">
        <v>242</v>
      </c>
      <c r="G7" s="224">
        <v>185</v>
      </c>
      <c r="H7" s="224">
        <v>6</v>
      </c>
      <c r="I7" s="360">
        <v>861447</v>
      </c>
      <c r="J7" s="361">
        <v>117552</v>
      </c>
      <c r="K7" s="225">
        <f>J7/G7</f>
        <v>635.4162162162162</v>
      </c>
      <c r="L7" s="226">
        <f>+I7/J7</f>
        <v>7.328220702327481</v>
      </c>
      <c r="M7" s="227">
        <v>14845690</v>
      </c>
      <c r="N7" s="225">
        <v>1918024</v>
      </c>
      <c r="O7" s="228">
        <f>+M7/N7</f>
        <v>7.7400960571921935</v>
      </c>
      <c r="P7" s="232"/>
    </row>
    <row r="8" spans="1:16" ht="15">
      <c r="A8" s="91">
        <v>5</v>
      </c>
      <c r="B8" s="56" t="s">
        <v>382</v>
      </c>
      <c r="C8" s="41">
        <v>39437</v>
      </c>
      <c r="D8" s="46" t="s">
        <v>43</v>
      </c>
      <c r="E8" s="46" t="s">
        <v>383</v>
      </c>
      <c r="F8" s="63">
        <v>156</v>
      </c>
      <c r="G8" s="43">
        <v>156</v>
      </c>
      <c r="H8" s="43">
        <v>3</v>
      </c>
      <c r="I8" s="358">
        <v>721829.5</v>
      </c>
      <c r="J8" s="359">
        <v>97288</v>
      </c>
      <c r="K8" s="136">
        <f>IF(I8&lt;&gt;0,J8/G8,"")</f>
        <v>623.6410256410256</v>
      </c>
      <c r="L8" s="137">
        <f>IF(I8&lt;&gt;0,I8/J8,"")</f>
        <v>7.419512170051805</v>
      </c>
      <c r="M8" s="135">
        <f>1780127+1212579.5+721829.5</f>
        <v>3714536</v>
      </c>
      <c r="N8" s="133">
        <f>240776+165120+97288</f>
        <v>503184</v>
      </c>
      <c r="O8" s="156">
        <f>IF(M8&lt;&gt;0,M8/N8,"")</f>
        <v>7.382063022671627</v>
      </c>
      <c r="P8" s="232"/>
    </row>
    <row r="9" spans="1:16" ht="15">
      <c r="A9" s="91">
        <v>6</v>
      </c>
      <c r="B9" s="55" t="s">
        <v>395</v>
      </c>
      <c r="C9" s="41">
        <v>39402</v>
      </c>
      <c r="D9" s="44" t="s">
        <v>81</v>
      </c>
      <c r="E9" s="44" t="s">
        <v>396</v>
      </c>
      <c r="F9" s="63">
        <v>165</v>
      </c>
      <c r="G9" s="63">
        <v>165</v>
      </c>
      <c r="H9" s="63">
        <v>8</v>
      </c>
      <c r="I9" s="362">
        <v>635116</v>
      </c>
      <c r="J9" s="363">
        <v>92002</v>
      </c>
      <c r="K9" s="136">
        <f>IF(I9&lt;&gt;0,J9/G9,"")</f>
        <v>557.5878787878788</v>
      </c>
      <c r="L9" s="137">
        <f>IF(I9&lt;&gt;0,I9/J9,"")</f>
        <v>6.90328471120193</v>
      </c>
      <c r="M9" s="138">
        <f>12736195.5+635116</f>
        <v>13371311.5</v>
      </c>
      <c r="N9" s="133">
        <f>271934+322135+339926+262189+150199+208899+146862+92002</f>
        <v>1794146</v>
      </c>
      <c r="O9" s="156">
        <f>IF(M9&lt;&gt;0,M9/N9,"")</f>
        <v>7.452744369744714</v>
      </c>
      <c r="P9" s="232"/>
    </row>
    <row r="10" spans="1:16" ht="15">
      <c r="A10" s="91">
        <v>7</v>
      </c>
      <c r="B10" s="56" t="s">
        <v>382</v>
      </c>
      <c r="C10" s="41">
        <v>39437</v>
      </c>
      <c r="D10" s="46" t="s">
        <v>43</v>
      </c>
      <c r="E10" s="46" t="s">
        <v>383</v>
      </c>
      <c r="F10" s="63">
        <v>156</v>
      </c>
      <c r="G10" s="43">
        <v>155</v>
      </c>
      <c r="H10" s="43">
        <v>4</v>
      </c>
      <c r="I10" s="314">
        <v>404706.5</v>
      </c>
      <c r="J10" s="315">
        <v>55998</v>
      </c>
      <c r="K10" s="189">
        <f>J10/G10</f>
        <v>361.2774193548387</v>
      </c>
      <c r="L10" s="190">
        <f>+I10/J10</f>
        <v>7.227159898567806</v>
      </c>
      <c r="M10" s="191">
        <f>1780127+1212579.5+721829.5+404706.5</f>
        <v>4119242.5</v>
      </c>
      <c r="N10" s="189">
        <f>240776+165120+97288+55998</f>
        <v>559182</v>
      </c>
      <c r="O10" s="215">
        <f>+M10/N10</f>
        <v>7.366550604275531</v>
      </c>
      <c r="P10" s="232"/>
    </row>
    <row r="11" spans="1:16" ht="15">
      <c r="A11" s="91">
        <v>8</v>
      </c>
      <c r="B11" s="55" t="s">
        <v>395</v>
      </c>
      <c r="C11" s="41">
        <v>39402</v>
      </c>
      <c r="D11" s="44" t="s">
        <v>81</v>
      </c>
      <c r="E11" s="44" t="s">
        <v>396</v>
      </c>
      <c r="F11" s="63">
        <v>165</v>
      </c>
      <c r="G11" s="63">
        <v>113</v>
      </c>
      <c r="H11" s="63">
        <v>9</v>
      </c>
      <c r="I11" s="364">
        <v>336718.5</v>
      </c>
      <c r="J11" s="365">
        <v>47008</v>
      </c>
      <c r="K11" s="194">
        <f>IF(I11&lt;&gt;0,J11/G11,"")</f>
        <v>416</v>
      </c>
      <c r="L11" s="195">
        <f>IF(I11&lt;&gt;0,I11/J11,"")</f>
        <v>7.163004169503063</v>
      </c>
      <c r="M11" s="196">
        <f>12736195.5+635116+336718.5</f>
        <v>13708030</v>
      </c>
      <c r="N11" s="189">
        <f>271934+322135+339926+262189+150199+208899+146862+92002+47008</f>
        <v>1841154</v>
      </c>
      <c r="O11" s="216">
        <f>IF(M11&lt;&gt;0,M11/N11,"")</f>
        <v>7.445346777075682</v>
      </c>
      <c r="P11" s="384"/>
    </row>
    <row r="12" spans="1:16" ht="15">
      <c r="A12" s="91">
        <v>9</v>
      </c>
      <c r="B12" s="56" t="s">
        <v>470</v>
      </c>
      <c r="C12" s="42">
        <v>39430</v>
      </c>
      <c r="D12" s="87" t="s">
        <v>42</v>
      </c>
      <c r="E12" s="87" t="s">
        <v>52</v>
      </c>
      <c r="F12" s="43">
        <v>242</v>
      </c>
      <c r="G12" s="43">
        <v>185</v>
      </c>
      <c r="H12" s="43">
        <v>7</v>
      </c>
      <c r="I12" s="314">
        <v>299093</v>
      </c>
      <c r="J12" s="315">
        <v>42918</v>
      </c>
      <c r="K12" s="189">
        <f>J12/G12</f>
        <v>231.98918918918918</v>
      </c>
      <c r="L12" s="190">
        <f>+I12/J12</f>
        <v>6.9689407707721704</v>
      </c>
      <c r="M12" s="191">
        <v>15148054</v>
      </c>
      <c r="N12" s="189">
        <v>1961195</v>
      </c>
      <c r="O12" s="218">
        <f>+M12/N12</f>
        <v>7.7238897712874035</v>
      </c>
      <c r="P12" s="384">
        <v>1</v>
      </c>
    </row>
    <row r="13" spans="1:16" ht="15">
      <c r="A13" s="91">
        <v>10</v>
      </c>
      <c r="B13" s="56" t="s">
        <v>472</v>
      </c>
      <c r="C13" s="42">
        <v>39430</v>
      </c>
      <c r="D13" s="87" t="s">
        <v>42</v>
      </c>
      <c r="E13" s="87" t="s">
        <v>38</v>
      </c>
      <c r="F13" s="43">
        <v>137</v>
      </c>
      <c r="G13" s="43">
        <v>137</v>
      </c>
      <c r="H13" s="43">
        <v>4</v>
      </c>
      <c r="I13" s="358">
        <v>273087</v>
      </c>
      <c r="J13" s="359">
        <v>37482</v>
      </c>
      <c r="K13" s="133">
        <f>J13/G13</f>
        <v>273.59124087591243</v>
      </c>
      <c r="L13" s="134">
        <f>+I13/J13</f>
        <v>7.285817192252281</v>
      </c>
      <c r="M13" s="135">
        <v>3140871</v>
      </c>
      <c r="N13" s="133">
        <v>386657</v>
      </c>
      <c r="O13" s="155">
        <f>+M13/N13</f>
        <v>8.123145320012311</v>
      </c>
      <c r="P13" s="384">
        <v>1</v>
      </c>
    </row>
    <row r="14" spans="1:16" ht="15">
      <c r="A14" s="91">
        <v>11</v>
      </c>
      <c r="B14" s="55" t="s">
        <v>395</v>
      </c>
      <c r="C14" s="41">
        <v>39402</v>
      </c>
      <c r="D14" s="44" t="s">
        <v>81</v>
      </c>
      <c r="E14" s="44" t="s">
        <v>396</v>
      </c>
      <c r="F14" s="63">
        <v>165</v>
      </c>
      <c r="G14" s="63">
        <v>94</v>
      </c>
      <c r="H14" s="63">
        <v>10</v>
      </c>
      <c r="I14" s="364">
        <v>243017</v>
      </c>
      <c r="J14" s="365">
        <v>33955</v>
      </c>
      <c r="K14" s="194">
        <f>IF(I14&lt;&gt;0,J14/G14,"")</f>
        <v>361.22340425531917</v>
      </c>
      <c r="L14" s="195">
        <f>IF(I14&lt;&gt;0,I14/J14,"")</f>
        <v>7.157031365041967</v>
      </c>
      <c r="M14" s="196">
        <f>12736195.5+635116+336718.5+243017</f>
        <v>13951047</v>
      </c>
      <c r="N14" s="189">
        <f>271934+322135+339926+262189+150199+208899+146862+92002+47008+33955</f>
        <v>1875109</v>
      </c>
      <c r="O14" s="216">
        <f>IF(M14&lt;&gt;0,M14/N14,"")</f>
        <v>7.440125880682136</v>
      </c>
      <c r="P14" s="384">
        <v>1</v>
      </c>
    </row>
    <row r="15" spans="1:16" ht="15">
      <c r="A15" s="91">
        <v>12</v>
      </c>
      <c r="B15" s="56" t="s">
        <v>382</v>
      </c>
      <c r="C15" s="41">
        <v>39437</v>
      </c>
      <c r="D15" s="46" t="s">
        <v>43</v>
      </c>
      <c r="E15" s="46" t="s">
        <v>383</v>
      </c>
      <c r="F15" s="63">
        <v>156</v>
      </c>
      <c r="G15" s="43">
        <v>99</v>
      </c>
      <c r="H15" s="43">
        <v>5</v>
      </c>
      <c r="I15" s="314">
        <v>230362.5</v>
      </c>
      <c r="J15" s="315">
        <v>35379</v>
      </c>
      <c r="K15" s="206">
        <f>J15/G15</f>
        <v>357.3636363636364</v>
      </c>
      <c r="L15" s="207">
        <f>I15/J15</f>
        <v>6.5112778767065205</v>
      </c>
      <c r="M15" s="191">
        <f>1780127+1212579.5+721829.5+404706.5+230362.5</f>
        <v>4349605</v>
      </c>
      <c r="N15" s="189">
        <f>240776+165120+97288+55998+35379</f>
        <v>594561</v>
      </c>
      <c r="O15" s="218">
        <f>+M15/N15</f>
        <v>7.315658107410341</v>
      </c>
      <c r="P15" s="384">
        <v>1</v>
      </c>
    </row>
    <row r="16" spans="1:16" ht="15">
      <c r="A16" s="91">
        <v>13</v>
      </c>
      <c r="B16" s="55" t="s">
        <v>395</v>
      </c>
      <c r="C16" s="41">
        <v>39402</v>
      </c>
      <c r="D16" s="44" t="s">
        <v>81</v>
      </c>
      <c r="E16" s="44" t="s">
        <v>396</v>
      </c>
      <c r="F16" s="63">
        <v>165</v>
      </c>
      <c r="G16" s="63">
        <v>66</v>
      </c>
      <c r="H16" s="63">
        <v>11</v>
      </c>
      <c r="I16" s="364">
        <v>121597.5</v>
      </c>
      <c r="J16" s="365">
        <v>17959</v>
      </c>
      <c r="K16" s="194">
        <f>IF(I16&lt;&gt;0,J16/G16,"")</f>
        <v>272.1060606060606</v>
      </c>
      <c r="L16" s="195">
        <f>IF(I16&lt;&gt;0,I16/J16,"")</f>
        <v>6.770839133582048</v>
      </c>
      <c r="M16" s="196">
        <f>12736195.5+635116+336718.5+243017+121597.5</f>
        <v>14072644.5</v>
      </c>
      <c r="N16" s="189">
        <f>271934+322135+339926+262189+150199+208899+146862+92002+47008+33955+17959</f>
        <v>1893068</v>
      </c>
      <c r="O16" s="216">
        <f>IF(M16&lt;&gt;0,M16/N16,"")</f>
        <v>7.4337765468541015</v>
      </c>
      <c r="P16" s="384">
        <v>1</v>
      </c>
    </row>
    <row r="17" spans="1:16" ht="15">
      <c r="A17" s="91">
        <v>14</v>
      </c>
      <c r="B17" s="56" t="s">
        <v>472</v>
      </c>
      <c r="C17" s="42">
        <v>39430</v>
      </c>
      <c r="D17" s="87" t="s">
        <v>42</v>
      </c>
      <c r="E17" s="87" t="s">
        <v>38</v>
      </c>
      <c r="F17" s="43">
        <v>137</v>
      </c>
      <c r="G17" s="43">
        <v>137</v>
      </c>
      <c r="H17" s="43">
        <v>6</v>
      </c>
      <c r="I17" s="314">
        <v>113315</v>
      </c>
      <c r="J17" s="315">
        <v>21121</v>
      </c>
      <c r="K17" s="189">
        <f aca="true" t="shared" si="0" ref="K17:K26">J17/G17</f>
        <v>154.16788321167883</v>
      </c>
      <c r="L17" s="190">
        <f>+I17/J17</f>
        <v>5.365039534112968</v>
      </c>
      <c r="M17" s="191">
        <v>3360487</v>
      </c>
      <c r="N17" s="189">
        <v>424724</v>
      </c>
      <c r="O17" s="215">
        <f>+M17/N17</f>
        <v>7.912166489296578</v>
      </c>
      <c r="P17" s="232">
        <v>1</v>
      </c>
    </row>
    <row r="18" spans="1:16" ht="15">
      <c r="A18" s="91">
        <v>15</v>
      </c>
      <c r="B18" s="55" t="s">
        <v>395</v>
      </c>
      <c r="C18" s="41">
        <v>39402</v>
      </c>
      <c r="D18" s="44" t="s">
        <v>81</v>
      </c>
      <c r="E18" s="44" t="s">
        <v>396</v>
      </c>
      <c r="F18" s="63">
        <v>165</v>
      </c>
      <c r="G18" s="63">
        <v>4</v>
      </c>
      <c r="H18" s="63">
        <v>34</v>
      </c>
      <c r="I18" s="341">
        <v>111672</v>
      </c>
      <c r="J18" s="342">
        <v>37224</v>
      </c>
      <c r="K18" s="206">
        <f t="shared" si="0"/>
        <v>9306</v>
      </c>
      <c r="L18" s="207">
        <f>I18/J18</f>
        <v>3</v>
      </c>
      <c r="M18" s="196">
        <f>14315851.5+0+47739+12410+62922+653+801+2676+111672</f>
        <v>14554724.5</v>
      </c>
      <c r="N18" s="189">
        <f>1937908+0+9548+2520+12584+133+159+535+37224</f>
        <v>2000611</v>
      </c>
      <c r="O18" s="218">
        <f>+M18/N18</f>
        <v>7.275139694823231</v>
      </c>
      <c r="P18" s="232">
        <v>1</v>
      </c>
    </row>
    <row r="19" spans="1:16" ht="15">
      <c r="A19" s="91">
        <v>16</v>
      </c>
      <c r="B19" s="55" t="s">
        <v>517</v>
      </c>
      <c r="C19" s="41">
        <v>39444</v>
      </c>
      <c r="D19" s="45" t="s">
        <v>41</v>
      </c>
      <c r="E19" s="44" t="s">
        <v>52</v>
      </c>
      <c r="F19" s="63">
        <v>60</v>
      </c>
      <c r="G19" s="63">
        <v>60</v>
      </c>
      <c r="H19" s="63">
        <v>2</v>
      </c>
      <c r="I19" s="85">
        <v>90759</v>
      </c>
      <c r="J19" s="93">
        <v>9879</v>
      </c>
      <c r="K19" s="143">
        <f t="shared" si="0"/>
        <v>164.65</v>
      </c>
      <c r="L19" s="144">
        <f>I19/J19</f>
        <v>9.187063467962345</v>
      </c>
      <c r="M19" s="145">
        <f>211429+90759</f>
        <v>302188</v>
      </c>
      <c r="N19" s="146">
        <f>22982+9879</f>
        <v>32861</v>
      </c>
      <c r="O19" s="81">
        <f>+M19/N19</f>
        <v>9.195946562794802</v>
      </c>
      <c r="P19" s="232">
        <v>1</v>
      </c>
    </row>
    <row r="20" spans="1:16" ht="15">
      <c r="A20" s="91">
        <v>17</v>
      </c>
      <c r="B20" s="55" t="s">
        <v>395</v>
      </c>
      <c r="C20" s="41">
        <v>39402</v>
      </c>
      <c r="D20" s="44" t="s">
        <v>81</v>
      </c>
      <c r="E20" s="44" t="s">
        <v>396</v>
      </c>
      <c r="F20" s="63">
        <v>165</v>
      </c>
      <c r="G20" s="63">
        <v>51</v>
      </c>
      <c r="H20" s="63">
        <v>12</v>
      </c>
      <c r="I20" s="192">
        <v>87378</v>
      </c>
      <c r="J20" s="193">
        <v>14849</v>
      </c>
      <c r="K20" s="206">
        <f t="shared" si="0"/>
        <v>291.15686274509807</v>
      </c>
      <c r="L20" s="207">
        <f>I20/J20</f>
        <v>5.884436662401509</v>
      </c>
      <c r="M20" s="196">
        <f>12736195.5+635116+336718.5+243017+121597.5+87378</f>
        <v>14160022.5</v>
      </c>
      <c r="N20" s="189">
        <f>271934+322135+339926+262189+150199+208899+146862+92002+47008+33955+17959+14849</f>
        <v>1907917</v>
      </c>
      <c r="O20" s="216">
        <f>IF(M20&lt;&gt;0,M20/N20,"")</f>
        <v>7.421718292776887</v>
      </c>
      <c r="P20" s="232">
        <v>1</v>
      </c>
    </row>
    <row r="21" spans="1:16" ht="15">
      <c r="A21" s="91">
        <v>18</v>
      </c>
      <c r="B21" s="55" t="s">
        <v>281</v>
      </c>
      <c r="C21" s="41">
        <v>39416</v>
      </c>
      <c r="D21" s="45" t="s">
        <v>41</v>
      </c>
      <c r="E21" s="44" t="s">
        <v>140</v>
      </c>
      <c r="F21" s="63">
        <v>123</v>
      </c>
      <c r="G21" s="63">
        <v>22</v>
      </c>
      <c r="H21" s="63">
        <v>6</v>
      </c>
      <c r="I21" s="85">
        <v>84508</v>
      </c>
      <c r="J21" s="93">
        <v>7913</v>
      </c>
      <c r="K21" s="143">
        <f t="shared" si="0"/>
        <v>359.6818181818182</v>
      </c>
      <c r="L21" s="144">
        <f>I21/J21</f>
        <v>10.679641096929103</v>
      </c>
      <c r="M21" s="145">
        <f>155416+1136619+622980+528056+225392+174199+84508</f>
        <v>2927170</v>
      </c>
      <c r="N21" s="146">
        <f>12079+122083+66530+52286+18245+17821+7913</f>
        <v>296957</v>
      </c>
      <c r="O21" s="81">
        <f aca="true" t="shared" si="1" ref="O21:O26">+M21/N21</f>
        <v>9.857218385153406</v>
      </c>
      <c r="P21" s="232">
        <v>1</v>
      </c>
    </row>
    <row r="22" spans="1:16" ht="15">
      <c r="A22" s="91">
        <v>19</v>
      </c>
      <c r="B22" s="56" t="s">
        <v>384</v>
      </c>
      <c r="C22" s="41">
        <v>39437</v>
      </c>
      <c r="D22" s="87" t="s">
        <v>42</v>
      </c>
      <c r="E22" s="87" t="s">
        <v>45</v>
      </c>
      <c r="F22" s="43">
        <v>105</v>
      </c>
      <c r="G22" s="43">
        <v>105</v>
      </c>
      <c r="H22" s="43">
        <v>3</v>
      </c>
      <c r="I22" s="86">
        <v>82906</v>
      </c>
      <c r="J22" s="95">
        <v>10166</v>
      </c>
      <c r="K22" s="133">
        <f t="shared" si="0"/>
        <v>96.81904761904762</v>
      </c>
      <c r="L22" s="134">
        <f>+I22/J22</f>
        <v>8.15522329333071</v>
      </c>
      <c r="M22" s="135">
        <v>702583</v>
      </c>
      <c r="N22" s="133">
        <v>80340</v>
      </c>
      <c r="O22" s="155">
        <f t="shared" si="1"/>
        <v>8.74512073686831</v>
      </c>
      <c r="P22" s="232">
        <v>1</v>
      </c>
    </row>
    <row r="23" spans="1:16" ht="15">
      <c r="A23" s="91">
        <v>20</v>
      </c>
      <c r="B23" s="56" t="s">
        <v>470</v>
      </c>
      <c r="C23" s="42">
        <v>39430</v>
      </c>
      <c r="D23" s="87" t="s">
        <v>42</v>
      </c>
      <c r="E23" s="87" t="s">
        <v>334</v>
      </c>
      <c r="F23" s="43">
        <v>242</v>
      </c>
      <c r="G23" s="43">
        <v>48</v>
      </c>
      <c r="H23" s="43">
        <v>8</v>
      </c>
      <c r="I23" s="187">
        <v>81048</v>
      </c>
      <c r="J23" s="188">
        <v>12858</v>
      </c>
      <c r="K23" s="189">
        <f t="shared" si="0"/>
        <v>267.875</v>
      </c>
      <c r="L23" s="190">
        <f>+I23/J23</f>
        <v>6.303313112459169</v>
      </c>
      <c r="M23" s="191">
        <v>15229102</v>
      </c>
      <c r="N23" s="189">
        <v>1974053</v>
      </c>
      <c r="O23" s="215">
        <f t="shared" si="1"/>
        <v>7.714636841057459</v>
      </c>
      <c r="P23" s="232">
        <v>1</v>
      </c>
    </row>
    <row r="24" spans="1:16" ht="15">
      <c r="A24" s="91">
        <v>21</v>
      </c>
      <c r="B24" s="57" t="s">
        <v>473</v>
      </c>
      <c r="C24" s="41">
        <v>39430</v>
      </c>
      <c r="D24" s="47" t="s">
        <v>432</v>
      </c>
      <c r="E24" s="47" t="s">
        <v>519</v>
      </c>
      <c r="F24" s="64" t="s">
        <v>474</v>
      </c>
      <c r="G24" s="64" t="s">
        <v>274</v>
      </c>
      <c r="H24" s="64" t="s">
        <v>436</v>
      </c>
      <c r="I24" s="85">
        <v>78213.2</v>
      </c>
      <c r="J24" s="93">
        <v>12336</v>
      </c>
      <c r="K24" s="143">
        <f t="shared" si="0"/>
        <v>342.6666666666667</v>
      </c>
      <c r="L24" s="144">
        <f>I24/J24</f>
        <v>6.340239948119326</v>
      </c>
      <c r="M24" s="145">
        <v>1212794.44</v>
      </c>
      <c r="N24" s="146">
        <v>153930</v>
      </c>
      <c r="O24" s="81">
        <f t="shared" si="1"/>
        <v>7.8788698759176246</v>
      </c>
      <c r="P24" s="232"/>
    </row>
    <row r="25" spans="1:16" ht="15">
      <c r="A25" s="91">
        <v>22</v>
      </c>
      <c r="B25" s="56" t="s">
        <v>472</v>
      </c>
      <c r="C25" s="42">
        <v>39430</v>
      </c>
      <c r="D25" s="87" t="s">
        <v>42</v>
      </c>
      <c r="E25" s="87" t="s">
        <v>38</v>
      </c>
      <c r="F25" s="43">
        <v>137</v>
      </c>
      <c r="G25" s="43">
        <v>137</v>
      </c>
      <c r="H25" s="43">
        <v>7</v>
      </c>
      <c r="I25" s="187">
        <v>76083</v>
      </c>
      <c r="J25" s="188">
        <v>13888</v>
      </c>
      <c r="K25" s="189">
        <f t="shared" si="0"/>
        <v>101.37226277372262</v>
      </c>
      <c r="L25" s="190">
        <f>+I25/J25</f>
        <v>5.478326612903226</v>
      </c>
      <c r="M25" s="191">
        <v>3436598</v>
      </c>
      <c r="N25" s="189">
        <v>438616</v>
      </c>
      <c r="O25" s="218">
        <f t="shared" si="1"/>
        <v>7.835094934977292</v>
      </c>
      <c r="P25" s="232"/>
    </row>
    <row r="26" spans="1:16" ht="15">
      <c r="A26" s="91">
        <v>23</v>
      </c>
      <c r="B26" s="57" t="s">
        <v>295</v>
      </c>
      <c r="C26" s="42">
        <v>39444</v>
      </c>
      <c r="D26" s="47" t="s">
        <v>425</v>
      </c>
      <c r="E26" s="47" t="s">
        <v>513</v>
      </c>
      <c r="F26" s="88">
        <v>25</v>
      </c>
      <c r="G26" s="89">
        <v>23</v>
      </c>
      <c r="H26" s="88">
        <v>2</v>
      </c>
      <c r="I26" s="85">
        <v>65035.5</v>
      </c>
      <c r="J26" s="93">
        <v>6458</v>
      </c>
      <c r="K26" s="143">
        <f t="shared" si="0"/>
        <v>280.7826086956522</v>
      </c>
      <c r="L26" s="144">
        <f>I26/J26</f>
        <v>10.070532672654073</v>
      </c>
      <c r="M26" s="145">
        <v>230495.75</v>
      </c>
      <c r="N26" s="146">
        <v>22538</v>
      </c>
      <c r="O26" s="81">
        <f t="shared" si="1"/>
        <v>10.226983317064514</v>
      </c>
      <c r="P26" s="232"/>
    </row>
    <row r="27" spans="1:16" ht="15">
      <c r="A27" s="91">
        <v>24</v>
      </c>
      <c r="B27" s="330" t="s">
        <v>395</v>
      </c>
      <c r="C27" s="323">
        <v>39402</v>
      </c>
      <c r="D27" s="322" t="s">
        <v>81</v>
      </c>
      <c r="E27" s="322" t="s">
        <v>396</v>
      </c>
      <c r="F27" s="324">
        <v>165</v>
      </c>
      <c r="G27" s="324">
        <v>10</v>
      </c>
      <c r="H27" s="324">
        <v>29</v>
      </c>
      <c r="I27" s="325">
        <v>62922</v>
      </c>
      <c r="J27" s="326">
        <v>12584</v>
      </c>
      <c r="K27" s="327">
        <f>IF(I27&lt;&gt;0,J27/G27,"")</f>
        <v>1258.4</v>
      </c>
      <c r="L27" s="328">
        <f>IF(I27&lt;&gt;0,I27/J27,"")</f>
        <v>5.000158931977114</v>
      </c>
      <c r="M27" s="329">
        <f>14315851.5+0+47739+12410+62922</f>
        <v>14438922.5</v>
      </c>
      <c r="N27" s="327">
        <f>1937908+0+9548+2520+12584</f>
        <v>1962560</v>
      </c>
      <c r="O27" s="331">
        <f>IF(M27&lt;&gt;0,M27/N27,"")</f>
        <v>7.357187805723137</v>
      </c>
      <c r="P27" s="232"/>
    </row>
    <row r="28" spans="1:16" ht="15">
      <c r="A28" s="91">
        <v>25</v>
      </c>
      <c r="B28" s="56" t="s">
        <v>472</v>
      </c>
      <c r="C28" s="42">
        <v>39430</v>
      </c>
      <c r="D28" s="87" t="s">
        <v>42</v>
      </c>
      <c r="E28" s="87" t="s">
        <v>38</v>
      </c>
      <c r="F28" s="43">
        <v>137</v>
      </c>
      <c r="G28" s="43">
        <v>44</v>
      </c>
      <c r="H28" s="43">
        <v>8</v>
      </c>
      <c r="I28" s="187">
        <v>61775</v>
      </c>
      <c r="J28" s="188">
        <v>10119</v>
      </c>
      <c r="K28" s="189">
        <f>J28/G28</f>
        <v>229.97727272727272</v>
      </c>
      <c r="L28" s="190">
        <f>+I28/J28</f>
        <v>6.104852258128274</v>
      </c>
      <c r="M28" s="191">
        <v>3497597</v>
      </c>
      <c r="N28" s="189">
        <v>448735</v>
      </c>
      <c r="O28" s="215">
        <f>+M28/N28</f>
        <v>7.794348557611953</v>
      </c>
      <c r="P28" s="232">
        <v>1</v>
      </c>
    </row>
    <row r="29" spans="1:16" ht="15">
      <c r="A29" s="91">
        <v>26</v>
      </c>
      <c r="B29" s="55" t="s">
        <v>281</v>
      </c>
      <c r="C29" s="41">
        <v>39416</v>
      </c>
      <c r="D29" s="45" t="s">
        <v>41</v>
      </c>
      <c r="E29" s="44" t="s">
        <v>140</v>
      </c>
      <c r="F29" s="63">
        <v>123</v>
      </c>
      <c r="G29" s="63">
        <v>13</v>
      </c>
      <c r="H29" s="63">
        <v>7</v>
      </c>
      <c r="I29" s="197">
        <v>58425</v>
      </c>
      <c r="J29" s="198">
        <v>4333</v>
      </c>
      <c r="K29" s="206">
        <f>J29/G29</f>
        <v>333.3076923076923</v>
      </c>
      <c r="L29" s="207">
        <f>I29/J29</f>
        <v>13.483729517655204</v>
      </c>
      <c r="M29" s="199">
        <f>155416+1136619+622980+528056+225392+174199+84508+58425</f>
        <v>2985595</v>
      </c>
      <c r="N29" s="200">
        <f>12079+122083+66530+52286+18245+17821+7913+4333</f>
        <v>301290</v>
      </c>
      <c r="O29" s="218">
        <f>+M29/N29</f>
        <v>9.909373029307313</v>
      </c>
      <c r="P29" s="232">
        <v>1</v>
      </c>
    </row>
    <row r="30" spans="1:16" ht="15">
      <c r="A30" s="91">
        <v>27</v>
      </c>
      <c r="B30" s="56" t="s">
        <v>382</v>
      </c>
      <c r="C30" s="41">
        <v>39437</v>
      </c>
      <c r="D30" s="46" t="s">
        <v>43</v>
      </c>
      <c r="E30" s="46" t="s">
        <v>383</v>
      </c>
      <c r="F30" s="43">
        <v>156</v>
      </c>
      <c r="G30" s="43">
        <v>35</v>
      </c>
      <c r="H30" s="43">
        <v>6</v>
      </c>
      <c r="I30" s="187">
        <v>56484.5</v>
      </c>
      <c r="J30" s="188">
        <v>10296</v>
      </c>
      <c r="K30" s="206">
        <f>J30/G30</f>
        <v>294.1714285714286</v>
      </c>
      <c r="L30" s="207">
        <f>I30/J30</f>
        <v>5.486062548562549</v>
      </c>
      <c r="M30" s="191">
        <f>1780127+1212579.5+721829.5+404706.5+230406+56484.5</f>
        <v>4406133</v>
      </c>
      <c r="N30" s="189">
        <f>240776+165120+97288+55998+35394+10296</f>
        <v>604872</v>
      </c>
      <c r="O30" s="217">
        <f>M30/N30</f>
        <v>7.284405626314328</v>
      </c>
      <c r="P30" s="232"/>
    </row>
    <row r="31" spans="1:16" ht="15">
      <c r="A31" s="91">
        <v>28</v>
      </c>
      <c r="B31" s="57" t="s">
        <v>518</v>
      </c>
      <c r="C31" s="41">
        <v>39444</v>
      </c>
      <c r="D31" s="47" t="s">
        <v>468</v>
      </c>
      <c r="E31" s="47" t="s">
        <v>468</v>
      </c>
      <c r="F31" s="58">
        <v>14</v>
      </c>
      <c r="G31" s="58">
        <v>14</v>
      </c>
      <c r="H31" s="58">
        <v>2</v>
      </c>
      <c r="I31" s="85">
        <v>51922</v>
      </c>
      <c r="J31" s="93">
        <v>4660</v>
      </c>
      <c r="K31" s="136">
        <f>+J31/G31</f>
        <v>332.85714285714283</v>
      </c>
      <c r="L31" s="137">
        <f>+I31/J31</f>
        <v>11.14206008583691</v>
      </c>
      <c r="M31" s="145">
        <v>203381</v>
      </c>
      <c r="N31" s="146">
        <v>18712</v>
      </c>
      <c r="O31" s="156">
        <f>+M31/N31</f>
        <v>10.86901453612655</v>
      </c>
      <c r="P31" s="232">
        <v>1</v>
      </c>
    </row>
    <row r="32" spans="1:16" ht="15">
      <c r="A32" s="91">
        <v>29</v>
      </c>
      <c r="B32" s="330" t="s">
        <v>395</v>
      </c>
      <c r="C32" s="323">
        <v>39402</v>
      </c>
      <c r="D32" s="322" t="s">
        <v>81</v>
      </c>
      <c r="E32" s="322" t="s">
        <v>396</v>
      </c>
      <c r="F32" s="324">
        <v>165</v>
      </c>
      <c r="G32" s="324">
        <v>93</v>
      </c>
      <c r="H32" s="324">
        <v>27</v>
      </c>
      <c r="I32" s="325">
        <v>47739</v>
      </c>
      <c r="J32" s="326">
        <v>9548</v>
      </c>
      <c r="K32" s="327">
        <f>IF(I32&lt;&gt;0,J32/G32,"")</f>
        <v>102.66666666666667</v>
      </c>
      <c r="L32" s="328">
        <f>I32/J32</f>
        <v>4.999895266024298</v>
      </c>
      <c r="M32" s="329">
        <f>14315851.5+0+47739</f>
        <v>14363590.5</v>
      </c>
      <c r="N32" s="327">
        <f>1937908+0+9548</f>
        <v>1947456</v>
      </c>
      <c r="O32" s="331">
        <f>+M32/N32</f>
        <v>7.375566123188406</v>
      </c>
      <c r="P32" s="232"/>
    </row>
    <row r="33" spans="1:16" ht="15">
      <c r="A33" s="91">
        <v>30</v>
      </c>
      <c r="B33" s="56" t="s">
        <v>382</v>
      </c>
      <c r="C33" s="41">
        <v>39437</v>
      </c>
      <c r="D33" s="46" t="s">
        <v>43</v>
      </c>
      <c r="E33" s="46" t="s">
        <v>383</v>
      </c>
      <c r="F33" s="43">
        <v>156</v>
      </c>
      <c r="G33" s="43">
        <v>24</v>
      </c>
      <c r="H33" s="43">
        <v>7</v>
      </c>
      <c r="I33" s="187">
        <v>45824</v>
      </c>
      <c r="J33" s="188">
        <v>9476</v>
      </c>
      <c r="K33" s="206">
        <f>J33/G33</f>
        <v>394.8333333333333</v>
      </c>
      <c r="L33" s="207">
        <f>I33/J33</f>
        <v>4.8357956943858165</v>
      </c>
      <c r="M33" s="191">
        <f>1780127+1212579.5+721829.5+404706.5+230406+56484.5+45824</f>
        <v>4451957</v>
      </c>
      <c r="N33" s="189">
        <f>240776+165120+97288+55998+35394+10296+9476</f>
        <v>614348</v>
      </c>
      <c r="O33" s="217">
        <f>M33/N33</f>
        <v>7.246637085169969</v>
      </c>
      <c r="P33" s="232"/>
    </row>
    <row r="34" spans="1:16" ht="15">
      <c r="A34" s="91">
        <v>31</v>
      </c>
      <c r="B34" s="55" t="s">
        <v>469</v>
      </c>
      <c r="C34" s="41">
        <v>39423</v>
      </c>
      <c r="D34" s="44" t="s">
        <v>81</v>
      </c>
      <c r="E34" s="44" t="s">
        <v>290</v>
      </c>
      <c r="F34" s="63">
        <v>164</v>
      </c>
      <c r="G34" s="63">
        <v>66</v>
      </c>
      <c r="H34" s="63">
        <v>5</v>
      </c>
      <c r="I34" s="94">
        <v>45815.5</v>
      </c>
      <c r="J34" s="116">
        <v>8243</v>
      </c>
      <c r="K34" s="136">
        <f>IF(I34&lt;&gt;0,J34/G34,"")</f>
        <v>124.89393939393939</v>
      </c>
      <c r="L34" s="137">
        <f>IF(I34&lt;&gt;0,I34/J34,"")</f>
        <v>5.55810991144001</v>
      </c>
      <c r="M34" s="138">
        <f>1455428+896564.5+785700+295594.5+45815.5</f>
        <v>3479102.5</v>
      </c>
      <c r="N34" s="133">
        <f>172176+105411+97548+39201+8243</f>
        <v>422579</v>
      </c>
      <c r="O34" s="156">
        <f>IF(M34&lt;&gt;0,M34/N34,"")</f>
        <v>8.233022701080746</v>
      </c>
      <c r="P34" s="232"/>
    </row>
    <row r="35" spans="1:16" ht="15">
      <c r="A35" s="91">
        <v>32</v>
      </c>
      <c r="B35" s="55" t="s">
        <v>252</v>
      </c>
      <c r="C35" s="41">
        <v>39437</v>
      </c>
      <c r="D35" s="45" t="s">
        <v>41</v>
      </c>
      <c r="E35" s="44" t="s">
        <v>551</v>
      </c>
      <c r="F35" s="63">
        <v>49</v>
      </c>
      <c r="G35" s="63">
        <v>41</v>
      </c>
      <c r="H35" s="63">
        <v>3</v>
      </c>
      <c r="I35" s="85">
        <v>36636</v>
      </c>
      <c r="J35" s="93">
        <v>4109</v>
      </c>
      <c r="K35" s="143">
        <f>J35/G35</f>
        <v>100.21951219512195</v>
      </c>
      <c r="L35" s="144">
        <f>I35/J35</f>
        <v>8.916037965441713</v>
      </c>
      <c r="M35" s="145">
        <f>265356+150950+36636</f>
        <v>452942</v>
      </c>
      <c r="N35" s="146">
        <f>28419+15898+4109</f>
        <v>48426</v>
      </c>
      <c r="O35" s="81">
        <f>+M35/N35</f>
        <v>9.353281295172016</v>
      </c>
      <c r="P35" s="232"/>
    </row>
    <row r="36" spans="1:16" ht="15">
      <c r="A36" s="91">
        <v>33</v>
      </c>
      <c r="B36" s="56" t="s">
        <v>395</v>
      </c>
      <c r="C36" s="41">
        <v>39402</v>
      </c>
      <c r="D36" s="46" t="s">
        <v>81</v>
      </c>
      <c r="E36" s="46" t="s">
        <v>396</v>
      </c>
      <c r="F36" s="43">
        <v>165</v>
      </c>
      <c r="G36" s="43">
        <v>6</v>
      </c>
      <c r="H36" s="43">
        <v>18</v>
      </c>
      <c r="I36" s="86">
        <v>34768</v>
      </c>
      <c r="J36" s="188">
        <v>7140</v>
      </c>
      <c r="K36" s="206">
        <f>IF(I36&lt;&gt;0,J36/G36,"")</f>
        <v>1190</v>
      </c>
      <c r="L36" s="207">
        <f>IF(I36&lt;&gt;0,I36/J36,"")</f>
        <v>4.8694677871148455</v>
      </c>
      <c r="M36" s="135">
        <f>12736195.5+635116+336718.5+243017+121597.5+87378+27897.5+22169+10074+11918+6458+34768</f>
        <v>14273307</v>
      </c>
      <c r="N36" s="189">
        <f>271934+322135+339926+262189+150199+208899+146862+92002+47008+33955+17959+14849+4943+4284+1914+2027+1272+7140</f>
        <v>1929497</v>
      </c>
      <c r="O36" s="218">
        <f>IF(M36&lt;&gt;0,M36/N36,"")</f>
        <v>7.397423784540738</v>
      </c>
      <c r="P36" s="232">
        <v>1</v>
      </c>
    </row>
    <row r="37" spans="1:16" ht="15">
      <c r="A37" s="91">
        <v>34</v>
      </c>
      <c r="B37" s="55" t="s">
        <v>281</v>
      </c>
      <c r="C37" s="41">
        <v>39416</v>
      </c>
      <c r="D37" s="45" t="s">
        <v>41</v>
      </c>
      <c r="E37" s="44" t="s">
        <v>140</v>
      </c>
      <c r="F37" s="63">
        <v>123</v>
      </c>
      <c r="G37" s="63">
        <v>9</v>
      </c>
      <c r="H37" s="63">
        <v>8</v>
      </c>
      <c r="I37" s="197">
        <v>34257</v>
      </c>
      <c r="J37" s="198">
        <v>2998</v>
      </c>
      <c r="K37" s="206">
        <f>J37/G37</f>
        <v>333.1111111111111</v>
      </c>
      <c r="L37" s="207">
        <f>I37/J37</f>
        <v>11.426617745163442</v>
      </c>
      <c r="M37" s="199">
        <f>155416+1136619+622980+528056+225392+174199+84508+58425+34257</f>
        <v>3019852</v>
      </c>
      <c r="N37" s="200">
        <f>12079+122083+66530+52286+18245+17821+7913+4333+2998</f>
        <v>304288</v>
      </c>
      <c r="O37" s="218">
        <f>+M37/N37</f>
        <v>9.924321695236092</v>
      </c>
      <c r="P37" s="232">
        <v>1</v>
      </c>
    </row>
    <row r="38" spans="1:16" ht="15">
      <c r="A38" s="91">
        <v>35</v>
      </c>
      <c r="B38" s="56" t="s">
        <v>466</v>
      </c>
      <c r="C38" s="42">
        <v>39423</v>
      </c>
      <c r="D38" s="46" t="s">
        <v>43</v>
      </c>
      <c r="E38" s="46" t="s">
        <v>44</v>
      </c>
      <c r="F38" s="43">
        <v>40</v>
      </c>
      <c r="G38" s="43">
        <v>28</v>
      </c>
      <c r="H38" s="43">
        <v>5</v>
      </c>
      <c r="I38" s="86">
        <v>31631.5</v>
      </c>
      <c r="J38" s="95">
        <v>5745</v>
      </c>
      <c r="K38" s="136">
        <f>IF(I38&lt;&gt;0,J38/G38,"")</f>
        <v>205.17857142857142</v>
      </c>
      <c r="L38" s="137">
        <f>IF(I38&lt;&gt;0,I38/J38,"")</f>
        <v>5.5059181897302</v>
      </c>
      <c r="M38" s="135">
        <f>337397.5+246059+95618.5+43492.5+31631.5</f>
        <v>754199</v>
      </c>
      <c r="N38" s="133">
        <f>35596+24953+11024+7059+5745</f>
        <v>84377</v>
      </c>
      <c r="O38" s="156">
        <f>IF(M38&lt;&gt;0,M38/N38,"")</f>
        <v>8.938442940611779</v>
      </c>
      <c r="P38" s="232"/>
    </row>
    <row r="39" spans="1:16" ht="15">
      <c r="A39" s="91">
        <v>36</v>
      </c>
      <c r="B39" s="56" t="s">
        <v>398</v>
      </c>
      <c r="C39" s="42">
        <v>39402</v>
      </c>
      <c r="D39" s="46" t="s">
        <v>43</v>
      </c>
      <c r="E39" s="46" t="s">
        <v>467</v>
      </c>
      <c r="F39" s="43">
        <v>125</v>
      </c>
      <c r="G39" s="43">
        <v>13</v>
      </c>
      <c r="H39" s="43">
        <v>8</v>
      </c>
      <c r="I39" s="86">
        <v>29355.5</v>
      </c>
      <c r="J39" s="95">
        <v>5300</v>
      </c>
      <c r="K39" s="136">
        <f>IF(I39&lt;&gt;0,J39/G39,"")</f>
        <v>407.6923076923077</v>
      </c>
      <c r="L39" s="137">
        <f>IF(I39&lt;&gt;0,I39/J39,"")</f>
        <v>5.538773584905661</v>
      </c>
      <c r="M39" s="135">
        <f>676439.5+554539.5+408532.5+265092+4+63975.5-30+36417+32233.5+29355.5</f>
        <v>2066559</v>
      </c>
      <c r="N39" s="133">
        <f>91933+76364+57186+39863+2+10711+6714+6020+5300</f>
        <v>294093</v>
      </c>
      <c r="O39" s="156">
        <f>IF(M39&lt;&gt;0,M39/N39,"")</f>
        <v>7.02688945333619</v>
      </c>
      <c r="P39" s="232">
        <v>1</v>
      </c>
    </row>
    <row r="40" spans="1:16" ht="15">
      <c r="A40" s="91">
        <v>37</v>
      </c>
      <c r="B40" s="247" t="s">
        <v>470</v>
      </c>
      <c r="C40" s="42">
        <v>39430</v>
      </c>
      <c r="D40" s="239" t="s">
        <v>42</v>
      </c>
      <c r="E40" s="239" t="s">
        <v>218</v>
      </c>
      <c r="F40" s="240">
        <v>242</v>
      </c>
      <c r="G40" s="240">
        <v>31</v>
      </c>
      <c r="H40" s="240">
        <v>9</v>
      </c>
      <c r="I40" s="187">
        <v>28436</v>
      </c>
      <c r="J40" s="188">
        <v>4979</v>
      </c>
      <c r="K40" s="189">
        <f>J40/G40</f>
        <v>160.61290322580646</v>
      </c>
      <c r="L40" s="190">
        <f>+I40/J40</f>
        <v>5.711186985338421</v>
      </c>
      <c r="M40" s="191">
        <v>15257538</v>
      </c>
      <c r="N40" s="189">
        <v>1979032</v>
      </c>
      <c r="O40" s="215">
        <f>+M40/N40</f>
        <v>7.709596408749328</v>
      </c>
      <c r="P40" s="232">
        <v>1</v>
      </c>
    </row>
    <row r="41" spans="1:16" ht="15">
      <c r="A41" s="91">
        <v>38</v>
      </c>
      <c r="B41" s="55" t="s">
        <v>395</v>
      </c>
      <c r="C41" s="41">
        <v>39402</v>
      </c>
      <c r="D41" s="44" t="s">
        <v>81</v>
      </c>
      <c r="E41" s="44" t="s">
        <v>60</v>
      </c>
      <c r="F41" s="63">
        <v>165</v>
      </c>
      <c r="G41" s="63">
        <v>31</v>
      </c>
      <c r="H41" s="63">
        <v>13</v>
      </c>
      <c r="I41" s="94">
        <v>27897.5</v>
      </c>
      <c r="J41" s="116">
        <v>4943</v>
      </c>
      <c r="K41" s="136">
        <f>IF(I41&lt;&gt;0,J41/G41,"")</f>
        <v>159.4516129032258</v>
      </c>
      <c r="L41" s="195">
        <f>IF(I41&lt;&gt;0,I41/J41,"")</f>
        <v>5.643839773416953</v>
      </c>
      <c r="M41" s="138">
        <f>12736195.5+635116+336718.5+243017+121597.5+87378+27897.5</f>
        <v>14187920</v>
      </c>
      <c r="N41" s="133">
        <f>271934+322135+339926+262189+150199+208899+146862+92002+47008+33955+17959+14849+4943</f>
        <v>1912860</v>
      </c>
      <c r="O41" s="216">
        <f>IF(M41&lt;&gt;0,M41/N41,"")</f>
        <v>7.417124096902021</v>
      </c>
      <c r="P41" s="232"/>
    </row>
    <row r="42" spans="1:16" ht="15">
      <c r="A42" s="91">
        <v>39</v>
      </c>
      <c r="B42" s="55" t="s">
        <v>395</v>
      </c>
      <c r="C42" s="41">
        <v>39402</v>
      </c>
      <c r="D42" s="44" t="s">
        <v>81</v>
      </c>
      <c r="E42" s="44" t="s">
        <v>396</v>
      </c>
      <c r="F42" s="63">
        <v>165</v>
      </c>
      <c r="G42" s="63">
        <v>4</v>
      </c>
      <c r="H42" s="63">
        <v>35</v>
      </c>
      <c r="I42" s="196">
        <v>24948</v>
      </c>
      <c r="J42" s="206">
        <v>8316</v>
      </c>
      <c r="K42" s="211">
        <f>J42/G42</f>
        <v>2079</v>
      </c>
      <c r="L42" s="212">
        <f>I42/J42</f>
        <v>3</v>
      </c>
      <c r="M42" s="196">
        <f>14315851.5+0+47739+12410+62922+653+801+2676+111672+24948</f>
        <v>14579672.5</v>
      </c>
      <c r="N42" s="189">
        <f>1937908+0+9548+2520+12584+133+159+535+37224+8316</f>
        <v>2008927</v>
      </c>
      <c r="O42" s="219">
        <f>M42/N42</f>
        <v>7.257442654710699</v>
      </c>
      <c r="P42" s="232">
        <v>1</v>
      </c>
    </row>
    <row r="43" spans="1:16" ht="15">
      <c r="A43" s="91">
        <v>40</v>
      </c>
      <c r="B43" s="56" t="s">
        <v>475</v>
      </c>
      <c r="C43" s="42">
        <v>39430</v>
      </c>
      <c r="D43" s="46" t="s">
        <v>43</v>
      </c>
      <c r="E43" s="46" t="s">
        <v>44</v>
      </c>
      <c r="F43" s="63">
        <v>64</v>
      </c>
      <c r="G43" s="43">
        <v>44</v>
      </c>
      <c r="H43" s="43">
        <v>4</v>
      </c>
      <c r="I43" s="86">
        <v>23763.5</v>
      </c>
      <c r="J43" s="95">
        <v>4128</v>
      </c>
      <c r="K43" s="136">
        <f>IF(I43&lt;&gt;0,J43/G43,"")</f>
        <v>93.81818181818181</v>
      </c>
      <c r="L43" s="137">
        <f>IF(I43&lt;&gt;0,I43/J43,"")</f>
        <v>5.756661821705427</v>
      </c>
      <c r="M43" s="135">
        <f>183581+192120.5+67824+23763.5</f>
        <v>467289</v>
      </c>
      <c r="N43" s="133">
        <f>20071+21989+8620+4128</f>
        <v>54808</v>
      </c>
      <c r="O43" s="156">
        <f>IF(M43&lt;&gt;0,M43/N43,"")</f>
        <v>8.52592687198949</v>
      </c>
      <c r="P43" s="232">
        <v>1</v>
      </c>
    </row>
    <row r="44" spans="1:16" ht="15">
      <c r="A44" s="91">
        <v>41</v>
      </c>
      <c r="B44" s="247" t="s">
        <v>472</v>
      </c>
      <c r="C44" s="42">
        <v>39430</v>
      </c>
      <c r="D44" s="239" t="s">
        <v>42</v>
      </c>
      <c r="E44" s="239" t="s">
        <v>38</v>
      </c>
      <c r="F44" s="240">
        <v>137</v>
      </c>
      <c r="G44" s="240">
        <v>35</v>
      </c>
      <c r="H44" s="240">
        <v>9</v>
      </c>
      <c r="I44" s="187">
        <v>23198</v>
      </c>
      <c r="J44" s="188">
        <v>3833</v>
      </c>
      <c r="K44" s="189">
        <f>J44/G44</f>
        <v>109.51428571428572</v>
      </c>
      <c r="L44" s="190">
        <f>+I44/J44</f>
        <v>6.052178450300026</v>
      </c>
      <c r="M44" s="191">
        <v>3520795</v>
      </c>
      <c r="N44" s="189">
        <v>452568</v>
      </c>
      <c r="O44" s="215">
        <f>+M44/N44</f>
        <v>7.779593342878861</v>
      </c>
      <c r="P44" s="232"/>
    </row>
    <row r="45" spans="1:16" ht="15">
      <c r="A45" s="91">
        <v>42</v>
      </c>
      <c r="B45" s="57" t="s">
        <v>385</v>
      </c>
      <c r="C45" s="41">
        <v>39437</v>
      </c>
      <c r="D45" s="48" t="s">
        <v>48</v>
      </c>
      <c r="E45" s="48" t="s">
        <v>426</v>
      </c>
      <c r="F45" s="76">
        <v>17</v>
      </c>
      <c r="G45" s="76">
        <v>17</v>
      </c>
      <c r="H45" s="76">
        <v>3</v>
      </c>
      <c r="I45" s="96">
        <v>22482</v>
      </c>
      <c r="J45" s="97">
        <v>2440</v>
      </c>
      <c r="K45" s="147">
        <f>J45/G45</f>
        <v>143.52941176470588</v>
      </c>
      <c r="L45" s="148">
        <f>I45/J45</f>
        <v>9.213934426229509</v>
      </c>
      <c r="M45" s="149">
        <v>270743</v>
      </c>
      <c r="N45" s="147">
        <v>25328</v>
      </c>
      <c r="O45" s="158">
        <f>M45/N45</f>
        <v>10.689474099810486</v>
      </c>
      <c r="P45" s="232">
        <v>1</v>
      </c>
    </row>
    <row r="46" spans="1:16" ht="15">
      <c r="A46" s="91">
        <v>43</v>
      </c>
      <c r="B46" s="55" t="s">
        <v>395</v>
      </c>
      <c r="C46" s="41">
        <v>39402</v>
      </c>
      <c r="D46" s="44" t="s">
        <v>81</v>
      </c>
      <c r="E46" s="44" t="s">
        <v>396</v>
      </c>
      <c r="F46" s="63">
        <v>165</v>
      </c>
      <c r="G46" s="63">
        <v>22</v>
      </c>
      <c r="H46" s="63">
        <v>14</v>
      </c>
      <c r="I46" s="192">
        <v>22169</v>
      </c>
      <c r="J46" s="193">
        <v>4284</v>
      </c>
      <c r="K46" s="206">
        <f>J46/G46</f>
        <v>194.72727272727272</v>
      </c>
      <c r="L46" s="137">
        <f>IF(I46&lt;&gt;0,I46/J46,"")</f>
        <v>5.17483660130719</v>
      </c>
      <c r="M46" s="196">
        <f>12736195.5+635116+336718.5+243017+121597.5+87378+27897.5+22169</f>
        <v>14210089</v>
      </c>
      <c r="N46" s="189">
        <f>271934+322135+339926+262189+150199+208899+146862+92002+47008+33955+17959+14849+4943+4284</f>
        <v>1917144</v>
      </c>
      <c r="O46" s="81">
        <f>+M46/N46</f>
        <v>7.412113539723673</v>
      </c>
      <c r="P46" s="232">
        <v>1</v>
      </c>
    </row>
    <row r="47" spans="1:16" ht="15">
      <c r="A47" s="91">
        <v>44</v>
      </c>
      <c r="B47" s="56" t="s">
        <v>475</v>
      </c>
      <c r="C47" s="42">
        <v>39430</v>
      </c>
      <c r="D47" s="46" t="s">
        <v>43</v>
      </c>
      <c r="E47" s="46" t="s">
        <v>44</v>
      </c>
      <c r="F47" s="63">
        <v>64</v>
      </c>
      <c r="G47" s="43">
        <v>26</v>
      </c>
      <c r="H47" s="43">
        <v>7</v>
      </c>
      <c r="I47" s="187">
        <v>22027</v>
      </c>
      <c r="J47" s="188">
        <v>3719</v>
      </c>
      <c r="K47" s="206">
        <f>J47/G47</f>
        <v>143.03846153846155</v>
      </c>
      <c r="L47" s="207">
        <f>I47/J47</f>
        <v>5.92282871739715</v>
      </c>
      <c r="M47" s="191">
        <f>183581+192120.5+67824+23763.5+5798.5+5467+22027</f>
        <v>500581.5</v>
      </c>
      <c r="N47" s="189">
        <f>20071+21989+8620+4128+850+1010+3719</f>
        <v>60387</v>
      </c>
      <c r="O47" s="217">
        <f>M47/N47</f>
        <v>8.289557355059864</v>
      </c>
      <c r="P47" s="232"/>
    </row>
    <row r="48" spans="1:16" ht="15">
      <c r="A48" s="91">
        <v>45</v>
      </c>
      <c r="B48" s="57" t="s">
        <v>295</v>
      </c>
      <c r="C48" s="42">
        <v>39444</v>
      </c>
      <c r="D48" s="47" t="s">
        <v>425</v>
      </c>
      <c r="E48" s="47" t="s">
        <v>513</v>
      </c>
      <c r="F48" s="88">
        <v>25</v>
      </c>
      <c r="G48" s="89">
        <v>11</v>
      </c>
      <c r="H48" s="88">
        <v>3</v>
      </c>
      <c r="I48" s="197">
        <v>21107</v>
      </c>
      <c r="J48" s="198">
        <v>2398</v>
      </c>
      <c r="K48" s="206">
        <f>J48/G48</f>
        <v>218</v>
      </c>
      <c r="L48" s="207">
        <f>I48/J48</f>
        <v>8.801918265221017</v>
      </c>
      <c r="M48" s="199">
        <v>251602.75</v>
      </c>
      <c r="N48" s="200">
        <v>24936</v>
      </c>
      <c r="O48" s="218">
        <f>+M48/N48</f>
        <v>10.089940247032404</v>
      </c>
      <c r="P48" s="232">
        <v>1</v>
      </c>
    </row>
    <row r="49" spans="1:16" ht="15">
      <c r="A49" s="91">
        <v>46</v>
      </c>
      <c r="B49" s="56" t="s">
        <v>382</v>
      </c>
      <c r="C49" s="41">
        <v>39437</v>
      </c>
      <c r="D49" s="46" t="s">
        <v>43</v>
      </c>
      <c r="E49" s="46" t="s">
        <v>383</v>
      </c>
      <c r="F49" s="235">
        <v>156</v>
      </c>
      <c r="G49" s="43">
        <v>18</v>
      </c>
      <c r="H49" s="43">
        <v>8</v>
      </c>
      <c r="I49" s="86">
        <v>18497.5</v>
      </c>
      <c r="J49" s="95">
        <v>3143</v>
      </c>
      <c r="K49" s="136">
        <f>IF(I49&lt;&gt;0,J49/G49,"")</f>
        <v>174.61111111111111</v>
      </c>
      <c r="L49" s="195">
        <f>IF(I49&lt;&gt;0,I49/J49,"")</f>
        <v>5.885300668151448</v>
      </c>
      <c r="M49" s="135">
        <f>1780127+1212579.5+721829.5+404706.5+230406+56484.5+45824+18497.5</f>
        <v>4470454.5</v>
      </c>
      <c r="N49" s="133">
        <f>240776+165120+97288+55998+35394+10296+9476+3143</f>
        <v>617491</v>
      </c>
      <c r="O49" s="216">
        <f>IF(M49&lt;&gt;0,M49/N49,"")</f>
        <v>7.239707947160364</v>
      </c>
      <c r="P49" s="232">
        <v>1</v>
      </c>
    </row>
    <row r="50" spans="1:16" ht="15">
      <c r="A50" s="91">
        <v>47</v>
      </c>
      <c r="B50" s="56" t="s">
        <v>472</v>
      </c>
      <c r="C50" s="42">
        <v>39430</v>
      </c>
      <c r="D50" s="87" t="s">
        <v>42</v>
      </c>
      <c r="E50" s="87" t="s">
        <v>38</v>
      </c>
      <c r="F50" s="43">
        <v>137</v>
      </c>
      <c r="G50" s="43">
        <v>24</v>
      </c>
      <c r="H50" s="43">
        <v>7</v>
      </c>
      <c r="I50" s="187">
        <v>17821</v>
      </c>
      <c r="J50" s="188">
        <v>3662</v>
      </c>
      <c r="K50" s="206">
        <f>J50/G50</f>
        <v>152.58333333333334</v>
      </c>
      <c r="L50" s="134">
        <f>+I50/J50</f>
        <v>4.866466411796832</v>
      </c>
      <c r="M50" s="191">
        <v>3538616</v>
      </c>
      <c r="N50" s="189">
        <v>456230</v>
      </c>
      <c r="O50" s="81">
        <f>+M50/N50</f>
        <v>7.756210683208031</v>
      </c>
      <c r="P50" s="232"/>
    </row>
    <row r="51" spans="1:16" ht="15">
      <c r="A51" s="91">
        <v>48</v>
      </c>
      <c r="B51" s="57" t="s">
        <v>518</v>
      </c>
      <c r="C51" s="41">
        <v>39444</v>
      </c>
      <c r="D51" s="47" t="s">
        <v>468</v>
      </c>
      <c r="E51" s="47" t="s">
        <v>468</v>
      </c>
      <c r="F51" s="58">
        <v>14</v>
      </c>
      <c r="G51" s="58">
        <v>6</v>
      </c>
      <c r="H51" s="58">
        <v>4</v>
      </c>
      <c r="I51" s="197">
        <v>14765</v>
      </c>
      <c r="J51" s="198">
        <v>1820</v>
      </c>
      <c r="K51" s="194">
        <f>+J51/G51</f>
        <v>303.3333333333333</v>
      </c>
      <c r="L51" s="195">
        <f>+I51/J51</f>
        <v>8.112637362637363</v>
      </c>
      <c r="M51" s="199">
        <v>230203</v>
      </c>
      <c r="N51" s="200">
        <v>22372</v>
      </c>
      <c r="O51" s="216">
        <f>+M51/N51</f>
        <v>10.289781870194886</v>
      </c>
      <c r="P51" s="232"/>
    </row>
    <row r="52" spans="1:16" ht="15">
      <c r="A52" s="91">
        <v>49</v>
      </c>
      <c r="B52" s="56" t="s">
        <v>475</v>
      </c>
      <c r="C52" s="42">
        <v>39430</v>
      </c>
      <c r="D52" s="46" t="s">
        <v>43</v>
      </c>
      <c r="E52" s="46" t="s">
        <v>44</v>
      </c>
      <c r="F52" s="63">
        <v>64</v>
      </c>
      <c r="G52" s="43">
        <v>18</v>
      </c>
      <c r="H52" s="43">
        <v>8</v>
      </c>
      <c r="I52" s="187">
        <v>14042</v>
      </c>
      <c r="J52" s="188">
        <v>2499</v>
      </c>
      <c r="K52" s="206">
        <f>J52/G52</f>
        <v>138.83333333333334</v>
      </c>
      <c r="L52" s="207">
        <f>I52/J52</f>
        <v>5.619047619047619</v>
      </c>
      <c r="M52" s="191">
        <f>183581+192120.5+67824+23763.5+5798.5+5467+22027+14042</f>
        <v>514623.5</v>
      </c>
      <c r="N52" s="189">
        <f>20071+21989+8620+4128+850+1010+3719+2499</f>
        <v>62886</v>
      </c>
      <c r="O52" s="217">
        <f>M52/N52</f>
        <v>8.1834351047928</v>
      </c>
      <c r="P52" s="232"/>
    </row>
    <row r="53" spans="1:16" ht="15">
      <c r="A53" s="91">
        <v>50</v>
      </c>
      <c r="B53" s="57" t="s">
        <v>518</v>
      </c>
      <c r="C53" s="41">
        <v>39444</v>
      </c>
      <c r="D53" s="47" t="s">
        <v>468</v>
      </c>
      <c r="E53" s="47" t="s">
        <v>468</v>
      </c>
      <c r="F53" s="58">
        <v>14</v>
      </c>
      <c r="G53" s="58">
        <v>6</v>
      </c>
      <c r="H53" s="58">
        <v>3</v>
      </c>
      <c r="I53" s="197">
        <v>13291</v>
      </c>
      <c r="J53" s="198">
        <v>1952</v>
      </c>
      <c r="K53" s="194">
        <f>+J53/G53</f>
        <v>325.3333333333333</v>
      </c>
      <c r="L53" s="195">
        <f>+I53/J53</f>
        <v>6.808913934426229</v>
      </c>
      <c r="M53" s="199">
        <v>215438</v>
      </c>
      <c r="N53" s="200">
        <v>20552</v>
      </c>
      <c r="O53" s="216">
        <f>+M53/N53</f>
        <v>10.48258077072791</v>
      </c>
      <c r="P53" s="232"/>
    </row>
    <row r="54" spans="1:16" ht="15">
      <c r="A54" s="91">
        <v>51</v>
      </c>
      <c r="B54" s="55" t="s">
        <v>315</v>
      </c>
      <c r="C54" s="41">
        <v>39423</v>
      </c>
      <c r="D54" s="44" t="s">
        <v>81</v>
      </c>
      <c r="E54" s="44" t="s">
        <v>290</v>
      </c>
      <c r="F54" s="63">
        <v>164</v>
      </c>
      <c r="G54" s="63">
        <v>16</v>
      </c>
      <c r="H54" s="63">
        <v>7</v>
      </c>
      <c r="I54" s="192">
        <v>13282</v>
      </c>
      <c r="J54" s="193">
        <v>2845</v>
      </c>
      <c r="K54" s="194">
        <f>IF(I54&lt;&gt;0,J54/G54,"")</f>
        <v>177.8125</v>
      </c>
      <c r="L54" s="195">
        <f>IF(I54&lt;&gt;0,I54/J54,"")</f>
        <v>4.668541300527241</v>
      </c>
      <c r="M54" s="196">
        <f>1455428+896564.5+785700+295594.5+45815.5+11311.5+13282</f>
        <v>3503696</v>
      </c>
      <c r="N54" s="189">
        <f>172176+105411+97548+39201+8243+2114+2845</f>
        <v>427538</v>
      </c>
      <c r="O54" s="216">
        <f>IF(M54&lt;&gt;0,M54/N54,"")</f>
        <v>8.195051667921916</v>
      </c>
      <c r="P54" s="232"/>
    </row>
    <row r="55" spans="1:16" ht="15">
      <c r="A55" s="91">
        <v>52</v>
      </c>
      <c r="B55" s="55" t="s">
        <v>517</v>
      </c>
      <c r="C55" s="41">
        <v>39444</v>
      </c>
      <c r="D55" s="45" t="s">
        <v>41</v>
      </c>
      <c r="E55" s="44" t="s">
        <v>52</v>
      </c>
      <c r="F55" s="63">
        <v>60</v>
      </c>
      <c r="G55" s="63">
        <v>25</v>
      </c>
      <c r="H55" s="63">
        <v>3</v>
      </c>
      <c r="I55" s="197">
        <v>13033</v>
      </c>
      <c r="J55" s="198">
        <v>1560</v>
      </c>
      <c r="K55" s="206">
        <f>J55/G55</f>
        <v>62.4</v>
      </c>
      <c r="L55" s="207">
        <f>I55/J55</f>
        <v>8.35448717948718</v>
      </c>
      <c r="M55" s="199">
        <f>211429+90759+13033</f>
        <v>315221</v>
      </c>
      <c r="N55" s="200">
        <f>22982+9879+1560</f>
        <v>34421</v>
      </c>
      <c r="O55" s="218">
        <f>+M55/N55</f>
        <v>9.157810638854189</v>
      </c>
      <c r="P55" s="232"/>
    </row>
    <row r="56" spans="1:16" ht="15">
      <c r="A56" s="91">
        <v>53</v>
      </c>
      <c r="B56" s="56" t="s">
        <v>395</v>
      </c>
      <c r="C56" s="41">
        <v>39402</v>
      </c>
      <c r="D56" s="46" t="s">
        <v>81</v>
      </c>
      <c r="E56" s="46" t="s">
        <v>396</v>
      </c>
      <c r="F56" s="43">
        <v>165</v>
      </c>
      <c r="G56" s="43">
        <v>4</v>
      </c>
      <c r="H56" s="43">
        <v>22</v>
      </c>
      <c r="I56" s="187">
        <v>12776</v>
      </c>
      <c r="J56" s="188">
        <v>2576</v>
      </c>
      <c r="K56" s="206">
        <f>IF(I56&lt;&gt;0,J56/G56,"")</f>
        <v>644</v>
      </c>
      <c r="L56" s="207">
        <f>I56/J56</f>
        <v>4.959627329192546</v>
      </c>
      <c r="M56" s="191">
        <f>12736195.5+635116+336718.5+243017+121597.5+87378+27897.5+22169+10074+11918+6458+34768+1068+97+472+12776</f>
        <v>14287720</v>
      </c>
      <c r="N56" s="189">
        <f>271934+322135+339926+262189+150199+208899+146862+92002+47008+33955+17959+14849+4943+4284+1914+2027+1272+7140+334+29+102+2576</f>
        <v>1932538</v>
      </c>
      <c r="O56" s="218">
        <f>+M56/N56</f>
        <v>7.393241426559271</v>
      </c>
      <c r="P56" s="232"/>
    </row>
    <row r="57" spans="1:16" ht="15">
      <c r="A57" s="91">
        <v>54</v>
      </c>
      <c r="B57" s="56" t="s">
        <v>470</v>
      </c>
      <c r="C57" s="42">
        <v>39430</v>
      </c>
      <c r="D57" s="87" t="s">
        <v>42</v>
      </c>
      <c r="E57" s="87" t="s">
        <v>334</v>
      </c>
      <c r="F57" s="43">
        <v>242</v>
      </c>
      <c r="G57" s="43">
        <v>20</v>
      </c>
      <c r="H57" s="43">
        <v>10</v>
      </c>
      <c r="I57" s="187">
        <v>12659</v>
      </c>
      <c r="J57" s="188">
        <v>2545</v>
      </c>
      <c r="K57" s="206">
        <f>J57/G57</f>
        <v>127.25</v>
      </c>
      <c r="L57" s="134">
        <f>+I57/J57</f>
        <v>4.974066797642436</v>
      </c>
      <c r="M57" s="191">
        <v>15270197</v>
      </c>
      <c r="N57" s="189">
        <v>1981577</v>
      </c>
      <c r="O57" s="81">
        <f>+M57/N57</f>
        <v>7.7060830843313175</v>
      </c>
      <c r="P57" s="232"/>
    </row>
    <row r="58" spans="1:16" ht="15">
      <c r="A58" s="91">
        <v>55</v>
      </c>
      <c r="B58" s="330" t="s">
        <v>395</v>
      </c>
      <c r="C58" s="323">
        <v>39402</v>
      </c>
      <c r="D58" s="322" t="s">
        <v>81</v>
      </c>
      <c r="E58" s="322" t="s">
        <v>396</v>
      </c>
      <c r="F58" s="324">
        <v>165</v>
      </c>
      <c r="G58" s="324">
        <v>36</v>
      </c>
      <c r="H58" s="324">
        <v>28</v>
      </c>
      <c r="I58" s="325">
        <v>12410</v>
      </c>
      <c r="J58" s="326">
        <v>2520</v>
      </c>
      <c r="K58" s="327">
        <f>IF(I58&lt;&gt;0,J58/G58,"")</f>
        <v>70</v>
      </c>
      <c r="L58" s="328">
        <f>IF(I58&lt;&gt;0,I58/J58,"")</f>
        <v>4.924603174603175</v>
      </c>
      <c r="M58" s="329">
        <f>14315851.5+0+47739+12410</f>
        <v>14376000.5</v>
      </c>
      <c r="N58" s="327">
        <f>1937908+0+9548+2520</f>
        <v>1949976</v>
      </c>
      <c r="O58" s="331">
        <f>IF(M58&lt;&gt;0,M58/N58,"")</f>
        <v>7.372398685932545</v>
      </c>
      <c r="P58" s="232"/>
    </row>
    <row r="59" spans="1:16" ht="15">
      <c r="A59" s="91">
        <v>56</v>
      </c>
      <c r="B59" s="55" t="s">
        <v>395</v>
      </c>
      <c r="C59" s="41">
        <v>39402</v>
      </c>
      <c r="D59" s="44" t="s">
        <v>81</v>
      </c>
      <c r="E59" s="44" t="s">
        <v>396</v>
      </c>
      <c r="F59" s="63">
        <v>165</v>
      </c>
      <c r="G59" s="63">
        <v>10</v>
      </c>
      <c r="H59" s="63">
        <v>16</v>
      </c>
      <c r="I59" s="94">
        <v>11918</v>
      </c>
      <c r="J59" s="116">
        <v>2027</v>
      </c>
      <c r="K59" s="143">
        <f>J59/G59</f>
        <v>202.7</v>
      </c>
      <c r="L59" s="207">
        <f>I59/J59</f>
        <v>5.879625061667489</v>
      </c>
      <c r="M59" s="138">
        <f>12736195.5+635116+336718.5+243017+121597.5+87378+27897.5+22169+10074+11918</f>
        <v>14232081</v>
      </c>
      <c r="N59" s="133">
        <f>271934+322135+339926+262189+150199+208899+146862+92002+47008+33955+17959+14849+4943+4284+1914+2027</f>
        <v>1921085</v>
      </c>
      <c r="O59" s="218">
        <f>+M59/N59</f>
        <v>7.408355694828703</v>
      </c>
      <c r="P59" s="232"/>
    </row>
    <row r="60" spans="1:16" ht="15">
      <c r="A60" s="91">
        <v>57</v>
      </c>
      <c r="B60" s="55" t="s">
        <v>395</v>
      </c>
      <c r="C60" s="41">
        <v>39402</v>
      </c>
      <c r="D60" s="44" t="s">
        <v>81</v>
      </c>
      <c r="E60" s="44" t="s">
        <v>396</v>
      </c>
      <c r="F60" s="63">
        <v>165</v>
      </c>
      <c r="G60" s="63">
        <v>1</v>
      </c>
      <c r="H60" s="63">
        <v>39</v>
      </c>
      <c r="I60" s="94">
        <v>11880</v>
      </c>
      <c r="J60" s="116">
        <v>3960</v>
      </c>
      <c r="K60" s="136">
        <f>IF(I60&lt;&gt;0,J60/G60,"")</f>
        <v>3960</v>
      </c>
      <c r="L60" s="137">
        <f>IF(I60&lt;&gt;0,I60/J60,"")</f>
        <v>3</v>
      </c>
      <c r="M60" s="138">
        <f>14579887.5+621+5940+11880</f>
        <v>14598328.5</v>
      </c>
      <c r="N60" s="133">
        <f>2008972+127+1980+3960</f>
        <v>2015039</v>
      </c>
      <c r="O60" s="156">
        <f>IF(M60&lt;&gt;0,M60/N60,"")</f>
        <v>7.244687819937976</v>
      </c>
      <c r="P60" s="232"/>
    </row>
    <row r="61" spans="1:16" ht="15">
      <c r="A61" s="91">
        <v>58</v>
      </c>
      <c r="B61" s="330" t="s">
        <v>395</v>
      </c>
      <c r="C61" s="323">
        <v>39402</v>
      </c>
      <c r="D61" s="322" t="s">
        <v>81</v>
      </c>
      <c r="E61" s="322" t="s">
        <v>396</v>
      </c>
      <c r="F61" s="324">
        <v>165</v>
      </c>
      <c r="G61" s="324">
        <v>1</v>
      </c>
      <c r="H61" s="324">
        <v>26</v>
      </c>
      <c r="I61" s="325">
        <v>11880</v>
      </c>
      <c r="J61" s="326">
        <v>2376</v>
      </c>
      <c r="K61" s="327">
        <f>IF(I61&lt;&gt;0,J61/G61,"")</f>
        <v>2376</v>
      </c>
      <c r="L61" s="328">
        <f>IF(I61&lt;&gt;0,I61/J61,"")</f>
        <v>5</v>
      </c>
      <c r="M61" s="329">
        <f>14315851.5+0</f>
        <v>14315851.5</v>
      </c>
      <c r="N61" s="327">
        <f>1937908+0</f>
        <v>1937908</v>
      </c>
      <c r="O61" s="331">
        <f>+M61/N61</f>
        <v>7.387270964359505</v>
      </c>
      <c r="P61" s="232"/>
    </row>
    <row r="62" spans="1:16" ht="15">
      <c r="A62" s="91">
        <v>59</v>
      </c>
      <c r="B62" s="56" t="s">
        <v>397</v>
      </c>
      <c r="C62" s="42">
        <v>39402</v>
      </c>
      <c r="D62" s="87" t="s">
        <v>42</v>
      </c>
      <c r="E62" s="87" t="s">
        <v>471</v>
      </c>
      <c r="F62" s="43">
        <v>130</v>
      </c>
      <c r="G62" s="43">
        <v>5</v>
      </c>
      <c r="H62" s="43">
        <v>11</v>
      </c>
      <c r="I62" s="187">
        <v>11788</v>
      </c>
      <c r="J62" s="188">
        <v>2832</v>
      </c>
      <c r="K62" s="189">
        <f>J62/G62</f>
        <v>566.4</v>
      </c>
      <c r="L62" s="190">
        <f>+I62/J62</f>
        <v>4.1624293785310735</v>
      </c>
      <c r="M62" s="191">
        <v>2089594</v>
      </c>
      <c r="N62" s="189">
        <v>263551</v>
      </c>
      <c r="O62" s="215">
        <f>+M62/N62</f>
        <v>7.9286134372474395</v>
      </c>
      <c r="P62" s="232"/>
    </row>
    <row r="63" spans="1:16" ht="15">
      <c r="A63" s="91">
        <v>60</v>
      </c>
      <c r="B63" s="56" t="s">
        <v>469</v>
      </c>
      <c r="C63" s="41">
        <v>39423</v>
      </c>
      <c r="D63" s="46" t="s">
        <v>81</v>
      </c>
      <c r="E63" s="46" t="s">
        <v>290</v>
      </c>
      <c r="F63" s="43">
        <v>164</v>
      </c>
      <c r="G63" s="43">
        <v>3</v>
      </c>
      <c r="H63" s="43">
        <v>15</v>
      </c>
      <c r="I63" s="86">
        <v>11641</v>
      </c>
      <c r="J63" s="188">
        <v>2323</v>
      </c>
      <c r="K63" s="206">
        <f>IF(I63&lt;&gt;0,J63/G63,"")</f>
        <v>774.3333333333334</v>
      </c>
      <c r="L63" s="207">
        <f>IF(I63&lt;&gt;0,I63/J63,"")</f>
        <v>5.0111924235901855</v>
      </c>
      <c r="M63" s="135">
        <f>1455428+896564.5+785700+295594.5+45815.5+11311.5+13282+11389+10839+9534+2826+2532+168+361+11641</f>
        <v>3552986</v>
      </c>
      <c r="N63" s="189">
        <f>172176+105411+97548+39201+8243+2114+2845+2112+2384+1888+598+623+42+63+2323</f>
        <v>437571</v>
      </c>
      <c r="O63" s="218">
        <f>IF(M63&lt;&gt;0,M63/N63,"")</f>
        <v>8.119793130714786</v>
      </c>
      <c r="P63" s="232"/>
    </row>
    <row r="64" spans="1:16" ht="15">
      <c r="A64" s="91">
        <v>61</v>
      </c>
      <c r="B64" s="55" t="s">
        <v>469</v>
      </c>
      <c r="C64" s="41">
        <v>39423</v>
      </c>
      <c r="D64" s="44" t="s">
        <v>81</v>
      </c>
      <c r="E64" s="44" t="s">
        <v>290</v>
      </c>
      <c r="F64" s="63">
        <v>164</v>
      </c>
      <c r="G64" s="63">
        <v>12</v>
      </c>
      <c r="H64" s="63">
        <v>8</v>
      </c>
      <c r="I64" s="192">
        <v>11389</v>
      </c>
      <c r="J64" s="193">
        <v>2112</v>
      </c>
      <c r="K64" s="194">
        <f>IF(I64&lt;&gt;0,J64/G64,"")</f>
        <v>176</v>
      </c>
      <c r="L64" s="195">
        <f>IF(I64&lt;&gt;0,I64/J64,"")</f>
        <v>5.3925189393939394</v>
      </c>
      <c r="M64" s="196">
        <f>1455428+896564.5+785700+295594.5+45815.5+11311.5+13282+11389</f>
        <v>3515085</v>
      </c>
      <c r="N64" s="189">
        <f>172176+105411+97548+39201+8243+2114+2845+2112</f>
        <v>429650</v>
      </c>
      <c r="O64" s="216">
        <f>IF(M64&lt;&gt;0,M64/N64,"")</f>
        <v>8.181275456767136</v>
      </c>
      <c r="P64" s="232">
        <v>1</v>
      </c>
    </row>
    <row r="65" spans="1:16" ht="15">
      <c r="A65" s="91">
        <v>62</v>
      </c>
      <c r="B65" s="55" t="s">
        <v>469</v>
      </c>
      <c r="C65" s="41">
        <v>39423</v>
      </c>
      <c r="D65" s="44" t="s">
        <v>81</v>
      </c>
      <c r="E65" s="208" t="s">
        <v>290</v>
      </c>
      <c r="F65" s="63">
        <v>164</v>
      </c>
      <c r="G65" s="63">
        <v>16</v>
      </c>
      <c r="H65" s="63">
        <v>6</v>
      </c>
      <c r="I65" s="192">
        <v>11311.5</v>
      </c>
      <c r="J65" s="193">
        <v>2114</v>
      </c>
      <c r="K65" s="194">
        <f>IF(I65&lt;&gt;0,J65/G65,"")</f>
        <v>132.125</v>
      </c>
      <c r="L65" s="195">
        <f>IF(I65&lt;&gt;0,I65/J65,"")</f>
        <v>5.3507568590350045</v>
      </c>
      <c r="M65" s="196">
        <f>1455428+896564.5+785700+295594.5+45815.5+11311.5</f>
        <v>3490414</v>
      </c>
      <c r="N65" s="189">
        <f>172176+105411+97548+39201+8243+2114</f>
        <v>424693</v>
      </c>
      <c r="O65" s="216">
        <f>IF(M65&lt;&gt;0,M65/N65,"")</f>
        <v>8.218675608027446</v>
      </c>
      <c r="P65" s="232"/>
    </row>
    <row r="66" spans="1:16" ht="15">
      <c r="A66" s="91">
        <v>63</v>
      </c>
      <c r="B66" s="56" t="s">
        <v>272</v>
      </c>
      <c r="C66" s="42">
        <v>39409</v>
      </c>
      <c r="D66" s="87" t="s">
        <v>42</v>
      </c>
      <c r="E66" s="87" t="s">
        <v>47</v>
      </c>
      <c r="F66" s="43">
        <v>55</v>
      </c>
      <c r="G66" s="43">
        <v>11</v>
      </c>
      <c r="H66" s="43">
        <v>7</v>
      </c>
      <c r="I66" s="86">
        <v>10990</v>
      </c>
      <c r="J66" s="95">
        <v>1940</v>
      </c>
      <c r="K66" s="133">
        <f>J66/G66</f>
        <v>176.36363636363637</v>
      </c>
      <c r="L66" s="134">
        <f>+I66/J66</f>
        <v>5.664948453608248</v>
      </c>
      <c r="M66" s="135">
        <v>1099808</v>
      </c>
      <c r="N66" s="133">
        <v>114498</v>
      </c>
      <c r="O66" s="155">
        <f>+M66/N66</f>
        <v>9.605477824940174</v>
      </c>
      <c r="P66" s="232"/>
    </row>
    <row r="67" spans="1:16" ht="15">
      <c r="A67" s="91">
        <v>64</v>
      </c>
      <c r="B67" s="55" t="s">
        <v>469</v>
      </c>
      <c r="C67" s="41">
        <v>39423</v>
      </c>
      <c r="D67" s="44" t="s">
        <v>81</v>
      </c>
      <c r="E67" s="44" t="s">
        <v>290</v>
      </c>
      <c r="F67" s="63">
        <v>164</v>
      </c>
      <c r="G67" s="63">
        <v>11</v>
      </c>
      <c r="H67" s="63">
        <v>9</v>
      </c>
      <c r="I67" s="192">
        <v>10839</v>
      </c>
      <c r="J67" s="193">
        <v>2384</v>
      </c>
      <c r="K67" s="206">
        <f>J67/G67</f>
        <v>216.72727272727272</v>
      </c>
      <c r="L67" s="207">
        <f>I67/J67</f>
        <v>4.546560402684563</v>
      </c>
      <c r="M67" s="196">
        <f>1455428+896564.5+785700+295594.5+45815.5+11311.5+13282+11389+10839</f>
        <v>3525924</v>
      </c>
      <c r="N67" s="189">
        <f>172176+105411+97548+39201+8243+2114+2845+2112+2384</f>
        <v>432034</v>
      </c>
      <c r="O67" s="216">
        <f>IF(M67&lt;&gt;0,M67/N67,"")</f>
        <v>8.161218792965368</v>
      </c>
      <c r="P67" s="232"/>
    </row>
    <row r="68" spans="1:16" ht="15">
      <c r="A68" s="91">
        <v>65</v>
      </c>
      <c r="B68" s="56" t="s">
        <v>382</v>
      </c>
      <c r="C68" s="41">
        <v>39437</v>
      </c>
      <c r="D68" s="46" t="s">
        <v>43</v>
      </c>
      <c r="E68" s="46" t="s">
        <v>383</v>
      </c>
      <c r="F68" s="43">
        <v>156</v>
      </c>
      <c r="G68" s="43">
        <v>14</v>
      </c>
      <c r="H68" s="43">
        <v>9</v>
      </c>
      <c r="I68" s="187">
        <v>10529</v>
      </c>
      <c r="J68" s="188">
        <v>2091</v>
      </c>
      <c r="K68" s="206">
        <f>J68/G68</f>
        <v>149.35714285714286</v>
      </c>
      <c r="L68" s="144">
        <f>I68/J68</f>
        <v>5.035389765662362</v>
      </c>
      <c r="M68" s="191">
        <f>1780127+1212579.5+721829.5+404706.5+230406+56484.5+45824+18497.5+10529</f>
        <v>4480983.5</v>
      </c>
      <c r="N68" s="189">
        <f>240776+165120+97288+55998+35394+10296+9476+3143+2091</f>
        <v>619582</v>
      </c>
      <c r="O68" s="81">
        <f>+M68/N68</f>
        <v>7.232268690827041</v>
      </c>
      <c r="P68" s="232"/>
    </row>
    <row r="69" spans="1:16" ht="15">
      <c r="A69" s="91">
        <v>66</v>
      </c>
      <c r="B69" s="55" t="s">
        <v>395</v>
      </c>
      <c r="C69" s="41">
        <v>39402</v>
      </c>
      <c r="D69" s="44" t="s">
        <v>81</v>
      </c>
      <c r="E69" s="44" t="s">
        <v>396</v>
      </c>
      <c r="F69" s="63">
        <v>165</v>
      </c>
      <c r="G69" s="63">
        <v>15</v>
      </c>
      <c r="H69" s="63">
        <v>15</v>
      </c>
      <c r="I69" s="192">
        <v>10074</v>
      </c>
      <c r="J69" s="193">
        <v>1914</v>
      </c>
      <c r="K69" s="206">
        <f>J69/G69</f>
        <v>127.6</v>
      </c>
      <c r="L69" s="207">
        <f>I69/J69</f>
        <v>5.263322884012539</v>
      </c>
      <c r="M69" s="196">
        <f>12736195.5+635116+336718.5+243017+121597.5+87378+27897.5+22169+10074</f>
        <v>14220163</v>
      </c>
      <c r="N69" s="189">
        <f>271934+322135+339926+262189+150199+208899+146862+92002+47008+33955+17959+14849+4943+4284+1914</f>
        <v>1919058</v>
      </c>
      <c r="O69" s="218">
        <f>+M69/N69</f>
        <v>7.409970412566999</v>
      </c>
      <c r="P69" s="232"/>
    </row>
    <row r="70" spans="1:16" ht="15">
      <c r="A70" s="91">
        <v>67</v>
      </c>
      <c r="B70" s="56" t="s">
        <v>382</v>
      </c>
      <c r="C70" s="41">
        <v>39437</v>
      </c>
      <c r="D70" s="46" t="s">
        <v>43</v>
      </c>
      <c r="E70" s="46" t="s">
        <v>383</v>
      </c>
      <c r="F70" s="43">
        <v>156</v>
      </c>
      <c r="G70" s="43">
        <v>7</v>
      </c>
      <c r="H70" s="43">
        <v>10</v>
      </c>
      <c r="I70" s="187">
        <v>9795.5</v>
      </c>
      <c r="J70" s="188">
        <v>2258</v>
      </c>
      <c r="K70" s="206">
        <f>J70/G70</f>
        <v>322.57142857142856</v>
      </c>
      <c r="L70" s="207">
        <f>I70/J70</f>
        <v>4.338131089459699</v>
      </c>
      <c r="M70" s="191">
        <f>1780127+1212579.5+721829.5+404706.5+230406+56484.5+45824+18497.5+10529+9795.5</f>
        <v>4490779</v>
      </c>
      <c r="N70" s="189">
        <f>240776+165120+97288+55998+35394+10296+9476+3143+2091+2258</f>
        <v>621840</v>
      </c>
      <c r="O70" s="218">
        <f>+M70/N70</f>
        <v>7.221759616621639</v>
      </c>
      <c r="P70" s="232"/>
    </row>
    <row r="71" spans="1:16" ht="15">
      <c r="A71" s="91">
        <v>68</v>
      </c>
      <c r="B71" s="55" t="s">
        <v>469</v>
      </c>
      <c r="C71" s="41">
        <v>39423</v>
      </c>
      <c r="D71" s="44" t="s">
        <v>81</v>
      </c>
      <c r="E71" s="44" t="s">
        <v>290</v>
      </c>
      <c r="F71" s="63">
        <v>164</v>
      </c>
      <c r="G71" s="63">
        <v>9</v>
      </c>
      <c r="H71" s="63">
        <v>10</v>
      </c>
      <c r="I71" s="94">
        <v>9534</v>
      </c>
      <c r="J71" s="116">
        <v>1888</v>
      </c>
      <c r="K71" s="136">
        <f>IF(I71&lt;&gt;0,J71/G71,"")</f>
        <v>209.77777777777777</v>
      </c>
      <c r="L71" s="195">
        <f>IF(I71&lt;&gt;0,I71/J71,"")</f>
        <v>5.049788135593221</v>
      </c>
      <c r="M71" s="138">
        <f>1455428+896564.5+785700+295594.5+45815.5+11311.5+13282+11389+10839+9534</f>
        <v>3535458</v>
      </c>
      <c r="N71" s="133">
        <f>172176+105411+97548+39201+8243+2114+2845+2112+2384+1888</f>
        <v>433922</v>
      </c>
      <c r="O71" s="216">
        <f>IF(M71&lt;&gt;0,M71/N71,"")</f>
        <v>8.14768091961228</v>
      </c>
      <c r="P71" s="232"/>
    </row>
    <row r="72" spans="1:16" ht="15">
      <c r="A72" s="91">
        <v>69</v>
      </c>
      <c r="B72" s="56" t="s">
        <v>398</v>
      </c>
      <c r="C72" s="42">
        <v>39402</v>
      </c>
      <c r="D72" s="46" t="s">
        <v>43</v>
      </c>
      <c r="E72" s="46" t="s">
        <v>467</v>
      </c>
      <c r="F72" s="43">
        <v>125</v>
      </c>
      <c r="G72" s="43">
        <v>7</v>
      </c>
      <c r="H72" s="43">
        <v>9</v>
      </c>
      <c r="I72" s="187">
        <v>9292</v>
      </c>
      <c r="J72" s="188">
        <v>2353</v>
      </c>
      <c r="K72" s="189">
        <f aca="true" t="shared" si="2" ref="K72:K78">J72/G72</f>
        <v>336.14285714285717</v>
      </c>
      <c r="L72" s="190">
        <f>+I72/J72</f>
        <v>3.9490012749681256</v>
      </c>
      <c r="M72" s="191">
        <f>676439.5+554539.5+408532.5+265092+4+63975.5-30+36417+32233.5+29355.5+9292</f>
        <v>2075851</v>
      </c>
      <c r="N72" s="189">
        <f>91933+76364+57186+39863+2+10711+6714+6020+5300+2353</f>
        <v>296446</v>
      </c>
      <c r="O72" s="215">
        <f aca="true" t="shared" si="3" ref="O72:O78">+M72/N72</f>
        <v>7.002459132523293</v>
      </c>
      <c r="P72" s="232"/>
    </row>
    <row r="73" spans="1:16" ht="15">
      <c r="A73" s="91">
        <v>70</v>
      </c>
      <c r="B73" s="265" t="s">
        <v>472</v>
      </c>
      <c r="C73" s="42">
        <v>39430</v>
      </c>
      <c r="D73" s="259" t="s">
        <v>42</v>
      </c>
      <c r="E73" s="259" t="s">
        <v>38</v>
      </c>
      <c r="F73" s="43">
        <v>137</v>
      </c>
      <c r="G73" s="43">
        <v>24</v>
      </c>
      <c r="H73" s="43">
        <v>14</v>
      </c>
      <c r="I73" s="187">
        <v>8931</v>
      </c>
      <c r="J73" s="188">
        <v>2151</v>
      </c>
      <c r="K73" s="206">
        <f t="shared" si="2"/>
        <v>89.625</v>
      </c>
      <c r="L73" s="207">
        <f>I73/J73</f>
        <v>4.152022315202231</v>
      </c>
      <c r="M73" s="191">
        <v>3547549</v>
      </c>
      <c r="N73" s="189">
        <v>458381</v>
      </c>
      <c r="O73" s="218">
        <f t="shared" si="3"/>
        <v>7.739302021680654</v>
      </c>
      <c r="P73" s="316"/>
    </row>
    <row r="74" spans="1:16" ht="15">
      <c r="A74" s="91">
        <v>71</v>
      </c>
      <c r="B74" s="57" t="s">
        <v>473</v>
      </c>
      <c r="C74" s="41">
        <v>39430</v>
      </c>
      <c r="D74" s="47" t="s">
        <v>432</v>
      </c>
      <c r="E74" s="47" t="s">
        <v>519</v>
      </c>
      <c r="F74" s="64" t="s">
        <v>474</v>
      </c>
      <c r="G74" s="64" t="s">
        <v>430</v>
      </c>
      <c r="H74" s="64" t="s">
        <v>428</v>
      </c>
      <c r="I74" s="197">
        <v>8560</v>
      </c>
      <c r="J74" s="198">
        <v>1492</v>
      </c>
      <c r="K74" s="206">
        <f t="shared" si="2"/>
        <v>149.2</v>
      </c>
      <c r="L74" s="207">
        <f>I74/J74</f>
        <v>5.737265415549598</v>
      </c>
      <c r="M74" s="199">
        <v>1221354.44</v>
      </c>
      <c r="N74" s="200">
        <v>155422</v>
      </c>
      <c r="O74" s="218">
        <f t="shared" si="3"/>
        <v>7.858311178597624</v>
      </c>
      <c r="P74" s="232"/>
    </row>
    <row r="75" spans="1:16" ht="18">
      <c r="A75" s="91">
        <v>72</v>
      </c>
      <c r="B75" s="350" t="s">
        <v>470</v>
      </c>
      <c r="C75" s="42">
        <v>39430</v>
      </c>
      <c r="D75" s="87" t="s">
        <v>42</v>
      </c>
      <c r="E75" s="87" t="s">
        <v>167</v>
      </c>
      <c r="F75" s="43">
        <v>242</v>
      </c>
      <c r="G75" s="43">
        <v>1</v>
      </c>
      <c r="H75" s="43">
        <v>32</v>
      </c>
      <c r="I75" s="345">
        <v>7570</v>
      </c>
      <c r="J75" s="346">
        <v>2450</v>
      </c>
      <c r="K75" s="189">
        <f t="shared" si="2"/>
        <v>2450</v>
      </c>
      <c r="L75" s="190">
        <f>+I75/J75</f>
        <v>3.089795918367347</v>
      </c>
      <c r="M75" s="191">
        <v>15318985</v>
      </c>
      <c r="N75" s="189">
        <v>1997738</v>
      </c>
      <c r="O75" s="215">
        <f t="shared" si="3"/>
        <v>7.668165194835359</v>
      </c>
      <c r="P75" s="317"/>
    </row>
    <row r="76" spans="1:16" ht="15">
      <c r="A76" s="91">
        <v>73</v>
      </c>
      <c r="B76" s="265" t="s">
        <v>472</v>
      </c>
      <c r="C76" s="42">
        <v>39430</v>
      </c>
      <c r="D76" s="259" t="s">
        <v>42</v>
      </c>
      <c r="E76" s="259" t="s">
        <v>38</v>
      </c>
      <c r="F76" s="43">
        <v>137</v>
      </c>
      <c r="G76" s="43">
        <v>8</v>
      </c>
      <c r="H76" s="43">
        <v>15</v>
      </c>
      <c r="I76" s="86">
        <v>6933</v>
      </c>
      <c r="J76" s="95">
        <v>1631</v>
      </c>
      <c r="K76" s="143">
        <f t="shared" si="2"/>
        <v>203.875</v>
      </c>
      <c r="L76" s="207">
        <f>I76/J76</f>
        <v>4.250766400980993</v>
      </c>
      <c r="M76" s="135">
        <v>3554470</v>
      </c>
      <c r="N76" s="133">
        <v>460058</v>
      </c>
      <c r="O76" s="218">
        <f t="shared" si="3"/>
        <v>7.7261345308635</v>
      </c>
      <c r="P76" s="232">
        <v>1</v>
      </c>
    </row>
    <row r="77" spans="1:16" ht="15">
      <c r="A77" s="91">
        <v>74</v>
      </c>
      <c r="B77" s="55" t="s">
        <v>394</v>
      </c>
      <c r="C77" s="41">
        <v>39402</v>
      </c>
      <c r="D77" s="45" t="s">
        <v>41</v>
      </c>
      <c r="E77" s="44" t="s">
        <v>140</v>
      </c>
      <c r="F77" s="63">
        <v>20</v>
      </c>
      <c r="G77" s="63">
        <v>5</v>
      </c>
      <c r="H77" s="63">
        <v>9</v>
      </c>
      <c r="I77" s="197">
        <v>6557</v>
      </c>
      <c r="J77" s="198">
        <v>1089</v>
      </c>
      <c r="K77" s="206">
        <f t="shared" si="2"/>
        <v>217.8</v>
      </c>
      <c r="L77" s="207">
        <f>I77/J77</f>
        <v>6.0211202938475665</v>
      </c>
      <c r="M77" s="199">
        <f>8296+141704+66729+20126+11859+581+2076+3662+3777+6557</f>
        <v>265367</v>
      </c>
      <c r="N77" s="200">
        <f>702+12499+6089+1727+1871+101+444+549+663+1089</f>
        <v>25734</v>
      </c>
      <c r="O77" s="218">
        <f t="shared" si="3"/>
        <v>10.311921970933396</v>
      </c>
      <c r="P77" s="232"/>
    </row>
    <row r="78" spans="1:16" ht="15">
      <c r="A78" s="91">
        <v>75</v>
      </c>
      <c r="B78" s="56" t="s">
        <v>470</v>
      </c>
      <c r="C78" s="41">
        <v>39430</v>
      </c>
      <c r="D78" s="46" t="s">
        <v>42</v>
      </c>
      <c r="E78" s="46" t="s">
        <v>66</v>
      </c>
      <c r="F78" s="43">
        <v>242</v>
      </c>
      <c r="G78" s="43">
        <v>2</v>
      </c>
      <c r="H78" s="43">
        <v>31</v>
      </c>
      <c r="I78" s="86">
        <v>6520</v>
      </c>
      <c r="J78" s="95">
        <v>2120</v>
      </c>
      <c r="K78" s="133">
        <f t="shared" si="2"/>
        <v>1060</v>
      </c>
      <c r="L78" s="190">
        <f>I78/J78</f>
        <v>3.0754716981132075</v>
      </c>
      <c r="M78" s="135">
        <v>15311415</v>
      </c>
      <c r="N78" s="133">
        <v>1995288</v>
      </c>
      <c r="O78" s="215">
        <f t="shared" si="3"/>
        <v>7.673786942035435</v>
      </c>
      <c r="P78" s="232"/>
    </row>
    <row r="79" spans="1:16" ht="15">
      <c r="A79" s="91">
        <v>76</v>
      </c>
      <c r="B79" s="330" t="s">
        <v>470</v>
      </c>
      <c r="C79" s="323">
        <v>39430</v>
      </c>
      <c r="D79" s="322" t="s">
        <v>42</v>
      </c>
      <c r="E79" s="322" t="s">
        <v>251</v>
      </c>
      <c r="F79" s="324">
        <v>242</v>
      </c>
      <c r="G79" s="324">
        <v>2</v>
      </c>
      <c r="H79" s="324">
        <v>30</v>
      </c>
      <c r="I79" s="325">
        <v>6481</v>
      </c>
      <c r="J79" s="326">
        <v>2350</v>
      </c>
      <c r="K79" s="327">
        <v>1175</v>
      </c>
      <c r="L79" s="328">
        <v>2.7578723404255325</v>
      </c>
      <c r="M79" s="329">
        <v>15304895</v>
      </c>
      <c r="N79" s="327">
        <v>1993168</v>
      </c>
      <c r="O79" s="331">
        <v>7.678677863581996</v>
      </c>
      <c r="P79" s="232"/>
    </row>
    <row r="80" spans="1:16" ht="15">
      <c r="A80" s="91">
        <v>77</v>
      </c>
      <c r="B80" s="56" t="s">
        <v>395</v>
      </c>
      <c r="C80" s="41">
        <v>39402</v>
      </c>
      <c r="D80" s="46" t="s">
        <v>81</v>
      </c>
      <c r="E80" s="46" t="s">
        <v>396</v>
      </c>
      <c r="F80" s="43">
        <v>165</v>
      </c>
      <c r="G80" s="43">
        <v>4</v>
      </c>
      <c r="H80" s="43">
        <v>17</v>
      </c>
      <c r="I80" s="187">
        <v>6458</v>
      </c>
      <c r="J80" s="188">
        <v>1272</v>
      </c>
      <c r="K80" s="206">
        <f>IF(I80&lt;&gt;0,J80/G80,"")</f>
        <v>318</v>
      </c>
      <c r="L80" s="207">
        <f>IF(I80&lt;&gt;0,I80/J80,"")</f>
        <v>5.077044025157233</v>
      </c>
      <c r="M80" s="191">
        <f>12736195.5+635116+336718.5+243017+121597.5+87378+27897.5+22169+10074+11918+6458</f>
        <v>14238539</v>
      </c>
      <c r="N80" s="189">
        <f>271934+322135+339926+262189+150199+208899+146862+92002+47008+33955+17959+14849+4943+4284+1914+2027+1272</f>
        <v>1922357</v>
      </c>
      <c r="O80" s="218">
        <f>IF(M80&lt;&gt;0,M80/N80,"")</f>
        <v>7.406813094550076</v>
      </c>
      <c r="P80" s="232">
        <v>1</v>
      </c>
    </row>
    <row r="81" spans="1:16" ht="15">
      <c r="A81" s="91">
        <v>78</v>
      </c>
      <c r="B81" s="350" t="s">
        <v>470</v>
      </c>
      <c r="C81" s="42">
        <v>39430</v>
      </c>
      <c r="D81" s="87" t="s">
        <v>42</v>
      </c>
      <c r="E81" s="87" t="s">
        <v>66</v>
      </c>
      <c r="F81" s="43">
        <v>242</v>
      </c>
      <c r="G81" s="43">
        <v>1</v>
      </c>
      <c r="H81" s="43">
        <v>37</v>
      </c>
      <c r="I81" s="187">
        <v>6437</v>
      </c>
      <c r="J81" s="188">
        <v>2378</v>
      </c>
      <c r="K81" s="189">
        <f>J81/G81</f>
        <v>2378</v>
      </c>
      <c r="L81" s="190">
        <f>+I81/J81</f>
        <v>2.706896551724138</v>
      </c>
      <c r="M81" s="191">
        <v>15330769</v>
      </c>
      <c r="N81" s="189">
        <v>2001772</v>
      </c>
      <c r="O81" s="215">
        <f>+M81/N81</f>
        <v>7.658598981302566</v>
      </c>
      <c r="P81" s="232">
        <v>1</v>
      </c>
    </row>
    <row r="82" spans="1:16" ht="15">
      <c r="A82" s="91">
        <v>79</v>
      </c>
      <c r="B82" s="330" t="s">
        <v>470</v>
      </c>
      <c r="C82" s="323">
        <v>39430</v>
      </c>
      <c r="D82" s="322" t="s">
        <v>42</v>
      </c>
      <c r="E82" s="322" t="s">
        <v>66</v>
      </c>
      <c r="F82" s="324">
        <v>242</v>
      </c>
      <c r="G82" s="324">
        <v>2</v>
      </c>
      <c r="H82" s="324">
        <v>28</v>
      </c>
      <c r="I82" s="325">
        <v>6419</v>
      </c>
      <c r="J82" s="326">
        <v>2050</v>
      </c>
      <c r="K82" s="327">
        <f>J82/G82</f>
        <v>1025</v>
      </c>
      <c r="L82" s="328">
        <f>IF(I82&lt;&gt;0,I82/J82,"")</f>
        <v>3.131219512195122</v>
      </c>
      <c r="M82" s="329">
        <v>15292374</v>
      </c>
      <c r="N82" s="327">
        <v>1988818</v>
      </c>
      <c r="O82" s="331">
        <f>+M82/N82</f>
        <v>7.689177189667431</v>
      </c>
      <c r="P82" s="316"/>
    </row>
    <row r="83" spans="1:16" ht="15">
      <c r="A83" s="91">
        <v>80</v>
      </c>
      <c r="B83" s="77" t="s">
        <v>275</v>
      </c>
      <c r="C83" s="61">
        <v>39416</v>
      </c>
      <c r="D83" s="80" t="s">
        <v>412</v>
      </c>
      <c r="E83" s="80" t="s">
        <v>293</v>
      </c>
      <c r="F83" s="78">
        <v>45</v>
      </c>
      <c r="G83" s="79">
        <v>10</v>
      </c>
      <c r="H83" s="79">
        <v>6</v>
      </c>
      <c r="I83" s="117">
        <v>6396.5</v>
      </c>
      <c r="J83" s="139">
        <v>1261</v>
      </c>
      <c r="K83" s="140">
        <v>92.17647058823529</v>
      </c>
      <c r="L83" s="141">
        <v>5.0644543714103385</v>
      </c>
      <c r="M83" s="142">
        <v>171628.5</v>
      </c>
      <c r="N83" s="150">
        <v>24962</v>
      </c>
      <c r="O83" s="157">
        <f>M83/N83</f>
        <v>6.875590898165211</v>
      </c>
      <c r="P83" s="232">
        <v>1</v>
      </c>
    </row>
    <row r="84" spans="1:16" ht="15">
      <c r="A84" s="91">
        <v>81</v>
      </c>
      <c r="B84" s="56" t="s">
        <v>398</v>
      </c>
      <c r="C84" s="42">
        <v>39402</v>
      </c>
      <c r="D84" s="46" t="s">
        <v>43</v>
      </c>
      <c r="E84" s="46" t="s">
        <v>467</v>
      </c>
      <c r="F84" s="43">
        <v>125</v>
      </c>
      <c r="G84" s="43">
        <v>2</v>
      </c>
      <c r="H84" s="43">
        <v>12</v>
      </c>
      <c r="I84" s="187">
        <v>6311.5</v>
      </c>
      <c r="J84" s="188">
        <v>1545</v>
      </c>
      <c r="K84" s="206">
        <f>J84/G84</f>
        <v>772.5</v>
      </c>
      <c r="L84" s="207">
        <f>I84/J84</f>
        <v>4.085113268608414</v>
      </c>
      <c r="M84" s="191">
        <f>676439.5+554539.5+408532.5+265092+4+63975.5-30+36417+32233.5+29355.5+9292+4684+3839.75+6311.5</f>
        <v>2090686.25</v>
      </c>
      <c r="N84" s="189">
        <f>91933+76364+57186+39863+2+10711+6714+6020+5300+2353+1269+898+1545</f>
        <v>300158</v>
      </c>
      <c r="O84" s="217">
        <f>M84/N84</f>
        <v>6.965285782821048</v>
      </c>
      <c r="P84" s="232">
        <v>1</v>
      </c>
    </row>
    <row r="85" spans="1:16" ht="15">
      <c r="A85" s="91">
        <v>82</v>
      </c>
      <c r="B85" s="330" t="s">
        <v>470</v>
      </c>
      <c r="C85" s="323">
        <v>39430</v>
      </c>
      <c r="D85" s="322" t="s">
        <v>42</v>
      </c>
      <c r="E85" s="322" t="s">
        <v>66</v>
      </c>
      <c r="F85" s="324">
        <v>242</v>
      </c>
      <c r="G85" s="324">
        <v>1</v>
      </c>
      <c r="H85" s="324">
        <v>29</v>
      </c>
      <c r="I85" s="325">
        <v>6040</v>
      </c>
      <c r="J85" s="326">
        <v>2000</v>
      </c>
      <c r="K85" s="327">
        <f>J85/G85</f>
        <v>2000</v>
      </c>
      <c r="L85" s="328">
        <f>+I85/J85</f>
        <v>3.02</v>
      </c>
      <c r="M85" s="329">
        <v>15298414</v>
      </c>
      <c r="N85" s="327">
        <v>1990818</v>
      </c>
      <c r="O85" s="331">
        <f>+M85/N85</f>
        <v>7.684486477417825</v>
      </c>
      <c r="P85" s="232">
        <v>1</v>
      </c>
    </row>
    <row r="86" spans="1:16" ht="18">
      <c r="A86" s="91">
        <v>83</v>
      </c>
      <c r="B86" s="55" t="s">
        <v>395</v>
      </c>
      <c r="C86" s="41">
        <v>39402</v>
      </c>
      <c r="D86" s="44" t="s">
        <v>81</v>
      </c>
      <c r="E86" s="44" t="s">
        <v>396</v>
      </c>
      <c r="F86" s="63">
        <v>165</v>
      </c>
      <c r="G86" s="63">
        <v>1</v>
      </c>
      <c r="H86" s="63">
        <v>38</v>
      </c>
      <c r="I86" s="138">
        <v>5940</v>
      </c>
      <c r="J86" s="206">
        <v>1980</v>
      </c>
      <c r="K86" s="194">
        <f>IF(I86&lt;&gt;0,J86/G86,"")</f>
        <v>1980</v>
      </c>
      <c r="L86" s="137">
        <f>IF(I86&lt;&gt;0,I86/J86,"")</f>
        <v>3</v>
      </c>
      <c r="M86" s="138">
        <f>14579887.5+621+5940</f>
        <v>14586448.5</v>
      </c>
      <c r="N86" s="189">
        <f>2008972+127+1980</f>
        <v>2011079</v>
      </c>
      <c r="O86" s="156">
        <f>IF(M86&lt;&gt;0,M86/N86,"")</f>
        <v>7.253046001673728</v>
      </c>
      <c r="P86" s="317"/>
    </row>
    <row r="87" spans="1:16" ht="15">
      <c r="A87" s="91">
        <v>84</v>
      </c>
      <c r="B87" s="56" t="s">
        <v>475</v>
      </c>
      <c r="C87" s="42">
        <v>39430</v>
      </c>
      <c r="D87" s="46" t="s">
        <v>43</v>
      </c>
      <c r="E87" s="46" t="s">
        <v>44</v>
      </c>
      <c r="F87" s="63">
        <v>64</v>
      </c>
      <c r="G87" s="43">
        <v>15</v>
      </c>
      <c r="H87" s="43">
        <v>5</v>
      </c>
      <c r="I87" s="187">
        <v>5798.5</v>
      </c>
      <c r="J87" s="188">
        <v>850</v>
      </c>
      <c r="K87" s="189">
        <f>J87/G87</f>
        <v>56.666666666666664</v>
      </c>
      <c r="L87" s="190">
        <f>+I87/J87</f>
        <v>6.8217647058823525</v>
      </c>
      <c r="M87" s="191">
        <f>183581+192120.5+67824+23763.5+5798.5</f>
        <v>473087.5</v>
      </c>
      <c r="N87" s="189">
        <f>20071+21989+8620+4128+850</f>
        <v>55658</v>
      </c>
      <c r="O87" s="215">
        <f>+M87/N87</f>
        <v>8.499901182219986</v>
      </c>
      <c r="P87" s="232"/>
    </row>
    <row r="88" spans="1:16" ht="15">
      <c r="A88" s="91">
        <v>85</v>
      </c>
      <c r="B88" s="56" t="s">
        <v>475</v>
      </c>
      <c r="C88" s="42">
        <v>39430</v>
      </c>
      <c r="D88" s="46" t="s">
        <v>43</v>
      </c>
      <c r="E88" s="46" t="s">
        <v>44</v>
      </c>
      <c r="F88" s="63">
        <v>64</v>
      </c>
      <c r="G88" s="43">
        <v>12</v>
      </c>
      <c r="H88" s="43">
        <v>6</v>
      </c>
      <c r="I88" s="187">
        <v>5467</v>
      </c>
      <c r="J88" s="188">
        <v>1010</v>
      </c>
      <c r="K88" s="206">
        <f>J88/G88</f>
        <v>84.16666666666667</v>
      </c>
      <c r="L88" s="207">
        <f>I88/J88</f>
        <v>5.412871287128713</v>
      </c>
      <c r="M88" s="191">
        <f>183581+192120.5+67824+23763.5+5798.5+5467</f>
        <v>478554.5</v>
      </c>
      <c r="N88" s="189">
        <f>20071+21989+8620+4128+850+1010</f>
        <v>56668</v>
      </c>
      <c r="O88" s="218">
        <f>+M88/N88</f>
        <v>8.444880708689208</v>
      </c>
      <c r="P88" s="333"/>
    </row>
    <row r="89" spans="1:16" ht="15">
      <c r="A89" s="91">
        <v>86</v>
      </c>
      <c r="B89" s="56" t="s">
        <v>395</v>
      </c>
      <c r="C89" s="41">
        <v>39402</v>
      </c>
      <c r="D89" s="46" t="s">
        <v>81</v>
      </c>
      <c r="E89" s="46" t="s">
        <v>396</v>
      </c>
      <c r="F89" s="43">
        <v>165</v>
      </c>
      <c r="G89" s="43">
        <v>5</v>
      </c>
      <c r="H89" s="43">
        <v>23</v>
      </c>
      <c r="I89" s="86">
        <v>5422.5</v>
      </c>
      <c r="J89" s="95">
        <v>946</v>
      </c>
      <c r="K89" s="143">
        <f>IF(I89&lt;&gt;0,J89/G89,"")</f>
        <v>189.2</v>
      </c>
      <c r="L89" s="144">
        <f>IF(I89&lt;&gt;0,I89/J89,"")</f>
        <v>5.732029598308668</v>
      </c>
      <c r="M89" s="135">
        <f>12736195.5+635116+336718.5+243017+121597.5+87378+27897.5+22169+10074+11918+6458+34768+1068+97+472+12776+5422.5</f>
        <v>14293142.5</v>
      </c>
      <c r="N89" s="133">
        <f>271934+322135+339926+262189+150199+208899+146862+92002+47008+33955+17959+14849+4943+4284+1914+2027+1272+7140+334+29+102+2576+946</f>
        <v>1933484</v>
      </c>
      <c r="O89" s="81">
        <f>IF(M89&lt;&gt;0,M89/N89,"")</f>
        <v>7.392428641767918</v>
      </c>
      <c r="P89" s="232"/>
    </row>
    <row r="90" spans="1:16" ht="15">
      <c r="A90" s="91">
        <v>87</v>
      </c>
      <c r="B90" s="56" t="s">
        <v>476</v>
      </c>
      <c r="C90" s="42">
        <v>39430</v>
      </c>
      <c r="D90" s="46" t="s">
        <v>43</v>
      </c>
      <c r="E90" s="46" t="s">
        <v>434</v>
      </c>
      <c r="F90" s="43">
        <v>43</v>
      </c>
      <c r="G90" s="43">
        <v>8</v>
      </c>
      <c r="H90" s="43">
        <v>4</v>
      </c>
      <c r="I90" s="86">
        <v>5207.5</v>
      </c>
      <c r="J90" s="95">
        <v>1171</v>
      </c>
      <c r="K90" s="136">
        <f>IF(I90&lt;&gt;0,J90/G90,"")</f>
        <v>146.375</v>
      </c>
      <c r="L90" s="137">
        <f>IF(I90&lt;&gt;0,I90/J90,"")</f>
        <v>4.447053800170794</v>
      </c>
      <c r="M90" s="135">
        <f>43240+25728.5+5226.5+5207.5</f>
        <v>79402.5</v>
      </c>
      <c r="N90" s="133">
        <f>5272+3593+870+1171</f>
        <v>10906</v>
      </c>
      <c r="O90" s="156">
        <f>IF(M90&lt;&gt;0,M90/N90,"")</f>
        <v>7.280625343847423</v>
      </c>
      <c r="P90" s="232"/>
    </row>
    <row r="91" spans="1:16" ht="15">
      <c r="A91" s="91">
        <v>88</v>
      </c>
      <c r="B91" s="56" t="s">
        <v>15</v>
      </c>
      <c r="C91" s="41">
        <v>39094</v>
      </c>
      <c r="D91" s="46" t="s">
        <v>43</v>
      </c>
      <c r="E91" s="46" t="s">
        <v>478</v>
      </c>
      <c r="F91" s="43">
        <v>226</v>
      </c>
      <c r="G91" s="43">
        <v>1</v>
      </c>
      <c r="H91" s="43">
        <v>36</v>
      </c>
      <c r="I91" s="86">
        <v>5103</v>
      </c>
      <c r="J91" s="95">
        <v>1276</v>
      </c>
      <c r="K91" s="133">
        <f>J91/G91</f>
        <v>1276</v>
      </c>
      <c r="L91" s="190">
        <f>I91/J91</f>
        <v>3.999216300940439</v>
      </c>
      <c r="M91" s="135">
        <f>3142328+2138928+1454143+1085018.5-637+512497+119516+49072.5+21975.5+19023+9522+7521+6716.5+973+245+20+90+85+70+947+133+2189+149+3296.5+5376+1188+1551+2376+2376+1510.5+1510.5+2376+1510.5+2409+5103</f>
        <v>8601108</v>
      </c>
      <c r="N91" s="133">
        <f>453903+300559+202455+152725+101+73889+22414+10560+4196+3829+2908+1791+1716+233+42+4+18+17+14+309+15+538+24+819+1343+297+388+594+594+378+378+594+378+603+1276</f>
        <v>1239902</v>
      </c>
      <c r="O91" s="215">
        <f>+M91/N91</f>
        <v>6.936925660253794</v>
      </c>
      <c r="P91" s="232">
        <v>1</v>
      </c>
    </row>
    <row r="92" spans="1:16" ht="15">
      <c r="A92" s="91">
        <v>89</v>
      </c>
      <c r="B92" s="56" t="s">
        <v>395</v>
      </c>
      <c r="C92" s="41">
        <v>39402</v>
      </c>
      <c r="D92" s="46" t="s">
        <v>81</v>
      </c>
      <c r="E92" s="46" t="s">
        <v>396</v>
      </c>
      <c r="F92" s="43">
        <v>165</v>
      </c>
      <c r="G92" s="43">
        <v>6</v>
      </c>
      <c r="H92" s="43">
        <v>24</v>
      </c>
      <c r="I92" s="354">
        <v>5076.5</v>
      </c>
      <c r="J92" s="355">
        <v>908</v>
      </c>
      <c r="K92" s="143">
        <f>IF(I92&lt;&gt;0,J92/G92,"")</f>
        <v>151.33333333333334</v>
      </c>
      <c r="L92" s="144">
        <f>IF(I92&lt;&gt;0,I92/J92,"")</f>
        <v>5.590859030837004</v>
      </c>
      <c r="M92" s="135">
        <f>12736195.5+635116+336718.5+243017+121597.5+87378+27897.5+22169+10074+11918+6458+34768+1068+97+472+12776+5422.5+5076.5</f>
        <v>14298219</v>
      </c>
      <c r="N92" s="133">
        <f>271934+322135+339926+262189+150199+208899+146862+92002+47008+33955+17959+14849+4943+4284+1914+2027+1272+7140+334+29+102+2576+946+908</f>
        <v>1934392</v>
      </c>
      <c r="O92" s="81">
        <f>IF(M92&lt;&gt;0,M92/N92,"")</f>
        <v>7.391582988349827</v>
      </c>
      <c r="P92" s="232"/>
    </row>
    <row r="93" spans="1:16" ht="18">
      <c r="A93" s="91">
        <v>90</v>
      </c>
      <c r="B93" s="247" t="s">
        <v>397</v>
      </c>
      <c r="C93" s="42">
        <v>39402</v>
      </c>
      <c r="D93" s="239" t="s">
        <v>42</v>
      </c>
      <c r="E93" s="239" t="s">
        <v>217</v>
      </c>
      <c r="F93" s="240">
        <v>130</v>
      </c>
      <c r="G93" s="240">
        <v>4</v>
      </c>
      <c r="H93" s="240">
        <v>12</v>
      </c>
      <c r="I93" s="187">
        <v>5058</v>
      </c>
      <c r="J93" s="188">
        <v>1218</v>
      </c>
      <c r="K93" s="189">
        <f aca="true" t="shared" si="4" ref="K93:K104">J93/G93</f>
        <v>304.5</v>
      </c>
      <c r="L93" s="190">
        <f>+I93/J93</f>
        <v>4.152709359605911</v>
      </c>
      <c r="M93" s="191">
        <v>2094652</v>
      </c>
      <c r="N93" s="189">
        <v>264769</v>
      </c>
      <c r="O93" s="215">
        <f>+M93/N93</f>
        <v>7.911243385743799</v>
      </c>
      <c r="P93" s="317"/>
    </row>
    <row r="94" spans="1:16" ht="15">
      <c r="A94" s="91">
        <v>91</v>
      </c>
      <c r="B94" s="55" t="s">
        <v>510</v>
      </c>
      <c r="C94" s="41">
        <v>39402</v>
      </c>
      <c r="D94" s="45" t="s">
        <v>41</v>
      </c>
      <c r="E94" s="44" t="s">
        <v>52</v>
      </c>
      <c r="F94" s="63">
        <v>64</v>
      </c>
      <c r="G94" s="63">
        <v>3</v>
      </c>
      <c r="H94" s="63">
        <v>10</v>
      </c>
      <c r="I94" s="197">
        <v>4988</v>
      </c>
      <c r="J94" s="198">
        <v>802</v>
      </c>
      <c r="K94" s="206">
        <f t="shared" si="4"/>
        <v>267.3333333333333</v>
      </c>
      <c r="L94" s="207">
        <f>I94/J94</f>
        <v>6.219451371571072</v>
      </c>
      <c r="M94" s="199">
        <f>299858+213967+97347+22667+8568+16509+4053+3337+284+4988</f>
        <v>671578</v>
      </c>
      <c r="N94" s="200">
        <f>33225+24189+12517+4002+2479+2973+867+358+35+802</f>
        <v>81447</v>
      </c>
      <c r="O94" s="218">
        <f>+M94/N94</f>
        <v>8.245583017176815</v>
      </c>
      <c r="P94" s="232"/>
    </row>
    <row r="95" spans="1:16" ht="15">
      <c r="A95" s="91">
        <v>92</v>
      </c>
      <c r="B95" s="77" t="s">
        <v>275</v>
      </c>
      <c r="C95" s="61">
        <v>39416</v>
      </c>
      <c r="D95" s="80" t="s">
        <v>412</v>
      </c>
      <c r="E95" s="80" t="s">
        <v>293</v>
      </c>
      <c r="F95" s="78">
        <v>45</v>
      </c>
      <c r="G95" s="79">
        <v>6</v>
      </c>
      <c r="H95" s="79">
        <v>10</v>
      </c>
      <c r="I95" s="201">
        <v>4821.5</v>
      </c>
      <c r="J95" s="202">
        <v>933</v>
      </c>
      <c r="K95" s="206">
        <f t="shared" si="4"/>
        <v>155.5</v>
      </c>
      <c r="L95" s="207">
        <f>I95/J95</f>
        <v>5.167738478027867</v>
      </c>
      <c r="M95" s="205">
        <v>179287</v>
      </c>
      <c r="N95" s="214">
        <v>26424</v>
      </c>
      <c r="O95" s="217">
        <f>M95/N95</f>
        <v>6.785006055101423</v>
      </c>
      <c r="P95" s="319"/>
    </row>
    <row r="96" spans="1:16" ht="15">
      <c r="A96" s="91">
        <v>93</v>
      </c>
      <c r="B96" s="330" t="s">
        <v>476</v>
      </c>
      <c r="C96" s="323">
        <v>39430</v>
      </c>
      <c r="D96" s="322" t="s">
        <v>43</v>
      </c>
      <c r="E96" s="322" t="s">
        <v>434</v>
      </c>
      <c r="F96" s="324">
        <v>43</v>
      </c>
      <c r="G96" s="324">
        <v>1</v>
      </c>
      <c r="H96" s="324">
        <v>14</v>
      </c>
      <c r="I96" s="325">
        <v>4817</v>
      </c>
      <c r="J96" s="326">
        <v>1204</v>
      </c>
      <c r="K96" s="327">
        <f t="shared" si="4"/>
        <v>1204</v>
      </c>
      <c r="L96" s="328">
        <f>I96/J96</f>
        <v>4.000830564784053</v>
      </c>
      <c r="M96" s="329">
        <f>43240+25728.5+5226.5+5207.5+50+1692+2247+3101.5+796+326+232.5+2409+2409+4817</f>
        <v>97482.5</v>
      </c>
      <c r="N96" s="327">
        <f>5272+3593+870+1171+5+336+461+717+182+62+71+603+603+1204</f>
        <v>15150</v>
      </c>
      <c r="O96" s="331">
        <f aca="true" t="shared" si="5" ref="O96:O104">+M96/N96</f>
        <v>6.434488448844885</v>
      </c>
      <c r="P96" s="232">
        <v>1</v>
      </c>
    </row>
    <row r="97" spans="1:16" ht="15">
      <c r="A97" s="91">
        <v>94</v>
      </c>
      <c r="B97" s="56" t="s">
        <v>472</v>
      </c>
      <c r="C97" s="41">
        <v>39430</v>
      </c>
      <c r="D97" s="46" t="s">
        <v>42</v>
      </c>
      <c r="E97" s="46" t="s">
        <v>38</v>
      </c>
      <c r="F97" s="43">
        <v>137</v>
      </c>
      <c r="G97" s="43">
        <v>2</v>
      </c>
      <c r="H97" s="43">
        <v>14</v>
      </c>
      <c r="I97" s="187">
        <v>4760</v>
      </c>
      <c r="J97" s="188">
        <v>975</v>
      </c>
      <c r="K97" s="206">
        <f t="shared" si="4"/>
        <v>487.5</v>
      </c>
      <c r="L97" s="207">
        <f>+I97/J97</f>
        <v>4.8820512820512825</v>
      </c>
      <c r="M97" s="191">
        <v>3561937</v>
      </c>
      <c r="N97" s="189">
        <v>462120</v>
      </c>
      <c r="O97" s="218">
        <f t="shared" si="5"/>
        <v>7.707818315589025</v>
      </c>
      <c r="P97" s="232"/>
    </row>
    <row r="98" spans="1:16" ht="15">
      <c r="A98" s="91">
        <v>95</v>
      </c>
      <c r="B98" s="56" t="s">
        <v>384</v>
      </c>
      <c r="C98" s="41">
        <v>39437</v>
      </c>
      <c r="D98" s="87" t="s">
        <v>42</v>
      </c>
      <c r="E98" s="87" t="s">
        <v>298</v>
      </c>
      <c r="F98" s="43">
        <v>105</v>
      </c>
      <c r="G98" s="43">
        <v>105</v>
      </c>
      <c r="H98" s="43">
        <v>4</v>
      </c>
      <c r="I98" s="187">
        <v>4710</v>
      </c>
      <c r="J98" s="188">
        <v>3944</v>
      </c>
      <c r="K98" s="189">
        <f t="shared" si="4"/>
        <v>37.56190476190476</v>
      </c>
      <c r="L98" s="190">
        <f>+I98/J98</f>
        <v>1.1942190669371198</v>
      </c>
      <c r="M98" s="191">
        <v>707419</v>
      </c>
      <c r="N98" s="189">
        <v>80906</v>
      </c>
      <c r="O98" s="215">
        <f t="shared" si="5"/>
        <v>8.743714928435468</v>
      </c>
      <c r="P98" s="332"/>
    </row>
    <row r="99" spans="1:16" ht="15">
      <c r="A99" s="91">
        <v>96</v>
      </c>
      <c r="B99" s="56" t="s">
        <v>398</v>
      </c>
      <c r="C99" s="42">
        <v>39402</v>
      </c>
      <c r="D99" s="46" t="s">
        <v>43</v>
      </c>
      <c r="E99" s="46" t="s">
        <v>467</v>
      </c>
      <c r="F99" s="43">
        <v>125</v>
      </c>
      <c r="G99" s="43">
        <v>4</v>
      </c>
      <c r="H99" s="43">
        <v>10</v>
      </c>
      <c r="I99" s="187">
        <v>4684</v>
      </c>
      <c r="J99" s="188">
        <v>1269</v>
      </c>
      <c r="K99" s="206">
        <f t="shared" si="4"/>
        <v>317.25</v>
      </c>
      <c r="L99" s="207">
        <f>I99/J99</f>
        <v>3.6910953506698188</v>
      </c>
      <c r="M99" s="191">
        <f>676439.5+554539.5+408532.5+265092+4+63975.5-30+36417+32233.5+29355.5+9292+4684</f>
        <v>2080535</v>
      </c>
      <c r="N99" s="189">
        <f>91933+76364+57186+39863+2+10711+6714+6020+5300+2353+1269</f>
        <v>297715</v>
      </c>
      <c r="O99" s="218">
        <f t="shared" si="5"/>
        <v>6.988344557714592</v>
      </c>
      <c r="P99" s="332"/>
    </row>
    <row r="100" spans="1:16" ht="15">
      <c r="A100" s="91">
        <v>97</v>
      </c>
      <c r="B100" s="57" t="s">
        <v>316</v>
      </c>
      <c r="C100" s="42">
        <v>39150</v>
      </c>
      <c r="D100" s="47" t="s">
        <v>425</v>
      </c>
      <c r="E100" s="47" t="s">
        <v>317</v>
      </c>
      <c r="F100" s="88">
        <v>100</v>
      </c>
      <c r="G100" s="89">
        <v>3</v>
      </c>
      <c r="H100" s="88">
        <v>10</v>
      </c>
      <c r="I100" s="197">
        <v>4632</v>
      </c>
      <c r="J100" s="198">
        <v>1158</v>
      </c>
      <c r="K100" s="206">
        <f t="shared" si="4"/>
        <v>386</v>
      </c>
      <c r="L100" s="207">
        <f>I100/J100</f>
        <v>4</v>
      </c>
      <c r="M100" s="199">
        <v>307166.9</v>
      </c>
      <c r="N100" s="200">
        <v>43081</v>
      </c>
      <c r="O100" s="218">
        <f t="shared" si="5"/>
        <v>7.129985376384021</v>
      </c>
      <c r="P100" s="332">
        <v>1</v>
      </c>
    </row>
    <row r="101" spans="1:16" ht="15">
      <c r="A101" s="91">
        <v>98</v>
      </c>
      <c r="B101" s="57" t="s">
        <v>259</v>
      </c>
      <c r="C101" s="42">
        <v>39213</v>
      </c>
      <c r="D101" s="47" t="s">
        <v>425</v>
      </c>
      <c r="E101" s="47" t="s">
        <v>260</v>
      </c>
      <c r="F101" s="88">
        <v>4</v>
      </c>
      <c r="G101" s="89">
        <v>3</v>
      </c>
      <c r="H101" s="88">
        <v>18</v>
      </c>
      <c r="I101" s="197">
        <v>4632</v>
      </c>
      <c r="J101" s="198">
        <v>1158</v>
      </c>
      <c r="K101" s="206">
        <f t="shared" si="4"/>
        <v>386</v>
      </c>
      <c r="L101" s="207">
        <f>I101/J101</f>
        <v>4</v>
      </c>
      <c r="M101" s="199">
        <v>31476.5</v>
      </c>
      <c r="N101" s="200">
        <v>5319</v>
      </c>
      <c r="O101" s="218">
        <f t="shared" si="5"/>
        <v>5.917747696935514</v>
      </c>
      <c r="P101" s="332"/>
    </row>
    <row r="102" spans="1:16" ht="15">
      <c r="A102" s="91">
        <v>99</v>
      </c>
      <c r="B102" s="56" t="s">
        <v>486</v>
      </c>
      <c r="C102" s="41">
        <v>39367</v>
      </c>
      <c r="D102" s="46" t="s">
        <v>425</v>
      </c>
      <c r="E102" s="46" t="s">
        <v>50</v>
      </c>
      <c r="F102" s="43">
        <v>21</v>
      </c>
      <c r="G102" s="43">
        <v>3</v>
      </c>
      <c r="H102" s="43">
        <v>10</v>
      </c>
      <c r="I102" s="187">
        <v>4632</v>
      </c>
      <c r="J102" s="188">
        <v>1158</v>
      </c>
      <c r="K102" s="206">
        <f t="shared" si="4"/>
        <v>386</v>
      </c>
      <c r="L102" s="207">
        <f>I102/J102</f>
        <v>4</v>
      </c>
      <c r="M102" s="191">
        <v>180578.5</v>
      </c>
      <c r="N102" s="189">
        <v>19223</v>
      </c>
      <c r="O102" s="218">
        <f t="shared" si="5"/>
        <v>9.39387712635905</v>
      </c>
      <c r="P102" s="232"/>
    </row>
    <row r="103" spans="1:16" ht="15">
      <c r="A103" s="91">
        <v>100</v>
      </c>
      <c r="B103" s="56" t="s">
        <v>466</v>
      </c>
      <c r="C103" s="42">
        <v>39423</v>
      </c>
      <c r="D103" s="46" t="s">
        <v>43</v>
      </c>
      <c r="E103" s="46" t="s">
        <v>44</v>
      </c>
      <c r="F103" s="43">
        <v>40</v>
      </c>
      <c r="G103" s="43">
        <v>3</v>
      </c>
      <c r="H103" s="43">
        <v>7</v>
      </c>
      <c r="I103" s="187">
        <v>4609</v>
      </c>
      <c r="J103" s="188">
        <v>908</v>
      </c>
      <c r="K103" s="206">
        <f t="shared" si="4"/>
        <v>302.6666666666667</v>
      </c>
      <c r="L103" s="207">
        <f>I103/J103</f>
        <v>5.075991189427313</v>
      </c>
      <c r="M103" s="191">
        <f>337397.5+246059+95618.5+43492.5+31631.5+2705+4609</f>
        <v>761513</v>
      </c>
      <c r="N103" s="189">
        <f>35596+24953+11024+7059+5745+543+908</f>
        <v>85828</v>
      </c>
      <c r="O103" s="218">
        <f t="shared" si="5"/>
        <v>8.87254742042224</v>
      </c>
      <c r="P103" s="232"/>
    </row>
    <row r="104" spans="1:16" ht="15">
      <c r="A104" s="91">
        <v>101</v>
      </c>
      <c r="B104" s="56" t="s">
        <v>470</v>
      </c>
      <c r="C104" s="41">
        <v>39430</v>
      </c>
      <c r="D104" s="46" t="s">
        <v>42</v>
      </c>
      <c r="E104" s="46" t="s">
        <v>12</v>
      </c>
      <c r="F104" s="43">
        <v>242</v>
      </c>
      <c r="G104" s="43">
        <v>2</v>
      </c>
      <c r="H104" s="43">
        <v>14</v>
      </c>
      <c r="I104" s="187">
        <v>4541</v>
      </c>
      <c r="J104" s="188">
        <v>1575</v>
      </c>
      <c r="K104" s="206">
        <f t="shared" si="4"/>
        <v>787.5</v>
      </c>
      <c r="L104" s="207">
        <f>+I104/J104</f>
        <v>2.883174603174603</v>
      </c>
      <c r="M104" s="191">
        <v>15280383</v>
      </c>
      <c r="N104" s="189">
        <v>1984755</v>
      </c>
      <c r="O104" s="218">
        <f t="shared" si="5"/>
        <v>7.698876183710332</v>
      </c>
      <c r="P104" s="319"/>
    </row>
    <row r="105" spans="1:17" ht="15">
      <c r="A105" s="91">
        <v>102</v>
      </c>
      <c r="B105" s="55" t="s">
        <v>392</v>
      </c>
      <c r="C105" s="41">
        <v>39381</v>
      </c>
      <c r="D105" s="44" t="s">
        <v>81</v>
      </c>
      <c r="E105" s="44" t="s">
        <v>143</v>
      </c>
      <c r="F105" s="63">
        <v>91</v>
      </c>
      <c r="G105" s="63">
        <v>2</v>
      </c>
      <c r="H105" s="63">
        <v>12</v>
      </c>
      <c r="I105" s="192">
        <v>4390</v>
      </c>
      <c r="J105" s="193">
        <v>895</v>
      </c>
      <c r="K105" s="194">
        <f>IF(I105&lt;&gt;0,J105/G105,"")</f>
        <v>447.5</v>
      </c>
      <c r="L105" s="195">
        <f>IF(I105&lt;&gt;0,I105/J105,"")</f>
        <v>4.905027932960894</v>
      </c>
      <c r="M105" s="196">
        <f>964543+666618+447582+156310.5+90863+70894+37352.5+3350+1874+714.5+4126+4390</f>
        <v>2448617.5</v>
      </c>
      <c r="N105" s="189">
        <f>104009+73251+49929+20007+15751+12767+7228+691+416+233+781+895</f>
        <v>285958</v>
      </c>
      <c r="O105" s="216">
        <f>IF(M105&lt;&gt;0,M105/N105,"")</f>
        <v>8.562857132865666</v>
      </c>
      <c r="P105" s="319">
        <v>1</v>
      </c>
      <c r="Q105" s="232"/>
    </row>
    <row r="106" spans="1:17" ht="15">
      <c r="A106" s="91">
        <v>103</v>
      </c>
      <c r="B106" s="57" t="s">
        <v>473</v>
      </c>
      <c r="C106" s="41">
        <v>39430</v>
      </c>
      <c r="D106" s="47" t="s">
        <v>432</v>
      </c>
      <c r="E106" s="47" t="s">
        <v>519</v>
      </c>
      <c r="F106" s="64" t="s">
        <v>474</v>
      </c>
      <c r="G106" s="64" t="s">
        <v>428</v>
      </c>
      <c r="H106" s="64" t="s">
        <v>516</v>
      </c>
      <c r="I106" s="197">
        <v>4329</v>
      </c>
      <c r="J106" s="198">
        <v>913</v>
      </c>
      <c r="K106" s="206">
        <f>J106/G106</f>
        <v>182.6</v>
      </c>
      <c r="L106" s="207">
        <f>I106/J106</f>
        <v>4.741511500547645</v>
      </c>
      <c r="M106" s="199">
        <v>1225683.44</v>
      </c>
      <c r="N106" s="200">
        <v>156335</v>
      </c>
      <c r="O106" s="218">
        <f>+M106/N106</f>
        <v>7.8401089967057915</v>
      </c>
      <c r="P106" s="319"/>
      <c r="Q106" s="232"/>
    </row>
    <row r="107" spans="1:17" ht="15">
      <c r="A107" s="91">
        <v>104</v>
      </c>
      <c r="B107" s="265" t="s">
        <v>117</v>
      </c>
      <c r="C107" s="42">
        <v>39101</v>
      </c>
      <c r="D107" s="259" t="s">
        <v>43</v>
      </c>
      <c r="E107" s="259" t="s">
        <v>118</v>
      </c>
      <c r="F107" s="240">
        <v>160</v>
      </c>
      <c r="G107" s="43">
        <v>2</v>
      </c>
      <c r="H107" s="43">
        <v>34</v>
      </c>
      <c r="I107" s="187">
        <v>4240.5</v>
      </c>
      <c r="J107" s="188">
        <v>1061</v>
      </c>
      <c r="K107" s="206">
        <f>J107/G107</f>
        <v>530.5</v>
      </c>
      <c r="L107" s="207">
        <f>I107/J107</f>
        <v>3.9967012252591894</v>
      </c>
      <c r="M107" s="191">
        <f>3815016+1300103.5+871510+26.5+643328.5+285+427492+144808.5-4582.5+117687.5+159.5+78376+20328+17217+7297+945+2840.5+34810+328+1337+17151+158+30+3021+2014+152+6041+3614.5+6585+17296.5+42649.5+1188+6041+6041+1510.5+4240.5</f>
        <v>7597046.5</v>
      </c>
      <c r="N107" s="189">
        <f>302979+231870+176034+121748+3+91906+35+60830+21133-764+16236+14+11431-4+2924+3552+1459+120+1210+2+11600+81+437+5713+17+6+604+503+25+1510+904+1646+4326+10661+297+1511+1511+378+1061</f>
        <v>1085509</v>
      </c>
      <c r="O107" s="218">
        <f>+M107/N107</f>
        <v>6.99860295953327</v>
      </c>
      <c r="P107" s="319">
        <v>1</v>
      </c>
      <c r="Q107" s="232"/>
    </row>
    <row r="108" spans="1:17" ht="15">
      <c r="A108" s="91">
        <v>105</v>
      </c>
      <c r="B108" s="56" t="s">
        <v>276</v>
      </c>
      <c r="C108" s="42">
        <v>39416</v>
      </c>
      <c r="D108" s="46" t="s">
        <v>43</v>
      </c>
      <c r="E108" s="46" t="s">
        <v>390</v>
      </c>
      <c r="F108" s="43">
        <v>20</v>
      </c>
      <c r="G108" s="43">
        <v>3</v>
      </c>
      <c r="H108" s="43">
        <v>7</v>
      </c>
      <c r="I108" s="187">
        <v>4240.5</v>
      </c>
      <c r="J108" s="188">
        <v>496</v>
      </c>
      <c r="K108" s="189">
        <f>J108/G108</f>
        <v>165.33333333333334</v>
      </c>
      <c r="L108" s="190">
        <f>+I108/J108</f>
        <v>8.549395161290322</v>
      </c>
      <c r="M108" s="191">
        <f>75692.5+51302+12584.5+2036+2909.5+3347+4240.5</f>
        <v>152112</v>
      </c>
      <c r="N108" s="189">
        <f>7291+5230+1727+233+363+396+496</f>
        <v>15736</v>
      </c>
      <c r="O108" s="215">
        <f>+M108/N108</f>
        <v>9.666497203863752</v>
      </c>
      <c r="P108" s="232"/>
      <c r="Q108" s="232"/>
    </row>
    <row r="109" spans="1:17" ht="15">
      <c r="A109" s="91">
        <v>106</v>
      </c>
      <c r="B109" s="56" t="s">
        <v>395</v>
      </c>
      <c r="C109" s="41">
        <v>39402</v>
      </c>
      <c r="D109" s="46" t="s">
        <v>81</v>
      </c>
      <c r="E109" s="46" t="s">
        <v>396</v>
      </c>
      <c r="F109" s="43">
        <v>165</v>
      </c>
      <c r="G109" s="43">
        <v>2</v>
      </c>
      <c r="H109" s="43">
        <v>25</v>
      </c>
      <c r="I109" s="187">
        <v>4152.5</v>
      </c>
      <c r="J109" s="188">
        <v>820</v>
      </c>
      <c r="K109" s="206">
        <f>IF(I109&lt;&gt;0,J109/G109,"")</f>
        <v>410</v>
      </c>
      <c r="L109" s="207">
        <f>IF(I109&lt;&gt;0,I109/J109,"")</f>
        <v>5.064024390243903</v>
      </c>
      <c r="M109" s="191">
        <f>12736195.5+635116+336718.5+243017+121597.5+87378+27897.5+22169+10074+11918+6458+34768+1068+97+472+12776+5422.5+5076.5+4152.5</f>
        <v>14302371.5</v>
      </c>
      <c r="N109" s="189">
        <f>271934+322135+339926+262189+150199+208899+146862+92002+47008+33955+17959+14849+4943+4284+1914+2027+1272+7140+334+29+102+2576+946+908+820</f>
        <v>1935212</v>
      </c>
      <c r="O109" s="218">
        <f>IF(M109&lt;&gt;0,M109/N109,"")</f>
        <v>7.390596740822194</v>
      </c>
      <c r="P109" s="232"/>
      <c r="Q109" s="232"/>
    </row>
    <row r="110" spans="1:17" ht="15">
      <c r="A110" s="91">
        <v>107</v>
      </c>
      <c r="B110" s="55" t="s">
        <v>392</v>
      </c>
      <c r="C110" s="41">
        <v>39381</v>
      </c>
      <c r="D110" s="44" t="s">
        <v>81</v>
      </c>
      <c r="E110" s="44" t="s">
        <v>143</v>
      </c>
      <c r="F110" s="63">
        <v>91</v>
      </c>
      <c r="G110" s="63">
        <v>3</v>
      </c>
      <c r="H110" s="63">
        <v>11</v>
      </c>
      <c r="I110" s="94">
        <v>4126</v>
      </c>
      <c r="J110" s="116">
        <v>781</v>
      </c>
      <c r="K110" s="136">
        <f>IF(I110&lt;&gt;0,J110/G110,"")</f>
        <v>260.3333333333333</v>
      </c>
      <c r="L110" s="137">
        <f>IF(I110&lt;&gt;0,I110/J110,"")</f>
        <v>5.282970550576184</v>
      </c>
      <c r="M110" s="138">
        <f>964543+666618+447582+156310.5+90863+70894+37352.5+3350+1874+714.5+4126</f>
        <v>2444227.5</v>
      </c>
      <c r="N110" s="133">
        <f>104009+73251+49929+20007+15751+12767+7228+691+416+233+781</f>
        <v>285063</v>
      </c>
      <c r="O110" s="156">
        <f>IF(M110&lt;&gt;0,M110/N110,"")</f>
        <v>8.574341461361172</v>
      </c>
      <c r="P110" s="232"/>
      <c r="Q110" s="232"/>
    </row>
    <row r="111" spans="1:17" ht="15">
      <c r="A111" s="91">
        <v>108</v>
      </c>
      <c r="B111" s="56" t="s">
        <v>214</v>
      </c>
      <c r="C111" s="41">
        <v>39444</v>
      </c>
      <c r="D111" s="46" t="s">
        <v>425</v>
      </c>
      <c r="E111" s="46" t="s">
        <v>513</v>
      </c>
      <c r="F111" s="43">
        <v>25</v>
      </c>
      <c r="G111" s="43">
        <v>2</v>
      </c>
      <c r="H111" s="43">
        <v>8</v>
      </c>
      <c r="I111" s="187">
        <v>4100</v>
      </c>
      <c r="J111" s="188">
        <v>879</v>
      </c>
      <c r="K111" s="206">
        <f>J111/G111</f>
        <v>439.5</v>
      </c>
      <c r="L111" s="207">
        <f>I111/J111</f>
        <v>4.664391353811149</v>
      </c>
      <c r="M111" s="191">
        <v>261852.25</v>
      </c>
      <c r="N111" s="189">
        <v>27003</v>
      </c>
      <c r="O111" s="218">
        <f>+M111/N111</f>
        <v>9.697154019923712</v>
      </c>
      <c r="P111" s="232">
        <v>1</v>
      </c>
      <c r="Q111" s="232"/>
    </row>
    <row r="112" spans="1:17" ht="15">
      <c r="A112" s="91">
        <v>109</v>
      </c>
      <c r="B112" s="56" t="s">
        <v>382</v>
      </c>
      <c r="C112" s="41">
        <v>39437</v>
      </c>
      <c r="D112" s="46" t="s">
        <v>43</v>
      </c>
      <c r="E112" s="46" t="s">
        <v>383</v>
      </c>
      <c r="F112" s="63">
        <v>156</v>
      </c>
      <c r="G112" s="43">
        <v>1</v>
      </c>
      <c r="H112" s="43">
        <v>16</v>
      </c>
      <c r="I112" s="86">
        <v>4075.5</v>
      </c>
      <c r="J112" s="95">
        <v>697</v>
      </c>
      <c r="K112" s="143">
        <f>IF(I112&lt;&gt;0,J112/G112,"")</f>
        <v>697</v>
      </c>
      <c r="L112" s="144">
        <f>IF(I112&lt;&gt;0,I112/J112,"")</f>
        <v>5.847202295552368</v>
      </c>
      <c r="M112" s="135">
        <f>1780127+1212579.5+721829.5+404706.5+230406+56484.5+45824+18497.5+10529+9795.5+1455+3484+1447+391+3673+4075.5</f>
        <v>4505304.5</v>
      </c>
      <c r="N112" s="133">
        <f>240776+165120+97288+55998+35394+10296+9476+3143+2091+2258+337+991+436+98+918+697</f>
        <v>625317</v>
      </c>
      <c r="O112" s="81">
        <f>IF(M112&lt;&gt;0,M112/N112,"")</f>
        <v>7.204832908748683</v>
      </c>
      <c r="P112" s="232"/>
      <c r="Q112" s="232"/>
    </row>
    <row r="113" spans="1:16" ht="15">
      <c r="A113" s="91">
        <v>110</v>
      </c>
      <c r="B113" s="55" t="s">
        <v>392</v>
      </c>
      <c r="C113" s="41">
        <v>39381</v>
      </c>
      <c r="D113" s="44" t="s">
        <v>81</v>
      </c>
      <c r="E113" s="44" t="s">
        <v>143</v>
      </c>
      <c r="F113" s="63">
        <v>91</v>
      </c>
      <c r="G113" s="63">
        <v>2</v>
      </c>
      <c r="H113" s="63">
        <v>13</v>
      </c>
      <c r="I113" s="192">
        <v>3896</v>
      </c>
      <c r="J113" s="193">
        <v>779</v>
      </c>
      <c r="K113" s="194">
        <f>IF(I113&lt;&gt;0,J113/G113,"")</f>
        <v>389.5</v>
      </c>
      <c r="L113" s="195">
        <f>IF(I113&lt;&gt;0,I113/J113,"")</f>
        <v>5.001283697047497</v>
      </c>
      <c r="M113" s="196">
        <f>964543+666618+447582+156310.5+90863+70894+37352.5+3350+1874+714.5+4126+4390+3896</f>
        <v>2452513.5</v>
      </c>
      <c r="N113" s="189">
        <f>104009+73251+49929+20007+15751+12767+7228+691+416+233+781+895+779</f>
        <v>286737</v>
      </c>
      <c r="O113" s="216">
        <f>IF(M113&lt;&gt;0,M113/N113,"")</f>
        <v>8.553181138116113</v>
      </c>
      <c r="P113" s="232"/>
    </row>
    <row r="114" spans="1:16" ht="15">
      <c r="A114" s="91">
        <v>111</v>
      </c>
      <c r="B114" s="56" t="s">
        <v>398</v>
      </c>
      <c r="C114" s="42">
        <v>39402</v>
      </c>
      <c r="D114" s="46" t="s">
        <v>43</v>
      </c>
      <c r="E114" s="46" t="s">
        <v>467</v>
      </c>
      <c r="F114" s="63">
        <v>125</v>
      </c>
      <c r="G114" s="43">
        <v>2</v>
      </c>
      <c r="H114" s="43">
        <v>11</v>
      </c>
      <c r="I114" s="187">
        <v>3839.5</v>
      </c>
      <c r="J114" s="188">
        <v>898</v>
      </c>
      <c r="K114" s="206">
        <f>J114/G114</f>
        <v>449</v>
      </c>
      <c r="L114" s="207">
        <f>I114/J114</f>
        <v>4.275612472160357</v>
      </c>
      <c r="M114" s="191">
        <f>676439.5+554539.5+408532.5+265092+4+63975.5-30+36417+32233.5+29355.5+9292+4684+3839.75</f>
        <v>2084374.75</v>
      </c>
      <c r="N114" s="189">
        <f>91933+76364+57186+39863+2+10711+6714+6020+5300+2353+1269+898</f>
        <v>298613</v>
      </c>
      <c r="O114" s="217">
        <f>M114/N114</f>
        <v>6.980187567185622</v>
      </c>
      <c r="P114" s="232"/>
    </row>
    <row r="115" spans="1:16" ht="15">
      <c r="A115" s="91">
        <v>112</v>
      </c>
      <c r="B115" s="57" t="s">
        <v>295</v>
      </c>
      <c r="C115" s="42">
        <v>39444</v>
      </c>
      <c r="D115" s="47" t="s">
        <v>425</v>
      </c>
      <c r="E115" s="47" t="s">
        <v>513</v>
      </c>
      <c r="F115" s="88">
        <v>25</v>
      </c>
      <c r="G115" s="89">
        <v>3</v>
      </c>
      <c r="H115" s="88">
        <v>4</v>
      </c>
      <c r="I115" s="197">
        <v>3785</v>
      </c>
      <c r="J115" s="198">
        <v>594</v>
      </c>
      <c r="K115" s="206">
        <f>J115/G115</f>
        <v>198</v>
      </c>
      <c r="L115" s="207">
        <f>I115/J115</f>
        <v>6.372053872053872</v>
      </c>
      <c r="M115" s="199">
        <v>255387.75</v>
      </c>
      <c r="N115" s="200">
        <v>25530</v>
      </c>
      <c r="O115" s="218">
        <f aca="true" t="shared" si="6" ref="O115:O125">+M115/N115</f>
        <v>10.003437132784958</v>
      </c>
      <c r="P115" s="232"/>
    </row>
    <row r="116" spans="1:16" ht="15">
      <c r="A116" s="91">
        <v>113</v>
      </c>
      <c r="B116" s="55" t="s">
        <v>394</v>
      </c>
      <c r="C116" s="41">
        <v>39402</v>
      </c>
      <c r="D116" s="45" t="s">
        <v>41</v>
      </c>
      <c r="E116" s="44" t="s">
        <v>140</v>
      </c>
      <c r="F116" s="63">
        <v>20</v>
      </c>
      <c r="G116" s="63">
        <v>6</v>
      </c>
      <c r="H116" s="63">
        <v>8</v>
      </c>
      <c r="I116" s="85">
        <v>3777</v>
      </c>
      <c r="J116" s="93">
        <v>663</v>
      </c>
      <c r="K116" s="143">
        <f>J116/G116</f>
        <v>110.5</v>
      </c>
      <c r="L116" s="144">
        <f>I116/J116</f>
        <v>5.6968325791855206</v>
      </c>
      <c r="M116" s="145">
        <f>8296+141704+66729+20126+11859+581+2076+3662+3777</f>
        <v>258810</v>
      </c>
      <c r="N116" s="146">
        <f>702+12499+6089+1727+1871+101+444+549+663</f>
        <v>24645</v>
      </c>
      <c r="O116" s="81">
        <f t="shared" si="6"/>
        <v>10.501521606816798</v>
      </c>
      <c r="P116" s="232"/>
    </row>
    <row r="117" spans="1:16" ht="15">
      <c r="A117" s="91">
        <v>114</v>
      </c>
      <c r="B117" s="56" t="s">
        <v>382</v>
      </c>
      <c r="C117" s="41">
        <v>39437</v>
      </c>
      <c r="D117" s="46" t="s">
        <v>43</v>
      </c>
      <c r="E117" s="46" t="s">
        <v>383</v>
      </c>
      <c r="F117" s="43">
        <v>156</v>
      </c>
      <c r="G117" s="43">
        <v>1</v>
      </c>
      <c r="H117" s="43">
        <v>15</v>
      </c>
      <c r="I117" s="86">
        <v>3673</v>
      </c>
      <c r="J117" s="95">
        <v>918</v>
      </c>
      <c r="K117" s="143">
        <f>+J117/G117</f>
        <v>918</v>
      </c>
      <c r="L117" s="144">
        <f>+I117/J117</f>
        <v>4.001089324618737</v>
      </c>
      <c r="M117" s="135">
        <f>1780127+1212579.5+721829.5+404706.5+230406+56484.5+45824+18497.5+10529+9795.5+1455+3484+1447+391+3673</f>
        <v>4501229</v>
      </c>
      <c r="N117" s="133">
        <f>240776+165120+97288+55998+35394+10296+9476+3143+2091+2258+337+991+436+98+918</f>
        <v>624620</v>
      </c>
      <c r="O117" s="81">
        <f t="shared" si="6"/>
        <v>7.2063478594985755</v>
      </c>
      <c r="P117" s="232">
        <v>1</v>
      </c>
    </row>
    <row r="118" spans="1:16" ht="15">
      <c r="A118" s="91">
        <v>115</v>
      </c>
      <c r="B118" s="56" t="s">
        <v>498</v>
      </c>
      <c r="C118" s="42">
        <v>39024</v>
      </c>
      <c r="D118" s="46" t="s">
        <v>43</v>
      </c>
      <c r="E118" s="46" t="s">
        <v>360</v>
      </c>
      <c r="F118" s="43">
        <v>101</v>
      </c>
      <c r="G118" s="43">
        <v>1</v>
      </c>
      <c r="H118" s="43">
        <v>25</v>
      </c>
      <c r="I118" s="187">
        <v>3630</v>
      </c>
      <c r="J118" s="188">
        <v>1210</v>
      </c>
      <c r="K118" s="206">
        <f aca="true" t="shared" si="7" ref="K118:K125">J118/G118</f>
        <v>1210</v>
      </c>
      <c r="L118" s="207">
        <f aca="true" t="shared" si="8" ref="L118:L125">I118/J118</f>
        <v>3</v>
      </c>
      <c r="M118" s="191">
        <f>530823.5+393324.5+246673+142047.5+90279+66707.5+37936.5+13029.5+1598+2927+1434+1198+3126+1126+5313+1928+213+1782+2376+224+8+10+2348+2376+3630</f>
        <v>1552438</v>
      </c>
      <c r="N118" s="189">
        <f>72012+52585+34010+23715+16736+14148+8160+2798+301+723+591+434+289+363+1142+386+446+48+475+28+1+2+587+594+1210</f>
        <v>231784</v>
      </c>
      <c r="O118" s="218">
        <f t="shared" si="6"/>
        <v>6.6977789666240986</v>
      </c>
      <c r="P118" s="232">
        <v>1</v>
      </c>
    </row>
    <row r="119" spans="1:16" ht="15">
      <c r="A119" s="91">
        <v>116</v>
      </c>
      <c r="B119" s="56" t="s">
        <v>511</v>
      </c>
      <c r="C119" s="42">
        <v>39045</v>
      </c>
      <c r="D119" s="46" t="s">
        <v>43</v>
      </c>
      <c r="E119" s="46" t="s">
        <v>512</v>
      </c>
      <c r="F119" s="43">
        <v>105</v>
      </c>
      <c r="G119" s="43">
        <v>1</v>
      </c>
      <c r="H119" s="43">
        <v>37</v>
      </c>
      <c r="I119" s="187">
        <v>3630</v>
      </c>
      <c r="J119" s="188">
        <v>1210</v>
      </c>
      <c r="K119" s="206">
        <f t="shared" si="7"/>
        <v>1210</v>
      </c>
      <c r="L119" s="207">
        <f t="shared" si="8"/>
        <v>3</v>
      </c>
      <c r="M119" s="191">
        <f>923228.5+937012.5+950194+628448.5+336851+386155+185586+7528+78557+38487.5+19951.5+79+2267.5-1008+9203+2435+1210+836+3795.5+1284+1033+2376+108+8910+3564+10330+5034+2376+2376+972+2376+200+20659.5+1510.5+3021+3613+2408+2552+2408+0.5+3630+0.5</f>
        <v>4591559.5</v>
      </c>
      <c r="N119" s="189">
        <f>117837+123027+120667+81172+47916+61261+32646+795+14471+9345+4644+35+561-336+1591+487+300+161+1018+303+241+475+13+2228+891+2583+1259+594+594+162+594+67+4132+378+756+903+602+638+602+1210</f>
        <v>636823</v>
      </c>
      <c r="O119" s="216">
        <f t="shared" si="6"/>
        <v>7.2101031212754565</v>
      </c>
      <c r="P119" s="232">
        <v>1</v>
      </c>
    </row>
    <row r="120" spans="1:16" ht="15">
      <c r="A120" s="91">
        <v>117</v>
      </c>
      <c r="B120" s="56" t="s">
        <v>598</v>
      </c>
      <c r="C120" s="42">
        <v>36553</v>
      </c>
      <c r="D120" s="46" t="s">
        <v>414</v>
      </c>
      <c r="E120" s="46" t="s">
        <v>414</v>
      </c>
      <c r="F120" s="43">
        <v>50</v>
      </c>
      <c r="G120" s="43">
        <v>1</v>
      </c>
      <c r="H120" s="43">
        <v>50</v>
      </c>
      <c r="I120" s="86">
        <v>3630</v>
      </c>
      <c r="J120" s="188">
        <v>1210</v>
      </c>
      <c r="K120" s="206">
        <f t="shared" si="7"/>
        <v>1210</v>
      </c>
      <c r="L120" s="207">
        <f t="shared" si="8"/>
        <v>3</v>
      </c>
      <c r="M120" s="135">
        <f>(478126648+604066+46500+712500+712500+238000+475000+238000+238000+301500+504000+594000+2194500)/1000+2376+3630</f>
        <v>490991.214</v>
      </c>
      <c r="N120" s="189">
        <f>271307+605+30+570+475+238+475+238+238+201+336+396+1463+1188+252+403+504+1210</f>
        <v>280129</v>
      </c>
      <c r="O120" s="218">
        <f t="shared" si="6"/>
        <v>1.7527325410792884</v>
      </c>
      <c r="P120" s="402"/>
    </row>
    <row r="121" spans="1:16" ht="15">
      <c r="A121" s="91">
        <v>118</v>
      </c>
      <c r="B121" s="56" t="s">
        <v>599</v>
      </c>
      <c r="C121" s="42">
        <v>38653</v>
      </c>
      <c r="D121" s="46" t="s">
        <v>43</v>
      </c>
      <c r="E121" s="46" t="s">
        <v>600</v>
      </c>
      <c r="F121" s="43">
        <v>233</v>
      </c>
      <c r="G121" s="43">
        <v>1</v>
      </c>
      <c r="H121" s="43">
        <v>24</v>
      </c>
      <c r="I121" s="86">
        <v>3630</v>
      </c>
      <c r="J121" s="188">
        <v>1210</v>
      </c>
      <c r="K121" s="206">
        <f t="shared" si="7"/>
        <v>1210</v>
      </c>
      <c r="L121" s="207">
        <f t="shared" si="8"/>
        <v>3</v>
      </c>
      <c r="M121" s="135">
        <f>1350319+1981946+674687+495931+221393.5+106280+35943.5+15737+10017+3134+1274+2376+2951-5+5409+32+32+196+291+3021+1188+2376+197+3020+3630</f>
        <v>4921376</v>
      </c>
      <c r="N121" s="189">
        <f>208954+300860+104860+82209+41215+22985+6363+3444+2831+685+270+1188+383+1986+8+8+49+97+1007+396+792+49+755+1210</f>
        <v>782604</v>
      </c>
      <c r="O121" s="218">
        <f t="shared" si="6"/>
        <v>6.288462619664607</v>
      </c>
      <c r="P121" s="402">
        <v>1</v>
      </c>
    </row>
    <row r="122" spans="1:16" ht="15">
      <c r="A122" s="91">
        <v>119</v>
      </c>
      <c r="B122" s="56" t="s">
        <v>175</v>
      </c>
      <c r="C122" s="42">
        <v>38674</v>
      </c>
      <c r="D122" s="46" t="s">
        <v>43</v>
      </c>
      <c r="E122" s="46" t="s">
        <v>226</v>
      </c>
      <c r="F122" s="43">
        <v>135</v>
      </c>
      <c r="G122" s="43">
        <v>1</v>
      </c>
      <c r="H122" s="43">
        <v>75</v>
      </c>
      <c r="I122" s="86">
        <v>3630</v>
      </c>
      <c r="J122" s="188">
        <v>1210</v>
      </c>
      <c r="K122" s="206">
        <f t="shared" si="7"/>
        <v>1210</v>
      </c>
      <c r="L122" s="207">
        <f t="shared" si="8"/>
        <v>3</v>
      </c>
      <c r="M122"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f>
        <v>25459383.5</v>
      </c>
      <c r="N122" s="18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f>
        <v>3837876</v>
      </c>
      <c r="O122" s="218">
        <f t="shared" si="6"/>
        <v>6.633717061207814</v>
      </c>
      <c r="P122" s="402">
        <v>1</v>
      </c>
    </row>
    <row r="123" spans="1:16" ht="15">
      <c r="A123" s="91">
        <v>120</v>
      </c>
      <c r="B123" s="56" t="s">
        <v>175</v>
      </c>
      <c r="C123" s="42">
        <v>38674</v>
      </c>
      <c r="D123" s="46" t="s">
        <v>43</v>
      </c>
      <c r="E123" s="46" t="s">
        <v>226</v>
      </c>
      <c r="F123" s="43">
        <v>138</v>
      </c>
      <c r="G123" s="43">
        <v>1</v>
      </c>
      <c r="H123" s="43">
        <v>74</v>
      </c>
      <c r="I123" s="187">
        <v>3629.5</v>
      </c>
      <c r="J123" s="188">
        <v>1210</v>
      </c>
      <c r="K123" s="206">
        <f t="shared" si="7"/>
        <v>1210</v>
      </c>
      <c r="L123" s="207">
        <f t="shared" si="8"/>
        <v>2.999586776859504</v>
      </c>
      <c r="M123" s="191">
        <v>25455753.5</v>
      </c>
      <c r="N123" s="189">
        <v>3836666</v>
      </c>
      <c r="O123" s="218">
        <f t="shared" si="6"/>
        <v>6.634863055580027</v>
      </c>
      <c r="P123" s="232">
        <v>1</v>
      </c>
    </row>
    <row r="124" spans="1:16" ht="15">
      <c r="A124" s="91">
        <v>121</v>
      </c>
      <c r="B124" s="330" t="s">
        <v>511</v>
      </c>
      <c r="C124" s="323">
        <v>39045</v>
      </c>
      <c r="D124" s="322" t="s">
        <v>43</v>
      </c>
      <c r="E124" s="322" t="s">
        <v>512</v>
      </c>
      <c r="F124" s="324">
        <v>59</v>
      </c>
      <c r="G124" s="324">
        <v>1</v>
      </c>
      <c r="H124" s="324">
        <v>33</v>
      </c>
      <c r="I124" s="325">
        <v>3613</v>
      </c>
      <c r="J124" s="326">
        <v>903</v>
      </c>
      <c r="K124" s="327">
        <f t="shared" si="7"/>
        <v>903</v>
      </c>
      <c r="L124" s="328">
        <f t="shared" si="8"/>
        <v>4.001107419712071</v>
      </c>
      <c r="M124" s="329">
        <f>923228.5+937012.5+950194+628448.5+336851+386155+185586+7528+78557+38487.5+19951.5+79+2267.5-1008+9203+2435+1210+836+3795.5+1284+1033+2376+108+8910+3564+10330+5034+2376+2376+972+2376+200+20659.5+1510.5+3021+3613</f>
        <v>4580560.5</v>
      </c>
      <c r="N124" s="327">
        <f>117837+123027+120667+81172+47916+61261+32646+795+14471+9345+4644+35+561-336+1591+487+300+161+1018+303+241+475+13+2228+891+2583+1259+594+594+162+594+67+4132+378+756+903</f>
        <v>633771</v>
      </c>
      <c r="O124" s="331">
        <f t="shared" si="6"/>
        <v>7.227469385629825</v>
      </c>
      <c r="P124" s="232"/>
    </row>
    <row r="125" spans="1:16" ht="15">
      <c r="A125" s="91">
        <v>122</v>
      </c>
      <c r="B125" s="55" t="s">
        <v>280</v>
      </c>
      <c r="C125" s="41">
        <v>39409</v>
      </c>
      <c r="D125" s="45" t="s">
        <v>41</v>
      </c>
      <c r="E125" s="44" t="s">
        <v>52</v>
      </c>
      <c r="F125" s="63">
        <v>69</v>
      </c>
      <c r="G125" s="63">
        <v>4</v>
      </c>
      <c r="H125" s="63">
        <v>7</v>
      </c>
      <c r="I125" s="85">
        <v>3613</v>
      </c>
      <c r="J125" s="93">
        <v>696</v>
      </c>
      <c r="K125" s="143">
        <f t="shared" si="7"/>
        <v>174</v>
      </c>
      <c r="L125" s="144">
        <f t="shared" si="8"/>
        <v>5.191091954022989</v>
      </c>
      <c r="M125" s="145">
        <f>387069+277494+166747+4993+4045+7291+3613</f>
        <v>851252</v>
      </c>
      <c r="N125" s="146">
        <f>37017+27892+17708+698+855+1523+696</f>
        <v>86389</v>
      </c>
      <c r="O125" s="81">
        <f t="shared" si="6"/>
        <v>9.85370822674183</v>
      </c>
      <c r="P125" s="232"/>
    </row>
    <row r="126" spans="1:16" ht="15">
      <c r="A126" s="91">
        <v>123</v>
      </c>
      <c r="B126" s="330" t="s">
        <v>31</v>
      </c>
      <c r="C126" s="323">
        <v>39101</v>
      </c>
      <c r="D126" s="322" t="s">
        <v>43</v>
      </c>
      <c r="E126" s="322" t="s">
        <v>43</v>
      </c>
      <c r="F126" s="324">
        <v>160</v>
      </c>
      <c r="G126" s="324">
        <v>1</v>
      </c>
      <c r="H126" s="324">
        <v>35</v>
      </c>
      <c r="I126" s="325">
        <v>3572</v>
      </c>
      <c r="J126" s="326">
        <v>893</v>
      </c>
      <c r="K126" s="327">
        <v>893</v>
      </c>
      <c r="L126" s="328">
        <v>4</v>
      </c>
      <c r="M126" s="329">
        <v>7600618.5</v>
      </c>
      <c r="N126" s="327">
        <v>1086402</v>
      </c>
      <c r="O126" s="331">
        <v>6.99613816984873</v>
      </c>
      <c r="P126" s="232"/>
    </row>
    <row r="127" spans="1:16" ht="15">
      <c r="A127" s="91">
        <v>124</v>
      </c>
      <c r="B127" s="55" t="s">
        <v>76</v>
      </c>
      <c r="C127" s="41">
        <v>39346</v>
      </c>
      <c r="D127" s="44" t="s">
        <v>81</v>
      </c>
      <c r="E127" s="44" t="s">
        <v>290</v>
      </c>
      <c r="F127" s="63">
        <v>43</v>
      </c>
      <c r="G127" s="63">
        <v>1</v>
      </c>
      <c r="H127" s="63">
        <v>13</v>
      </c>
      <c r="I127" s="192">
        <v>3564</v>
      </c>
      <c r="J127" s="193">
        <v>1188</v>
      </c>
      <c r="K127" s="194">
        <f>IF(I127&lt;&gt;0,J127/G127,"")</f>
        <v>1188</v>
      </c>
      <c r="L127" s="195">
        <f>IF(I127&lt;&gt;0,I127/J127,"")</f>
        <v>3</v>
      </c>
      <c r="M127" s="196">
        <v>123853</v>
      </c>
      <c r="N127" s="189">
        <v>17022</v>
      </c>
      <c r="O127" s="216">
        <f>IF(M127&lt;&gt;0,M127/N127,"")</f>
        <v>7.276054517682998</v>
      </c>
      <c r="P127" s="333"/>
    </row>
    <row r="128" spans="1:16" ht="15">
      <c r="A128" s="91">
        <v>125</v>
      </c>
      <c r="B128" s="55" t="s">
        <v>280</v>
      </c>
      <c r="C128" s="41">
        <v>39409</v>
      </c>
      <c r="D128" s="45" t="s">
        <v>41</v>
      </c>
      <c r="E128" s="44" t="s">
        <v>52</v>
      </c>
      <c r="F128" s="63">
        <v>69</v>
      </c>
      <c r="G128" s="63">
        <v>4</v>
      </c>
      <c r="H128" s="63">
        <v>11</v>
      </c>
      <c r="I128" s="197">
        <v>3535</v>
      </c>
      <c r="J128" s="198">
        <v>552</v>
      </c>
      <c r="K128" s="206">
        <f>J128/G128</f>
        <v>138</v>
      </c>
      <c r="L128" s="207">
        <f>I128/J128</f>
        <v>6.403985507246377</v>
      </c>
      <c r="M128" s="199">
        <f>387069+277494+166747+4993+4045+7291+3613+313+916+831+3535</f>
        <v>856847</v>
      </c>
      <c r="N128" s="200">
        <f>37017+27892+17708+698+855+1523+696+56+479+146+552</f>
        <v>87622</v>
      </c>
      <c r="O128" s="218">
        <f>+M128/N128</f>
        <v>9.77890255871813</v>
      </c>
      <c r="P128" s="232"/>
    </row>
    <row r="129" spans="1:16" ht="15">
      <c r="A129" s="91">
        <v>126</v>
      </c>
      <c r="B129" s="56" t="s">
        <v>384</v>
      </c>
      <c r="C129" s="41">
        <v>39437</v>
      </c>
      <c r="D129" s="87" t="s">
        <v>42</v>
      </c>
      <c r="E129" s="87" t="s">
        <v>45</v>
      </c>
      <c r="F129" s="43">
        <v>105</v>
      </c>
      <c r="G129" s="43">
        <v>2</v>
      </c>
      <c r="H129" s="43">
        <v>7</v>
      </c>
      <c r="I129" s="187">
        <v>3464</v>
      </c>
      <c r="J129" s="188">
        <v>583</v>
      </c>
      <c r="K129" s="189">
        <f>J129/G129</f>
        <v>291.5</v>
      </c>
      <c r="L129" s="190">
        <f>+I129/J129</f>
        <v>5.941680960548885</v>
      </c>
      <c r="M129" s="191">
        <v>714941</v>
      </c>
      <c r="N129" s="189">
        <v>82229</v>
      </c>
      <c r="O129" s="215">
        <f>+M129/N129</f>
        <v>8.694511668632721</v>
      </c>
      <c r="P129" s="232"/>
    </row>
    <row r="130" spans="1:16" ht="15">
      <c r="A130" s="91">
        <v>127</v>
      </c>
      <c r="B130" s="56" t="s">
        <v>382</v>
      </c>
      <c r="C130" s="41">
        <v>39437</v>
      </c>
      <c r="D130" s="46" t="s">
        <v>43</v>
      </c>
      <c r="E130" s="46" t="s">
        <v>383</v>
      </c>
      <c r="F130" s="43">
        <v>156</v>
      </c>
      <c r="G130" s="43">
        <v>5</v>
      </c>
      <c r="H130" s="43">
        <v>12</v>
      </c>
      <c r="I130" s="187">
        <v>3436</v>
      </c>
      <c r="J130" s="188">
        <v>973</v>
      </c>
      <c r="K130" s="206">
        <f>J130/G130</f>
        <v>194.6</v>
      </c>
      <c r="L130" s="207">
        <f>I130/J130</f>
        <v>3.5313463514902366</v>
      </c>
      <c r="M130" s="191">
        <f>1780127+1212579.5+721829.5+404706.5+230406+56484.5+45824+18497.5+10529+9795.5+1455+3436</f>
        <v>4495670</v>
      </c>
      <c r="N130" s="189">
        <f>240776+165120+97288+55998+35394+10296+9476+3143+2091+2258+337+973</f>
        <v>623150</v>
      </c>
      <c r="O130" s="218">
        <f>+M130/N130</f>
        <v>7.214426703041001</v>
      </c>
      <c r="P130" s="333"/>
    </row>
    <row r="131" spans="1:16" ht="15">
      <c r="A131" s="91">
        <v>128</v>
      </c>
      <c r="B131" s="57" t="s">
        <v>401</v>
      </c>
      <c r="C131" s="41">
        <v>39423</v>
      </c>
      <c r="D131" s="47" t="s">
        <v>468</v>
      </c>
      <c r="E131" s="47" t="s">
        <v>468</v>
      </c>
      <c r="F131" s="58">
        <v>1</v>
      </c>
      <c r="G131" s="58">
        <v>1</v>
      </c>
      <c r="H131" s="58">
        <v>5</v>
      </c>
      <c r="I131" s="85">
        <v>3429</v>
      </c>
      <c r="J131" s="93">
        <v>317</v>
      </c>
      <c r="K131" s="136">
        <f>+J131/G131</f>
        <v>317</v>
      </c>
      <c r="L131" s="137">
        <f>+I131/J131</f>
        <v>10.817034700315457</v>
      </c>
      <c r="M131" s="145">
        <v>22339</v>
      </c>
      <c r="N131" s="146">
        <v>1936</v>
      </c>
      <c r="O131" s="156">
        <f>+M131/N131</f>
        <v>11.538739669421487</v>
      </c>
      <c r="P131" s="232"/>
    </row>
    <row r="132" spans="1:16" ht="15">
      <c r="A132" s="91">
        <v>129</v>
      </c>
      <c r="B132" s="55" t="s">
        <v>281</v>
      </c>
      <c r="C132" s="41">
        <v>39416</v>
      </c>
      <c r="D132" s="45" t="s">
        <v>41</v>
      </c>
      <c r="E132" s="44" t="s">
        <v>140</v>
      </c>
      <c r="F132" s="63">
        <v>123</v>
      </c>
      <c r="G132" s="63">
        <v>8</v>
      </c>
      <c r="H132" s="63">
        <v>9</v>
      </c>
      <c r="I132" s="197">
        <v>3403</v>
      </c>
      <c r="J132" s="198">
        <v>686</v>
      </c>
      <c r="K132" s="206">
        <f>J132/G132</f>
        <v>85.75</v>
      </c>
      <c r="L132" s="207">
        <f>I132/J132</f>
        <v>4.960641399416909</v>
      </c>
      <c r="M132" s="199">
        <f>155416+1136619+622980+528056+225392+174199+84508+58425+34257+3403</f>
        <v>3023255</v>
      </c>
      <c r="N132" s="200">
        <f>12079+122083+66530+52286+18245+17821+7913+4333+2998+686</f>
        <v>304974</v>
      </c>
      <c r="O132" s="218">
        <f>+M132/N132</f>
        <v>9.913156531376446</v>
      </c>
      <c r="P132" s="333">
        <v>1</v>
      </c>
    </row>
    <row r="133" spans="1:16" ht="15">
      <c r="A133" s="91">
        <v>130</v>
      </c>
      <c r="B133" s="56" t="s">
        <v>276</v>
      </c>
      <c r="C133" s="42">
        <v>39416</v>
      </c>
      <c r="D133" s="46" t="s">
        <v>43</v>
      </c>
      <c r="E133" s="46" t="s">
        <v>390</v>
      </c>
      <c r="F133" s="43">
        <v>20</v>
      </c>
      <c r="G133" s="43">
        <v>3</v>
      </c>
      <c r="H133" s="43">
        <v>6</v>
      </c>
      <c r="I133" s="86">
        <v>3347</v>
      </c>
      <c r="J133" s="95">
        <v>396</v>
      </c>
      <c r="K133" s="136">
        <f>IF(I133&lt;&gt;0,J133/G133,"")</f>
        <v>132</v>
      </c>
      <c r="L133" s="137">
        <f>IF(I133&lt;&gt;0,I133/J133,"")</f>
        <v>8.452020202020202</v>
      </c>
      <c r="M133" s="135">
        <f>75692.5+51302+12584.5+2036+2909.5+3347</f>
        <v>147871.5</v>
      </c>
      <c r="N133" s="133">
        <f>7291+5230+1727+233+363+396</f>
        <v>15240</v>
      </c>
      <c r="O133" s="156">
        <f>IF(M133&lt;&gt;0,M133/N133,"")</f>
        <v>9.70285433070866</v>
      </c>
      <c r="P133" s="232"/>
    </row>
    <row r="134" spans="1:16" ht="15">
      <c r="A134" s="91">
        <v>131</v>
      </c>
      <c r="B134" s="55" t="s">
        <v>510</v>
      </c>
      <c r="C134" s="41">
        <v>39402</v>
      </c>
      <c r="D134" s="45" t="s">
        <v>41</v>
      </c>
      <c r="E134" s="44" t="s">
        <v>52</v>
      </c>
      <c r="F134" s="63">
        <v>64</v>
      </c>
      <c r="G134" s="63">
        <v>1</v>
      </c>
      <c r="H134" s="63">
        <v>8</v>
      </c>
      <c r="I134" s="85">
        <v>3337</v>
      </c>
      <c r="J134" s="93">
        <v>358</v>
      </c>
      <c r="K134" s="143">
        <f>J134/G134</f>
        <v>358</v>
      </c>
      <c r="L134" s="144">
        <f>I134/J134</f>
        <v>9.32122905027933</v>
      </c>
      <c r="M134" s="145">
        <f>299858+213967+97347+22667+8568+16509+4053+3337</f>
        <v>666306</v>
      </c>
      <c r="N134" s="146">
        <f>33225+24189+12517+4002+2479+2973+867+358</f>
        <v>80610</v>
      </c>
      <c r="O134" s="81">
        <f>+M134/N134</f>
        <v>8.265798288053592</v>
      </c>
      <c r="P134" s="333"/>
    </row>
    <row r="135" spans="1:16" ht="15">
      <c r="A135" s="91">
        <v>132</v>
      </c>
      <c r="B135" s="56" t="s">
        <v>110</v>
      </c>
      <c r="C135" s="41">
        <v>39395</v>
      </c>
      <c r="D135" s="46" t="s">
        <v>425</v>
      </c>
      <c r="E135" s="46" t="s">
        <v>335</v>
      </c>
      <c r="F135" s="43">
        <v>5</v>
      </c>
      <c r="G135" s="43">
        <v>2</v>
      </c>
      <c r="H135" s="43">
        <v>6</v>
      </c>
      <c r="I135" s="187">
        <v>3328</v>
      </c>
      <c r="J135" s="188">
        <v>832</v>
      </c>
      <c r="K135" s="206">
        <f>J135/G135</f>
        <v>416</v>
      </c>
      <c r="L135" s="207">
        <f>I135/J135</f>
        <v>4</v>
      </c>
      <c r="M135" s="191">
        <v>8462.5</v>
      </c>
      <c r="N135" s="189">
        <v>1859</v>
      </c>
      <c r="O135" s="218">
        <f>+M135/N135</f>
        <v>4.552178590640129</v>
      </c>
      <c r="P135" s="232"/>
    </row>
    <row r="136" spans="1:16" ht="15">
      <c r="A136" s="91">
        <v>133</v>
      </c>
      <c r="B136" s="57" t="s">
        <v>393</v>
      </c>
      <c r="C136" s="41">
        <v>39395</v>
      </c>
      <c r="D136" s="47" t="s">
        <v>223</v>
      </c>
      <c r="E136" s="47" t="s">
        <v>294</v>
      </c>
      <c r="F136" s="64" t="s">
        <v>549</v>
      </c>
      <c r="G136" s="64" t="s">
        <v>424</v>
      </c>
      <c r="H136" s="64" t="s">
        <v>365</v>
      </c>
      <c r="I136" s="85">
        <v>3326.4</v>
      </c>
      <c r="J136" s="93">
        <v>665</v>
      </c>
      <c r="K136" s="143">
        <f>J136/G136</f>
        <v>665</v>
      </c>
      <c r="L136" s="207">
        <f>I136/J136</f>
        <v>5.002105263157895</v>
      </c>
      <c r="M136" s="145">
        <v>144894.95</v>
      </c>
      <c r="N136" s="146">
        <v>23721</v>
      </c>
      <c r="O136" s="218">
        <f>+M136/N136</f>
        <v>6.108298554023861</v>
      </c>
      <c r="P136" s="232"/>
    </row>
    <row r="137" spans="1:16" ht="15">
      <c r="A137" s="91">
        <v>134</v>
      </c>
      <c r="B137" s="56" t="s">
        <v>397</v>
      </c>
      <c r="C137" s="42">
        <v>39402</v>
      </c>
      <c r="D137" s="87" t="s">
        <v>42</v>
      </c>
      <c r="E137" s="87" t="s">
        <v>471</v>
      </c>
      <c r="F137" s="43">
        <v>130</v>
      </c>
      <c r="G137" s="43">
        <v>21</v>
      </c>
      <c r="H137" s="43">
        <v>8</v>
      </c>
      <c r="I137" s="86">
        <v>3233</v>
      </c>
      <c r="J137" s="95">
        <v>645</v>
      </c>
      <c r="K137" s="133">
        <f>J137/G137</f>
        <v>30.714285714285715</v>
      </c>
      <c r="L137" s="134">
        <f>+I137/J137</f>
        <v>5.0124031007751935</v>
      </c>
      <c r="M137" s="135">
        <v>2076609</v>
      </c>
      <c r="N137" s="133">
        <v>260506</v>
      </c>
      <c r="O137" s="155">
        <f>+M137/N137</f>
        <v>7.971444035837946</v>
      </c>
      <c r="P137" s="232"/>
    </row>
    <row r="138" spans="1:16" ht="15">
      <c r="A138" s="91">
        <v>135</v>
      </c>
      <c r="B138" s="55" t="s">
        <v>392</v>
      </c>
      <c r="C138" s="41">
        <v>39381</v>
      </c>
      <c r="D138" s="44" t="s">
        <v>81</v>
      </c>
      <c r="E138" s="44" t="s">
        <v>143</v>
      </c>
      <c r="F138" s="63">
        <v>91</v>
      </c>
      <c r="G138" s="63">
        <v>2</v>
      </c>
      <c r="H138" s="63">
        <v>14</v>
      </c>
      <c r="I138" s="192">
        <v>3214</v>
      </c>
      <c r="J138" s="193">
        <v>690</v>
      </c>
      <c r="K138" s="194">
        <f>IF(I138&lt;&gt;0,J138/G138,"")</f>
        <v>345</v>
      </c>
      <c r="L138" s="195">
        <f>IF(I138&lt;&gt;0,I138/J138,"")</f>
        <v>4.6579710144927535</v>
      </c>
      <c r="M138" s="196">
        <f>964543+666618+447582+156310.5+90863+70894+37352.5+3350+1874+714.5+4126+4390+3896+3214</f>
        <v>2455727.5</v>
      </c>
      <c r="N138" s="189">
        <f>104009+73251+49929+20007+15751+12767+7228+691+416+233+781+895+779+690</f>
        <v>287427</v>
      </c>
      <c r="O138" s="216">
        <f>IF(M138&lt;&gt;0,M138/N138,"")</f>
        <v>8.54383025950937</v>
      </c>
      <c r="P138" s="232"/>
    </row>
    <row r="139" spans="1:16" ht="15">
      <c r="A139" s="91">
        <v>136</v>
      </c>
      <c r="B139" s="57" t="s">
        <v>353</v>
      </c>
      <c r="C139" s="41">
        <v>39444</v>
      </c>
      <c r="D139" s="47" t="s">
        <v>432</v>
      </c>
      <c r="E139" s="47" t="s">
        <v>98</v>
      </c>
      <c r="F139" s="64" t="s">
        <v>515</v>
      </c>
      <c r="G139" s="64" t="s">
        <v>548</v>
      </c>
      <c r="H139" s="64" t="s">
        <v>431</v>
      </c>
      <c r="I139" s="85">
        <v>3171</v>
      </c>
      <c r="J139" s="93">
        <v>499</v>
      </c>
      <c r="K139" s="143">
        <f aca="true" t="shared" si="9" ref="K139:K145">J139/G139</f>
        <v>62.375</v>
      </c>
      <c r="L139" s="144">
        <f aca="true" t="shared" si="10" ref="L139:L145">I139/J139</f>
        <v>6.354709418837675</v>
      </c>
      <c r="M139" s="145">
        <v>18357.5</v>
      </c>
      <c r="N139" s="146">
        <v>2250</v>
      </c>
      <c r="O139" s="81">
        <f>+M139/N139</f>
        <v>8.158888888888889</v>
      </c>
      <c r="P139" s="232"/>
    </row>
    <row r="140" spans="1:16" ht="15">
      <c r="A140" s="91">
        <v>137</v>
      </c>
      <c r="B140" s="56" t="s">
        <v>476</v>
      </c>
      <c r="C140" s="42">
        <v>39430</v>
      </c>
      <c r="D140" s="46" t="s">
        <v>43</v>
      </c>
      <c r="E140" s="46" t="s">
        <v>434</v>
      </c>
      <c r="F140" s="43">
        <v>43</v>
      </c>
      <c r="G140" s="43">
        <v>2</v>
      </c>
      <c r="H140" s="43">
        <v>8</v>
      </c>
      <c r="I140" s="187">
        <v>3101.5</v>
      </c>
      <c r="J140" s="188">
        <v>717</v>
      </c>
      <c r="K140" s="206">
        <f t="shared" si="9"/>
        <v>358.5</v>
      </c>
      <c r="L140" s="207">
        <f t="shared" si="10"/>
        <v>4.325662482566249</v>
      </c>
      <c r="M140" s="191">
        <f>43240+25728.5+5226.5+5207.5+50+1692+2247+3101.5</f>
        <v>86493</v>
      </c>
      <c r="N140" s="189">
        <f>5272+3593+870+1171+5+336+461+717</f>
        <v>12425</v>
      </c>
      <c r="O140" s="217">
        <f>M140/N140</f>
        <v>6.961207243460764</v>
      </c>
      <c r="P140" s="232"/>
    </row>
    <row r="141" spans="1:16" ht="15">
      <c r="A141" s="91">
        <v>138</v>
      </c>
      <c r="B141" s="56" t="s">
        <v>475</v>
      </c>
      <c r="C141" s="41">
        <v>39430</v>
      </c>
      <c r="D141" s="46" t="s">
        <v>43</v>
      </c>
      <c r="E141" s="46" t="s">
        <v>44</v>
      </c>
      <c r="F141" s="43">
        <v>64</v>
      </c>
      <c r="G141" s="43">
        <v>2</v>
      </c>
      <c r="H141" s="43">
        <v>12</v>
      </c>
      <c r="I141" s="187">
        <v>3097</v>
      </c>
      <c r="J141" s="188">
        <v>775</v>
      </c>
      <c r="K141" s="206">
        <f t="shared" si="9"/>
        <v>387.5</v>
      </c>
      <c r="L141" s="207">
        <f t="shared" si="10"/>
        <v>3.9961290322580645</v>
      </c>
      <c r="M141" s="191">
        <f>183581+192120.5+67824+23763.5+5798.5+5467+22027+14042+2947+442+995+3097</f>
        <v>522104.5</v>
      </c>
      <c r="N141" s="189">
        <f>20071+21989+8620+4128+850+1010+3719+2499+595+78+61+775</f>
        <v>64395</v>
      </c>
      <c r="O141" s="218">
        <f>+M141/N141</f>
        <v>8.107842223775139</v>
      </c>
      <c r="P141" s="232"/>
    </row>
    <row r="142" spans="1:16" ht="18">
      <c r="A142" s="91">
        <v>139</v>
      </c>
      <c r="B142" s="56" t="s">
        <v>282</v>
      </c>
      <c r="C142" s="42">
        <v>39409</v>
      </c>
      <c r="D142" s="47" t="s">
        <v>43</v>
      </c>
      <c r="E142" s="46" t="s">
        <v>362</v>
      </c>
      <c r="F142" s="43">
        <v>13</v>
      </c>
      <c r="G142" s="43">
        <v>1</v>
      </c>
      <c r="H142" s="43">
        <v>8</v>
      </c>
      <c r="I142" s="354">
        <v>3076</v>
      </c>
      <c r="J142" s="355">
        <v>1026</v>
      </c>
      <c r="K142" s="143">
        <f t="shared" si="9"/>
        <v>1026</v>
      </c>
      <c r="L142" s="144">
        <f t="shared" si="10"/>
        <v>2.9980506822612085</v>
      </c>
      <c r="M142" s="135">
        <f>12464+5333-100+2072+1025+199+193+373+3076</f>
        <v>24635</v>
      </c>
      <c r="N142" s="133">
        <f>1407+644-8+342+204+38+38+86+1026</f>
        <v>3777</v>
      </c>
      <c r="O142" s="81">
        <f>+M142/N142</f>
        <v>6.522372253110935</v>
      </c>
      <c r="P142" s="317"/>
    </row>
    <row r="143" spans="1:16" ht="15">
      <c r="A143" s="91">
        <v>140</v>
      </c>
      <c r="B143" s="56" t="s">
        <v>382</v>
      </c>
      <c r="C143" s="42">
        <v>39437</v>
      </c>
      <c r="D143" s="46" t="s">
        <v>43</v>
      </c>
      <c r="E143" s="46" t="s">
        <v>383</v>
      </c>
      <c r="F143" s="43">
        <v>156</v>
      </c>
      <c r="G143" s="43">
        <v>1</v>
      </c>
      <c r="H143" s="43">
        <v>21</v>
      </c>
      <c r="I143" s="345">
        <v>3062</v>
      </c>
      <c r="J143" s="346">
        <v>766</v>
      </c>
      <c r="K143" s="206">
        <f t="shared" si="9"/>
        <v>766</v>
      </c>
      <c r="L143" s="207">
        <f t="shared" si="10"/>
        <v>3.9973890339425586</v>
      </c>
      <c r="M143" s="191">
        <f>1780127+1212579.5+721829.5+404706.5+230406+56484.5+45824+18497.5+10529+9795.5+1455+3484+1447+391+3673+4075.5+1032+2531+796+535+3062</f>
        <v>4513260.5</v>
      </c>
      <c r="N143" s="189">
        <f>240776+165120+97288+55998+35394+10296+9476+3143+2091+2258+337+991+436+98+918+697+200+844+138+94+766</f>
        <v>627359</v>
      </c>
      <c r="O143" s="218">
        <f>+M143/N143</f>
        <v>7.194063526625106</v>
      </c>
      <c r="P143" s="232"/>
    </row>
    <row r="144" spans="1:16" ht="15">
      <c r="A144" s="91">
        <v>141</v>
      </c>
      <c r="B144" s="330" t="s">
        <v>475</v>
      </c>
      <c r="C144" s="323">
        <v>39430</v>
      </c>
      <c r="D144" s="322" t="s">
        <v>43</v>
      </c>
      <c r="E144" s="322" t="s">
        <v>44</v>
      </c>
      <c r="F144" s="324">
        <v>64</v>
      </c>
      <c r="G144" s="324">
        <v>1</v>
      </c>
      <c r="H144" s="324">
        <v>19</v>
      </c>
      <c r="I144" s="325">
        <v>3062</v>
      </c>
      <c r="J144" s="326">
        <v>766</v>
      </c>
      <c r="K144" s="327">
        <f t="shared" si="9"/>
        <v>766</v>
      </c>
      <c r="L144" s="328">
        <f t="shared" si="10"/>
        <v>3.9973890339425586</v>
      </c>
      <c r="M144" s="329">
        <f>183581+192120.5+67824+23763.5+5798.5+5467+22027+14042+2947+442+3097+2408.5+78+12+1060+830+20+40+3062</f>
        <v>528620</v>
      </c>
      <c r="N144" s="327">
        <f>20071+21989+8620+4128+850+1010+3719+2499+595+78+775+602+26+4+192+166+5+10+766</f>
        <v>66105</v>
      </c>
      <c r="O144" s="331">
        <f>+M144/N144</f>
        <v>7.996671961273731</v>
      </c>
      <c r="P144" s="232">
        <v>1</v>
      </c>
    </row>
    <row r="145" spans="1:16" ht="15">
      <c r="A145" s="91">
        <v>142</v>
      </c>
      <c r="B145" s="56" t="s">
        <v>299</v>
      </c>
      <c r="C145" s="41">
        <v>39395</v>
      </c>
      <c r="D145" s="46" t="s">
        <v>43</v>
      </c>
      <c r="E145" s="46" t="s">
        <v>44</v>
      </c>
      <c r="F145" s="43">
        <v>35</v>
      </c>
      <c r="G145" s="43">
        <v>1</v>
      </c>
      <c r="H145" s="43">
        <v>12</v>
      </c>
      <c r="I145" s="187">
        <v>3062</v>
      </c>
      <c r="J145" s="188">
        <v>766</v>
      </c>
      <c r="K145" s="206">
        <f t="shared" si="9"/>
        <v>766</v>
      </c>
      <c r="L145" s="207">
        <f t="shared" si="10"/>
        <v>3.9973890339425586</v>
      </c>
      <c r="M145" s="191">
        <f>310876.5+189449.5+81911+30301+17300.5+2478+1808+1661.5+1269+1934+2857+3062</f>
        <v>644908</v>
      </c>
      <c r="N145" s="189">
        <f>27485+16830+7465+3781+3026+485+290+393+249+683+716+766</f>
        <v>62169</v>
      </c>
      <c r="O145" s="218">
        <f>+M145/N145</f>
        <v>10.373465875275459</v>
      </c>
      <c r="P145" s="232">
        <v>1</v>
      </c>
    </row>
    <row r="146" spans="1:16" ht="15">
      <c r="A146" s="91">
        <v>143</v>
      </c>
      <c r="B146" s="56" t="s">
        <v>511</v>
      </c>
      <c r="C146" s="42">
        <v>39045</v>
      </c>
      <c r="D146" s="46" t="s">
        <v>43</v>
      </c>
      <c r="E146" s="46" t="s">
        <v>512</v>
      </c>
      <c r="F146" s="43">
        <v>59</v>
      </c>
      <c r="G146" s="43">
        <v>1</v>
      </c>
      <c r="H146" s="43">
        <v>32</v>
      </c>
      <c r="I146" s="86">
        <v>3021</v>
      </c>
      <c r="J146" s="95">
        <v>756</v>
      </c>
      <c r="K146" s="136">
        <f>IF(I146&lt;&gt;0,J146/G146,"")</f>
        <v>756</v>
      </c>
      <c r="L146" s="137">
        <f>IF(I146&lt;&gt;0,I146/J146,"")</f>
        <v>3.996031746031746</v>
      </c>
      <c r="M146" s="135">
        <f>923228.5+937012.5+950194+628448.5+336851+386155+185586+7528+78557+38487.5+19951.5+79+2267.5-1008+9203+2435+1210+836+3795.5+1284+1033+2376+108+8910+3564+10330+5034+2376+2376+972+2376+200+20659.5+1510.5+3021</f>
        <v>4576947.5</v>
      </c>
      <c r="N146" s="133">
        <f>117837+123027+120667+81172+47916+61261+32646+795+14471+9345+4644+35+561-336+1591+487+300+161+1018+303+241+475+13+2228+891+2583+1259+594+594+162+594+67+4132+378+756</f>
        <v>632868</v>
      </c>
      <c r="O146" s="156">
        <f>IF(M146&lt;&gt;0,M146/N146,"")</f>
        <v>7.232072880916716</v>
      </c>
      <c r="P146" s="232"/>
    </row>
    <row r="147" spans="1:16" ht="15">
      <c r="A147" s="91">
        <v>144</v>
      </c>
      <c r="B147" s="350" t="s">
        <v>470</v>
      </c>
      <c r="C147" s="42">
        <v>39430</v>
      </c>
      <c r="D147" s="87" t="s">
        <v>42</v>
      </c>
      <c r="E147" s="87" t="s">
        <v>66</v>
      </c>
      <c r="F147" s="43">
        <v>242</v>
      </c>
      <c r="G147" s="43">
        <v>1</v>
      </c>
      <c r="H147" s="43">
        <v>33</v>
      </c>
      <c r="I147" s="345">
        <v>3020</v>
      </c>
      <c r="J147" s="346">
        <v>1000</v>
      </c>
      <c r="K147" s="189">
        <f>J147/G147</f>
        <v>1000</v>
      </c>
      <c r="L147" s="190">
        <f>+I147/J147</f>
        <v>3.02</v>
      </c>
      <c r="M147" s="191">
        <v>15322005</v>
      </c>
      <c r="N147" s="189">
        <v>1998738</v>
      </c>
      <c r="O147" s="215">
        <f>+M147/N147</f>
        <v>7.665839644815879</v>
      </c>
      <c r="P147" s="232"/>
    </row>
    <row r="148" spans="1:16" ht="15">
      <c r="A148" s="91">
        <v>145</v>
      </c>
      <c r="B148" s="62" t="s">
        <v>319</v>
      </c>
      <c r="C148" s="41">
        <v>39423</v>
      </c>
      <c r="D148" s="47" t="s">
        <v>468</v>
      </c>
      <c r="E148" s="47" t="s">
        <v>468</v>
      </c>
      <c r="F148" s="58">
        <v>1</v>
      </c>
      <c r="G148" s="58">
        <v>1</v>
      </c>
      <c r="H148" s="58">
        <v>34</v>
      </c>
      <c r="I148" s="85">
        <v>3000</v>
      </c>
      <c r="J148" s="93">
        <v>1000</v>
      </c>
      <c r="K148" s="136">
        <f>+J148/G148</f>
        <v>1000</v>
      </c>
      <c r="L148" s="137">
        <f>+I148/J148</f>
        <v>3</v>
      </c>
      <c r="M148" s="145">
        <v>35027</v>
      </c>
      <c r="N148" s="146">
        <v>4394</v>
      </c>
      <c r="O148" s="156">
        <f>+M148/N148</f>
        <v>7.971552116522531</v>
      </c>
      <c r="P148" s="232"/>
    </row>
    <row r="149" spans="1:16" ht="15">
      <c r="A149" s="91">
        <v>146</v>
      </c>
      <c r="B149" s="57" t="s">
        <v>278</v>
      </c>
      <c r="C149" s="42">
        <v>39416</v>
      </c>
      <c r="D149" s="47" t="s">
        <v>425</v>
      </c>
      <c r="E149" s="47" t="s">
        <v>546</v>
      </c>
      <c r="F149" s="88">
        <v>4</v>
      </c>
      <c r="G149" s="89">
        <v>4</v>
      </c>
      <c r="H149" s="88">
        <v>6</v>
      </c>
      <c r="I149" s="85">
        <v>2995</v>
      </c>
      <c r="J149" s="93">
        <v>518</v>
      </c>
      <c r="K149" s="143">
        <f>J149/G149</f>
        <v>129.5</v>
      </c>
      <c r="L149" s="144">
        <f>I149/J149</f>
        <v>5.781853281853282</v>
      </c>
      <c r="M149" s="145">
        <v>43169</v>
      </c>
      <c r="N149" s="146">
        <v>4604</v>
      </c>
      <c r="O149" s="81">
        <f>+M149/N149</f>
        <v>9.376411815812338</v>
      </c>
      <c r="P149" s="232"/>
    </row>
    <row r="150" spans="1:16" ht="15">
      <c r="A150" s="91">
        <v>147</v>
      </c>
      <c r="B150" s="56" t="s">
        <v>392</v>
      </c>
      <c r="C150" s="41">
        <v>39381</v>
      </c>
      <c r="D150" s="46" t="s">
        <v>81</v>
      </c>
      <c r="E150" s="46" t="s">
        <v>563</v>
      </c>
      <c r="F150" s="43">
        <v>91</v>
      </c>
      <c r="G150" s="43">
        <v>2</v>
      </c>
      <c r="H150" s="43">
        <v>18</v>
      </c>
      <c r="I150" s="354">
        <v>2990</v>
      </c>
      <c r="J150" s="355">
        <v>731</v>
      </c>
      <c r="K150" s="143">
        <f>IF(I150&lt;&gt;0,J150/G150,"")</f>
        <v>365.5</v>
      </c>
      <c r="L150" s="144">
        <f>IF(I150&lt;&gt;0,I150/J150,"")</f>
        <v>4.090287277701778</v>
      </c>
      <c r="M150" s="135">
        <f>2459549.5+0+2990</f>
        <v>2462539.5</v>
      </c>
      <c r="N150" s="133">
        <f>288443+0+731</f>
        <v>289174</v>
      </c>
      <c r="O150" s="81">
        <f>IF(M150&lt;&gt;0,M150/N150,"")</f>
        <v>8.51577078160554</v>
      </c>
      <c r="P150" s="232">
        <v>1</v>
      </c>
    </row>
    <row r="151" spans="1:16" ht="15">
      <c r="A151" s="91">
        <v>148</v>
      </c>
      <c r="B151" s="57" t="s">
        <v>518</v>
      </c>
      <c r="C151" s="41">
        <v>39444</v>
      </c>
      <c r="D151" s="47" t="s">
        <v>468</v>
      </c>
      <c r="E151" s="47" t="s">
        <v>468</v>
      </c>
      <c r="F151" s="58">
        <v>14</v>
      </c>
      <c r="G151" s="58">
        <v>5</v>
      </c>
      <c r="H151" s="58">
        <v>6</v>
      </c>
      <c r="I151" s="197">
        <v>2981</v>
      </c>
      <c r="J151" s="198">
        <v>588</v>
      </c>
      <c r="K151" s="206">
        <f>J151/G151</f>
        <v>117.6</v>
      </c>
      <c r="L151" s="207">
        <f>I151/J151</f>
        <v>5.069727891156463</v>
      </c>
      <c r="M151" s="199">
        <v>234024</v>
      </c>
      <c r="N151" s="200">
        <v>23101</v>
      </c>
      <c r="O151" s="216">
        <f>+M151/N151</f>
        <v>10.130470542400762</v>
      </c>
      <c r="P151" s="232"/>
    </row>
    <row r="152" spans="1:16" ht="15">
      <c r="A152" s="91">
        <v>149</v>
      </c>
      <c r="B152" s="57" t="s">
        <v>144</v>
      </c>
      <c r="C152" s="42">
        <v>39381</v>
      </c>
      <c r="D152" s="47" t="s">
        <v>425</v>
      </c>
      <c r="E152" s="47" t="s">
        <v>145</v>
      </c>
      <c r="F152" s="88">
        <v>11</v>
      </c>
      <c r="G152" s="89">
        <v>4</v>
      </c>
      <c r="H152" s="88">
        <v>11</v>
      </c>
      <c r="I152" s="85">
        <v>2972</v>
      </c>
      <c r="J152" s="93">
        <v>542</v>
      </c>
      <c r="K152" s="143">
        <f>J152/G152</f>
        <v>135.5</v>
      </c>
      <c r="L152" s="144">
        <f>I152/J152</f>
        <v>5.483394833948339</v>
      </c>
      <c r="M152" s="145">
        <v>220410.7</v>
      </c>
      <c r="N152" s="146">
        <v>24789</v>
      </c>
      <c r="O152" s="81">
        <f>+M152/N152</f>
        <v>8.89147202388156</v>
      </c>
      <c r="P152" s="232"/>
    </row>
    <row r="153" spans="1:16" ht="15">
      <c r="A153" s="91">
        <v>150</v>
      </c>
      <c r="B153" s="56" t="s">
        <v>514</v>
      </c>
      <c r="C153" s="41">
        <v>39437</v>
      </c>
      <c r="D153" s="299" t="s">
        <v>425</v>
      </c>
      <c r="E153" s="299" t="s">
        <v>289</v>
      </c>
      <c r="F153" s="43">
        <v>1</v>
      </c>
      <c r="G153" s="43">
        <v>1</v>
      </c>
      <c r="H153" s="43">
        <v>6</v>
      </c>
      <c r="I153" s="187">
        <v>2971</v>
      </c>
      <c r="J153" s="188">
        <v>742</v>
      </c>
      <c r="K153" s="206">
        <f>J153/G153</f>
        <v>742</v>
      </c>
      <c r="L153" s="207">
        <f>I153/J153</f>
        <v>4.004043126684636</v>
      </c>
      <c r="M153" s="191">
        <v>26721.5</v>
      </c>
      <c r="N153" s="189">
        <v>4209</v>
      </c>
      <c r="O153" s="218">
        <f>+M153/N153</f>
        <v>6.3486576383939175</v>
      </c>
      <c r="P153" s="232"/>
    </row>
    <row r="154" spans="1:16" ht="15">
      <c r="A154" s="91">
        <v>151</v>
      </c>
      <c r="B154" s="57" t="s">
        <v>401</v>
      </c>
      <c r="C154" s="41">
        <v>39423</v>
      </c>
      <c r="D154" s="47" t="s">
        <v>468</v>
      </c>
      <c r="E154" s="47" t="s">
        <v>468</v>
      </c>
      <c r="F154" s="58">
        <v>1</v>
      </c>
      <c r="G154" s="58">
        <v>1</v>
      </c>
      <c r="H154" s="58">
        <v>5</v>
      </c>
      <c r="I154" s="197">
        <v>2963</v>
      </c>
      <c r="J154" s="198">
        <v>311</v>
      </c>
      <c r="K154" s="194">
        <f>+J154/G154</f>
        <v>311</v>
      </c>
      <c r="L154" s="195">
        <f>+I154/J154</f>
        <v>9.52733118971061</v>
      </c>
      <c r="M154" s="199">
        <v>25302</v>
      </c>
      <c r="N154" s="200">
        <v>2247</v>
      </c>
      <c r="O154" s="216">
        <f>+M154/N154</f>
        <v>11.260347129506007</v>
      </c>
      <c r="P154" s="232">
        <v>1</v>
      </c>
    </row>
    <row r="155" spans="1:16" ht="15">
      <c r="A155" s="91">
        <v>152</v>
      </c>
      <c r="B155" s="56" t="s">
        <v>475</v>
      </c>
      <c r="C155" s="42">
        <v>39430</v>
      </c>
      <c r="D155" s="46" t="s">
        <v>43</v>
      </c>
      <c r="E155" s="46" t="s">
        <v>44</v>
      </c>
      <c r="F155" s="235">
        <v>64</v>
      </c>
      <c r="G155" s="43">
        <v>8</v>
      </c>
      <c r="H155" s="43">
        <v>9</v>
      </c>
      <c r="I155" s="86">
        <v>2947</v>
      </c>
      <c r="J155" s="95">
        <v>595</v>
      </c>
      <c r="K155" s="136">
        <f>IF(I155&lt;&gt;0,J155/G155,"")</f>
        <v>74.375</v>
      </c>
      <c r="L155" s="195">
        <f>IF(I155&lt;&gt;0,I155/J155,"")</f>
        <v>4.952941176470588</v>
      </c>
      <c r="M155" s="135">
        <f>183581+192120.5+67824+23763.5+5798.5+5467+22027+14042+2947</f>
        <v>517570.5</v>
      </c>
      <c r="N155" s="133">
        <f>20071+21989+8620+4128+850+1010+3719+2499+595</f>
        <v>63481</v>
      </c>
      <c r="O155" s="216">
        <f>IF(M155&lt;&gt;0,M155/N155,"")</f>
        <v>8.15315606244388</v>
      </c>
      <c r="P155" s="232"/>
    </row>
    <row r="156" spans="1:16" ht="18">
      <c r="A156" s="91">
        <v>153</v>
      </c>
      <c r="B156" s="56" t="s">
        <v>299</v>
      </c>
      <c r="C156" s="42">
        <v>39395</v>
      </c>
      <c r="D156" s="46" t="s">
        <v>43</v>
      </c>
      <c r="E156" s="46" t="s">
        <v>44</v>
      </c>
      <c r="F156" s="43">
        <v>35</v>
      </c>
      <c r="G156" s="43">
        <v>2</v>
      </c>
      <c r="H156" s="43">
        <v>11</v>
      </c>
      <c r="I156" s="187">
        <v>2857</v>
      </c>
      <c r="J156" s="188">
        <v>716</v>
      </c>
      <c r="K156" s="206">
        <f>J156/G156</f>
        <v>358</v>
      </c>
      <c r="L156" s="207">
        <f>I156/J156</f>
        <v>3.9902234636871508</v>
      </c>
      <c r="M156" s="191">
        <f>310876.5+189449.5+81911+30301+17300.5+2478+1808+1661.5+1269+1934+2857</f>
        <v>641846</v>
      </c>
      <c r="N156" s="189">
        <f>27485+16830+7465+3781+3026+485+290+393+249+683+716</f>
        <v>61403</v>
      </c>
      <c r="O156" s="217">
        <f>M156/N156</f>
        <v>10.453007182059508</v>
      </c>
      <c r="P156" s="317"/>
    </row>
    <row r="157" spans="1:16" ht="15">
      <c r="A157" s="91">
        <v>154</v>
      </c>
      <c r="B157" s="56" t="s">
        <v>393</v>
      </c>
      <c r="C157" s="41">
        <v>39395</v>
      </c>
      <c r="D157" s="46" t="s">
        <v>223</v>
      </c>
      <c r="E157" s="46" t="s">
        <v>294</v>
      </c>
      <c r="F157" s="43" t="s">
        <v>549</v>
      </c>
      <c r="G157" s="43" t="s">
        <v>431</v>
      </c>
      <c r="H157" s="43" t="s">
        <v>488</v>
      </c>
      <c r="I157" s="187">
        <v>2851.18</v>
      </c>
      <c r="J157" s="188">
        <v>573</v>
      </c>
      <c r="K157" s="206">
        <f>J157/G157</f>
        <v>286.5</v>
      </c>
      <c r="L157" s="207">
        <f>I157/J157</f>
        <v>4.97588132635253</v>
      </c>
      <c r="M157" s="191">
        <v>151772.15</v>
      </c>
      <c r="N157" s="189">
        <v>25074</v>
      </c>
      <c r="O157" s="218">
        <f>+M157/N157</f>
        <v>6.05296921113504</v>
      </c>
      <c r="P157" s="232"/>
    </row>
    <row r="158" spans="1:16" ht="15">
      <c r="A158" s="91">
        <v>155</v>
      </c>
      <c r="B158" s="55" t="s">
        <v>469</v>
      </c>
      <c r="C158" s="41">
        <v>39423</v>
      </c>
      <c r="D158" s="44" t="s">
        <v>81</v>
      </c>
      <c r="E158" s="44" t="s">
        <v>290</v>
      </c>
      <c r="F158" s="63">
        <v>164</v>
      </c>
      <c r="G158" s="63">
        <v>5</v>
      </c>
      <c r="H158" s="63">
        <v>11</v>
      </c>
      <c r="I158" s="192">
        <v>2826</v>
      </c>
      <c r="J158" s="193">
        <v>598</v>
      </c>
      <c r="K158" s="206">
        <f>J158/G158</f>
        <v>119.6</v>
      </c>
      <c r="L158" s="137">
        <f>IF(I158&lt;&gt;0,I158/J158,"")</f>
        <v>4.725752508361204</v>
      </c>
      <c r="M158" s="196">
        <f>1455428+896564.5+785700+295594.5+45815.5+11311.5+13282+11389+10839+9534+2826</f>
        <v>3538284</v>
      </c>
      <c r="N158" s="189">
        <f>172176+105411+97548+39201+8243+2114+2845+2112+2384+1888+598</f>
        <v>434520</v>
      </c>
      <c r="O158" s="81">
        <f>+M158/N158</f>
        <v>8.14297155481911</v>
      </c>
      <c r="P158" s="232">
        <v>1</v>
      </c>
    </row>
    <row r="159" spans="1:16" ht="15">
      <c r="A159" s="91">
        <v>156</v>
      </c>
      <c r="B159" s="55" t="s">
        <v>517</v>
      </c>
      <c r="C159" s="41">
        <v>39444</v>
      </c>
      <c r="D159" s="45" t="s">
        <v>41</v>
      </c>
      <c r="E159" s="44" t="s">
        <v>52</v>
      </c>
      <c r="F159" s="63">
        <v>60</v>
      </c>
      <c r="G159" s="63">
        <v>7</v>
      </c>
      <c r="H159" s="63">
        <v>4</v>
      </c>
      <c r="I159" s="197">
        <v>2807</v>
      </c>
      <c r="J159" s="198">
        <v>450</v>
      </c>
      <c r="K159" s="206">
        <f>J159/G159</f>
        <v>64.28571428571429</v>
      </c>
      <c r="L159" s="207">
        <f>I159/J159</f>
        <v>6.237777777777778</v>
      </c>
      <c r="M159" s="199">
        <f>211429+90759+13033+2807</f>
        <v>318028</v>
      </c>
      <c r="N159" s="200">
        <f>22982+9879+1560+450</f>
        <v>34871</v>
      </c>
      <c r="O159" s="218">
        <f>+M159/N159</f>
        <v>9.120128473516676</v>
      </c>
      <c r="P159" s="232"/>
    </row>
    <row r="160" spans="1:16" ht="15">
      <c r="A160" s="91">
        <v>157</v>
      </c>
      <c r="B160" s="55" t="s">
        <v>429</v>
      </c>
      <c r="C160" s="41">
        <v>39164</v>
      </c>
      <c r="D160" s="44" t="s">
        <v>81</v>
      </c>
      <c r="E160" s="44" t="s">
        <v>51</v>
      </c>
      <c r="F160" s="63">
        <v>119</v>
      </c>
      <c r="G160" s="63">
        <v>2</v>
      </c>
      <c r="H160" s="63">
        <v>29</v>
      </c>
      <c r="I160" s="192">
        <v>2755</v>
      </c>
      <c r="J160" s="193">
        <v>551</v>
      </c>
      <c r="K160" s="206">
        <f>J160/G160</f>
        <v>275.5</v>
      </c>
      <c r="L160" s="207">
        <f>I160/J160</f>
        <v>5</v>
      </c>
      <c r="M160" s="196">
        <f>1508816.5+0</f>
        <v>1508816.5</v>
      </c>
      <c r="N160" s="189">
        <f>201542+0</f>
        <v>201542</v>
      </c>
      <c r="O160" s="216">
        <f>IF(M160&lt;&gt;0,M160/N160,"")</f>
        <v>7.486362644014647</v>
      </c>
      <c r="P160" s="232"/>
    </row>
    <row r="161" spans="1:16" ht="15">
      <c r="A161" s="91">
        <v>158</v>
      </c>
      <c r="B161" s="77" t="s">
        <v>275</v>
      </c>
      <c r="C161" s="61">
        <v>39416</v>
      </c>
      <c r="D161" s="80" t="s">
        <v>412</v>
      </c>
      <c r="E161" s="80" t="s">
        <v>293</v>
      </c>
      <c r="F161" s="78">
        <v>45</v>
      </c>
      <c r="G161" s="79">
        <v>4</v>
      </c>
      <c r="H161" s="79">
        <v>11</v>
      </c>
      <c r="I161" s="117">
        <v>2727</v>
      </c>
      <c r="J161" s="139">
        <v>681</v>
      </c>
      <c r="K161" s="140">
        <v>92.17647058823529</v>
      </c>
      <c r="L161" s="204">
        <v>5.0644543714103385</v>
      </c>
      <c r="M161" s="142">
        <v>182014</v>
      </c>
      <c r="N161" s="150">
        <v>27105</v>
      </c>
      <c r="O161" s="216">
        <f>+M161/N161</f>
        <v>6.715144807231138</v>
      </c>
      <c r="P161" s="232"/>
    </row>
    <row r="162" spans="1:16" ht="15">
      <c r="A162" s="91">
        <v>159</v>
      </c>
      <c r="B162" s="57" t="s">
        <v>385</v>
      </c>
      <c r="C162" s="41">
        <v>39437</v>
      </c>
      <c r="D162" s="48" t="s">
        <v>48</v>
      </c>
      <c r="E162" s="48" t="s">
        <v>426</v>
      </c>
      <c r="F162" s="76">
        <v>17</v>
      </c>
      <c r="G162" s="76">
        <v>17</v>
      </c>
      <c r="H162" s="76">
        <v>4</v>
      </c>
      <c r="I162" s="209">
        <v>2727</v>
      </c>
      <c r="J162" s="210">
        <v>388</v>
      </c>
      <c r="K162" s="211">
        <f>J162/G162</f>
        <v>22.823529411764707</v>
      </c>
      <c r="L162" s="212">
        <f>I162/J162</f>
        <v>7.028350515463917</v>
      </c>
      <c r="M162" s="213">
        <v>273470</v>
      </c>
      <c r="N162" s="211">
        <v>25716</v>
      </c>
      <c r="O162" s="219">
        <f>M162/N162</f>
        <v>10.634235495411417</v>
      </c>
      <c r="P162" s="232">
        <v>1</v>
      </c>
    </row>
    <row r="163" spans="1:16" ht="15">
      <c r="A163" s="91">
        <v>160</v>
      </c>
      <c r="B163" s="56" t="s">
        <v>281</v>
      </c>
      <c r="C163" s="41">
        <v>39416</v>
      </c>
      <c r="D163" s="46" t="s">
        <v>41</v>
      </c>
      <c r="E163" s="46" t="s">
        <v>140</v>
      </c>
      <c r="F163" s="43">
        <v>123</v>
      </c>
      <c r="G163" s="43">
        <v>1</v>
      </c>
      <c r="H163" s="43">
        <v>16</v>
      </c>
      <c r="I163" s="86">
        <v>2714</v>
      </c>
      <c r="J163" s="188">
        <v>258</v>
      </c>
      <c r="K163" s="206">
        <f>J163/G163</f>
        <v>258</v>
      </c>
      <c r="L163" s="207">
        <f>I163/J163</f>
        <v>10.51937984496124</v>
      </c>
      <c r="M163" s="135">
        <f>155416+1136619+622980+528056+225392+174199+84508+58425+34257+3403+1276+1707+633+682+568+405+2714</f>
        <v>3031240</v>
      </c>
      <c r="N163" s="189">
        <f>12079+122083+66530+52286+18245+17821+7913+4333+2998+686+289+388+102+107+93+66+258</f>
        <v>306277</v>
      </c>
      <c r="O163" s="218">
        <f>+M163/N163</f>
        <v>9.897053974016984</v>
      </c>
      <c r="P163" s="232"/>
    </row>
    <row r="164" spans="1:16" ht="15">
      <c r="A164" s="91">
        <v>161</v>
      </c>
      <c r="B164" s="56" t="s">
        <v>466</v>
      </c>
      <c r="C164" s="42">
        <v>39423</v>
      </c>
      <c r="D164" s="46" t="s">
        <v>43</v>
      </c>
      <c r="E164" s="46" t="s">
        <v>44</v>
      </c>
      <c r="F164" s="43">
        <v>40</v>
      </c>
      <c r="G164" s="43">
        <v>3</v>
      </c>
      <c r="H164" s="43">
        <v>6</v>
      </c>
      <c r="I164" s="187">
        <v>2705</v>
      </c>
      <c r="J164" s="188">
        <v>543</v>
      </c>
      <c r="K164" s="189">
        <f>J164/G164</f>
        <v>181</v>
      </c>
      <c r="L164" s="190">
        <f>+I164/J164</f>
        <v>4.98158379373849</v>
      </c>
      <c r="M164" s="191">
        <f>337397.5+246059+95618.5+43492.5+31631.5+2705</f>
        <v>756904</v>
      </c>
      <c r="N164" s="189">
        <f>35596+24953+11024+7059+5745+543</f>
        <v>84920</v>
      </c>
      <c r="O164" s="215">
        <f>+M164/N164</f>
        <v>8.913141780499293</v>
      </c>
      <c r="P164" s="232"/>
    </row>
    <row r="165" spans="1:16" ht="18">
      <c r="A165" s="91">
        <v>162</v>
      </c>
      <c r="B165" s="55" t="s">
        <v>395</v>
      </c>
      <c r="C165" s="41">
        <v>39402</v>
      </c>
      <c r="D165" s="44" t="s">
        <v>81</v>
      </c>
      <c r="E165" s="44" t="s">
        <v>396</v>
      </c>
      <c r="F165" s="63">
        <v>165</v>
      </c>
      <c r="G165" s="63">
        <v>2</v>
      </c>
      <c r="H165" s="63">
        <v>33</v>
      </c>
      <c r="I165" s="341">
        <v>2676</v>
      </c>
      <c r="J165" s="342">
        <v>535</v>
      </c>
      <c r="K165" s="194">
        <f>IF(I165&lt;&gt;0,J165/G165,"")</f>
        <v>267.5</v>
      </c>
      <c r="L165" s="195">
        <f>IF(I165&lt;&gt;0,I165/J165,"")</f>
        <v>5.001869158878504</v>
      </c>
      <c r="M165" s="196">
        <f>14315851.5+0+47739+12410+62922+653+801+2676</f>
        <v>14443052.5</v>
      </c>
      <c r="N165" s="189">
        <f>1937908+0+9548+2520+12584+133+159+535</f>
        <v>1963387</v>
      </c>
      <c r="O165" s="216">
        <f>IF(M165&lt;&gt;0,M165/N165,"")</f>
        <v>7.356192385912711</v>
      </c>
      <c r="P165" s="317"/>
    </row>
    <row r="166" spans="1:16" ht="15">
      <c r="A166" s="91">
        <v>163</v>
      </c>
      <c r="B166" s="56" t="s">
        <v>466</v>
      </c>
      <c r="C166" s="42">
        <v>39423</v>
      </c>
      <c r="D166" s="46" t="s">
        <v>43</v>
      </c>
      <c r="E166" s="46" t="s">
        <v>44</v>
      </c>
      <c r="F166" s="43">
        <v>40</v>
      </c>
      <c r="G166" s="43">
        <v>3</v>
      </c>
      <c r="H166" s="43">
        <v>9</v>
      </c>
      <c r="I166" s="187">
        <v>2653</v>
      </c>
      <c r="J166" s="188">
        <v>467</v>
      </c>
      <c r="K166" s="206">
        <f aca="true" t="shared" si="11" ref="K166:K188">J166/G166</f>
        <v>155.66666666666666</v>
      </c>
      <c r="L166" s="207">
        <f aca="true" t="shared" si="12" ref="L166:L182">I166/J166</f>
        <v>5.680942184154175</v>
      </c>
      <c r="M166" s="191">
        <f>337397.5+246059+95618.5+43492.5+31631.5+2705+4609+1105+2653</f>
        <v>765271</v>
      </c>
      <c r="N166" s="189">
        <f>35596+24953+11024+7059+5745+543+908+221+467</f>
        <v>86516</v>
      </c>
      <c r="O166" s="217">
        <f>M166/N166</f>
        <v>8.845427435387673</v>
      </c>
      <c r="P166" s="232">
        <v>1</v>
      </c>
    </row>
    <row r="167" spans="1:16" ht="15">
      <c r="A167" s="91">
        <v>164</v>
      </c>
      <c r="B167" s="56" t="s">
        <v>276</v>
      </c>
      <c r="C167" s="42">
        <v>39416</v>
      </c>
      <c r="D167" s="46" t="s">
        <v>43</v>
      </c>
      <c r="E167" s="46" t="s">
        <v>390</v>
      </c>
      <c r="F167" s="43">
        <v>20</v>
      </c>
      <c r="G167" s="43">
        <v>1</v>
      </c>
      <c r="H167" s="43">
        <v>8</v>
      </c>
      <c r="I167" s="187">
        <v>2626.5</v>
      </c>
      <c r="J167" s="188">
        <v>298</v>
      </c>
      <c r="K167" s="206">
        <f t="shared" si="11"/>
        <v>298</v>
      </c>
      <c r="L167" s="207">
        <f t="shared" si="12"/>
        <v>8.813758389261745</v>
      </c>
      <c r="M167" s="191">
        <f>75692.5+51302+12584.5+2036+2909.5+3347+4240.5+2626.5</f>
        <v>154738.5</v>
      </c>
      <c r="N167" s="189">
        <f>7291+5230+1727+233+363+396+496+298</f>
        <v>16034</v>
      </c>
      <c r="O167" s="218">
        <f aca="true" t="shared" si="13" ref="O167:O188">+M167/N167</f>
        <v>9.650648621678933</v>
      </c>
      <c r="P167" s="232"/>
    </row>
    <row r="168" spans="1:16" ht="18">
      <c r="A168" s="91">
        <v>165</v>
      </c>
      <c r="B168" s="56" t="s">
        <v>175</v>
      </c>
      <c r="C168" s="42">
        <v>38674</v>
      </c>
      <c r="D168" s="46" t="s">
        <v>43</v>
      </c>
      <c r="E168" s="46" t="s">
        <v>226</v>
      </c>
      <c r="F168" s="43">
        <v>138</v>
      </c>
      <c r="G168" s="43">
        <v>1</v>
      </c>
      <c r="H168" s="43">
        <v>72</v>
      </c>
      <c r="I168" s="345">
        <v>2552</v>
      </c>
      <c r="J168" s="346">
        <v>638</v>
      </c>
      <c r="K168" s="206">
        <f t="shared" si="11"/>
        <v>638</v>
      </c>
      <c r="L168" s="207">
        <f t="shared" si="12"/>
        <v>4</v>
      </c>
      <c r="M168" s="191">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f>
        <v>25449703</v>
      </c>
      <c r="N168" s="189">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f>
        <v>3834649</v>
      </c>
      <c r="O168" s="218">
        <f t="shared" si="13"/>
        <v>6.636775099885283</v>
      </c>
      <c r="P168" s="317"/>
    </row>
    <row r="169" spans="1:16" ht="15">
      <c r="A169" s="91">
        <v>166</v>
      </c>
      <c r="B169" s="56" t="s">
        <v>511</v>
      </c>
      <c r="C169" s="42">
        <v>39045</v>
      </c>
      <c r="D169" s="46" t="s">
        <v>43</v>
      </c>
      <c r="E169" s="46" t="s">
        <v>512</v>
      </c>
      <c r="F169" s="43">
        <v>59</v>
      </c>
      <c r="G169" s="43">
        <v>1</v>
      </c>
      <c r="H169" s="43">
        <v>35</v>
      </c>
      <c r="I169" s="345">
        <v>2552</v>
      </c>
      <c r="J169" s="346">
        <v>638</v>
      </c>
      <c r="K169" s="206">
        <f t="shared" si="11"/>
        <v>638</v>
      </c>
      <c r="L169" s="207">
        <f t="shared" si="12"/>
        <v>4</v>
      </c>
      <c r="M169" s="191">
        <f>923228.5+937012.5+950194+628448.5+336851+386155+185586+7528+78557+38487.5+19951.5+79+2267.5-1008+9203+2435+1210+836+3795.5+1284+1033+2376+108+8910+3564+10330+5034+2376+2376+972+2376+200+20659.5+1510.5+3021+3613+2408.5+2552</f>
        <v>4585521</v>
      </c>
      <c r="N169" s="189">
        <f>117837+123027+120667+81172+47916+61261+32646+795+14471+9345+4644+35+561-336+1591+487+300+161+1018+303+241+475+13+2228+891+2583+1259+594+594+162+594+67+4132+378+756+903+602+638</f>
        <v>635011</v>
      </c>
      <c r="O169" s="218">
        <f t="shared" si="13"/>
        <v>7.221167822289693</v>
      </c>
      <c r="P169" s="232">
        <v>1</v>
      </c>
    </row>
    <row r="170" spans="1:16" ht="15">
      <c r="A170" s="91">
        <v>167</v>
      </c>
      <c r="B170" s="56" t="s">
        <v>213</v>
      </c>
      <c r="C170" s="41">
        <v>39087</v>
      </c>
      <c r="D170" s="46" t="s">
        <v>41</v>
      </c>
      <c r="E170" s="46" t="s">
        <v>46</v>
      </c>
      <c r="F170" s="43">
        <v>80</v>
      </c>
      <c r="G170" s="43">
        <v>1</v>
      </c>
      <c r="H170" s="43">
        <v>31</v>
      </c>
      <c r="I170" s="187">
        <v>2542</v>
      </c>
      <c r="J170" s="188">
        <v>356</v>
      </c>
      <c r="K170" s="206">
        <f t="shared" si="11"/>
        <v>356</v>
      </c>
      <c r="L170" s="207">
        <f t="shared" si="12"/>
        <v>7.140449438202247</v>
      </c>
      <c r="M170" s="191">
        <f>1367+686114+384405+247619+146119+85619+63759-1+18934+11869+10791+11315+6907+8812+6730+2628+1465+749+1063+756+276+1198+612+510+45+1062+592+1782+205+893+893+2490+691+2542</f>
        <v>1710811</v>
      </c>
      <c r="N170" s="189">
        <f>80773+116+46317+29887+17891+10484+7685+2801+1917+1334+1333+755+1517+932+417+307+136+369+126+23+122+85+45+5+126+49+510+33+296+296+415+68+356</f>
        <v>207526</v>
      </c>
      <c r="O170" s="218">
        <f t="shared" si="13"/>
        <v>8.243839326156722</v>
      </c>
      <c r="P170" s="232"/>
    </row>
    <row r="171" spans="1:16" ht="15">
      <c r="A171" s="91">
        <v>168</v>
      </c>
      <c r="B171" s="55" t="s">
        <v>469</v>
      </c>
      <c r="C171" s="41">
        <v>39423</v>
      </c>
      <c r="D171" s="44" t="s">
        <v>81</v>
      </c>
      <c r="E171" s="44" t="s">
        <v>290</v>
      </c>
      <c r="F171" s="63">
        <v>164</v>
      </c>
      <c r="G171" s="63">
        <v>3</v>
      </c>
      <c r="H171" s="63">
        <v>12</v>
      </c>
      <c r="I171" s="192">
        <v>2532</v>
      </c>
      <c r="J171" s="193">
        <v>623</v>
      </c>
      <c r="K171" s="206">
        <f t="shared" si="11"/>
        <v>207.66666666666666</v>
      </c>
      <c r="L171" s="207">
        <f t="shared" si="12"/>
        <v>4.064205457463885</v>
      </c>
      <c r="M171" s="196">
        <f>1455428+896564.5+785700+295594.5+45815.5+11311.5+13282+11389+10839+9534+2826+2532</f>
        <v>3540816</v>
      </c>
      <c r="N171" s="189">
        <f>172176+105411+97548+39201+8243+2114+2845+2112+2384+1888+598+623</f>
        <v>435143</v>
      </c>
      <c r="O171" s="218">
        <f t="shared" si="13"/>
        <v>8.137131931342111</v>
      </c>
      <c r="P171" s="232"/>
    </row>
    <row r="172" spans="1:16" ht="15">
      <c r="A172" s="91">
        <v>169</v>
      </c>
      <c r="B172" s="56" t="s">
        <v>382</v>
      </c>
      <c r="C172" s="41">
        <v>39437</v>
      </c>
      <c r="D172" s="46" t="s">
        <v>43</v>
      </c>
      <c r="E172" s="46" t="s">
        <v>383</v>
      </c>
      <c r="F172" s="63">
        <v>156</v>
      </c>
      <c r="G172" s="43">
        <v>1</v>
      </c>
      <c r="H172" s="43">
        <v>18</v>
      </c>
      <c r="I172" s="187">
        <v>2531</v>
      </c>
      <c r="J172" s="188">
        <v>844</v>
      </c>
      <c r="K172" s="206">
        <f t="shared" si="11"/>
        <v>844</v>
      </c>
      <c r="L172" s="207">
        <f t="shared" si="12"/>
        <v>2.998815165876777</v>
      </c>
      <c r="M172" s="191">
        <f>1780127+1212579.5+721829.5+404706.5+230406+56484.5+45824+18497.5+10529+9795.5+1455+3484+1447+391+3673+4075.5+1032+2531</f>
        <v>4508867.5</v>
      </c>
      <c r="N172" s="189">
        <f>240776+165120+97288+55998+35394+10296+9476+3143+2091+2258+337+991+436+98+918+697+200+844</f>
        <v>626361</v>
      </c>
      <c r="O172" s="218">
        <f t="shared" si="13"/>
        <v>7.198512519138324</v>
      </c>
      <c r="P172" s="232"/>
    </row>
    <row r="173" spans="1:16" ht="15">
      <c r="A173" s="91">
        <v>170</v>
      </c>
      <c r="B173" s="55" t="s">
        <v>517</v>
      </c>
      <c r="C173" s="41">
        <v>39444</v>
      </c>
      <c r="D173" s="45" t="s">
        <v>41</v>
      </c>
      <c r="E173" s="44" t="s">
        <v>52</v>
      </c>
      <c r="F173" s="63">
        <v>60</v>
      </c>
      <c r="G173" s="63">
        <v>5</v>
      </c>
      <c r="H173" s="63">
        <v>5</v>
      </c>
      <c r="I173" s="197">
        <v>2520</v>
      </c>
      <c r="J173" s="198">
        <v>434</v>
      </c>
      <c r="K173" s="206">
        <f t="shared" si="11"/>
        <v>86.8</v>
      </c>
      <c r="L173" s="207">
        <f t="shared" si="12"/>
        <v>5.806451612903226</v>
      </c>
      <c r="M173" s="199">
        <f>211429+90759+13033+2807+2520</f>
        <v>320548</v>
      </c>
      <c r="N173" s="200">
        <f>22982+9879+1560+450+434</f>
        <v>35305</v>
      </c>
      <c r="O173" s="218">
        <f t="shared" si="13"/>
        <v>9.079393853561818</v>
      </c>
      <c r="P173" s="232"/>
    </row>
    <row r="174" spans="1:16" ht="15">
      <c r="A174" s="91">
        <v>171</v>
      </c>
      <c r="B174" s="56" t="s">
        <v>213</v>
      </c>
      <c r="C174" s="41">
        <v>39087</v>
      </c>
      <c r="D174" s="46" t="s">
        <v>41</v>
      </c>
      <c r="E174" s="46" t="s">
        <v>46</v>
      </c>
      <c r="F174" s="43">
        <v>80</v>
      </c>
      <c r="G174" s="43">
        <v>1</v>
      </c>
      <c r="H174" s="43">
        <v>29</v>
      </c>
      <c r="I174" s="187">
        <v>2490</v>
      </c>
      <c r="J174" s="188">
        <v>415</v>
      </c>
      <c r="K174" s="206">
        <f t="shared" si="11"/>
        <v>415</v>
      </c>
      <c r="L174" s="207">
        <f t="shared" si="12"/>
        <v>6</v>
      </c>
      <c r="M174" s="191">
        <f>1367+686114+384405+247619+146119+85619+63759-1+18934+11869+10791+11315+6907+8812+6730+2628+1465+749+1063+756+276+1198+612+510+45+1062+592+1782+205+893+893+2490</f>
        <v>1707578</v>
      </c>
      <c r="N174" s="189">
        <f>80773+116+46317+29887+17891+10484+7685+2801+1917+1334+1333+755+1517+932+417+307+136+369+126+23+122+85+45+5+126+49+510+33+296+296+415</f>
        <v>207102</v>
      </c>
      <c r="O174" s="218">
        <f t="shared" si="13"/>
        <v>8.245106276134464</v>
      </c>
      <c r="P174" s="232"/>
    </row>
    <row r="175" spans="1:16" ht="15">
      <c r="A175" s="91">
        <v>172</v>
      </c>
      <c r="B175" s="55" t="s">
        <v>252</v>
      </c>
      <c r="C175" s="41">
        <v>39437</v>
      </c>
      <c r="D175" s="45" t="s">
        <v>41</v>
      </c>
      <c r="E175" s="44" t="s">
        <v>551</v>
      </c>
      <c r="F175" s="63">
        <v>49</v>
      </c>
      <c r="G175" s="63">
        <v>5</v>
      </c>
      <c r="H175" s="63">
        <v>7</v>
      </c>
      <c r="I175" s="197">
        <v>2481</v>
      </c>
      <c r="J175" s="198">
        <v>412</v>
      </c>
      <c r="K175" s="206">
        <f t="shared" si="11"/>
        <v>82.4</v>
      </c>
      <c r="L175" s="207">
        <f t="shared" si="12"/>
        <v>6.021844660194175</v>
      </c>
      <c r="M175" s="199">
        <f>265356+150950+36636+752+2313+871+2481</f>
        <v>459359</v>
      </c>
      <c r="N175" s="200">
        <f>28419+15898+4109+157+424+163+412</f>
        <v>49582</v>
      </c>
      <c r="O175" s="218">
        <f t="shared" si="13"/>
        <v>9.264632326247428</v>
      </c>
      <c r="P175" s="232"/>
    </row>
    <row r="176" spans="1:16" ht="15">
      <c r="A176" s="91">
        <v>173</v>
      </c>
      <c r="B176" s="57" t="s">
        <v>386</v>
      </c>
      <c r="C176" s="41">
        <v>39437</v>
      </c>
      <c r="D176" s="47" t="s">
        <v>223</v>
      </c>
      <c r="E176" s="47" t="s">
        <v>550</v>
      </c>
      <c r="F176" s="64" t="s">
        <v>387</v>
      </c>
      <c r="G176" s="64" t="s">
        <v>430</v>
      </c>
      <c r="H176" s="64" t="s">
        <v>435</v>
      </c>
      <c r="I176" s="85">
        <v>2441.5</v>
      </c>
      <c r="J176" s="93">
        <v>412</v>
      </c>
      <c r="K176" s="143">
        <f t="shared" si="11"/>
        <v>41.2</v>
      </c>
      <c r="L176" s="144">
        <f t="shared" si="12"/>
        <v>5.925970873786408</v>
      </c>
      <c r="M176" s="145">
        <v>76642.5</v>
      </c>
      <c r="N176" s="146">
        <v>7945</v>
      </c>
      <c r="O176" s="81">
        <f t="shared" si="13"/>
        <v>9.646633102580239</v>
      </c>
      <c r="P176" s="232">
        <v>1</v>
      </c>
    </row>
    <row r="177" spans="1:16" ht="15">
      <c r="A177" s="91">
        <v>174</v>
      </c>
      <c r="B177" s="56" t="s">
        <v>175</v>
      </c>
      <c r="C177" s="42">
        <v>38674</v>
      </c>
      <c r="D177" s="46" t="s">
        <v>43</v>
      </c>
      <c r="E177" s="46" t="s">
        <v>226</v>
      </c>
      <c r="F177" s="43">
        <v>138</v>
      </c>
      <c r="G177" s="43">
        <v>1</v>
      </c>
      <c r="H177" s="43">
        <v>73</v>
      </c>
      <c r="I177" s="86">
        <v>2421</v>
      </c>
      <c r="J177" s="95">
        <v>807</v>
      </c>
      <c r="K177" s="140">
        <f t="shared" si="11"/>
        <v>807</v>
      </c>
      <c r="L177" s="141">
        <f t="shared" si="12"/>
        <v>3</v>
      </c>
      <c r="M177"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+2552+2421</f>
        <v>25452124</v>
      </c>
      <c r="N177" s="381">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f>
        <v>3835456</v>
      </c>
      <c r="O177" s="81">
        <f t="shared" si="13"/>
        <v>6.636009903385673</v>
      </c>
      <c r="P177" s="232">
        <v>1</v>
      </c>
    </row>
    <row r="178" spans="1:16" ht="15">
      <c r="A178" s="91">
        <v>175</v>
      </c>
      <c r="B178" s="56" t="s">
        <v>500</v>
      </c>
      <c r="C178" s="42">
        <v>39073</v>
      </c>
      <c r="D178" s="46" t="s">
        <v>43</v>
      </c>
      <c r="E178" s="46" t="s">
        <v>43</v>
      </c>
      <c r="F178" s="43">
        <v>96</v>
      </c>
      <c r="G178" s="43">
        <v>1</v>
      </c>
      <c r="H178" s="43">
        <v>18</v>
      </c>
      <c r="I178" s="187">
        <v>2420</v>
      </c>
      <c r="J178" s="188">
        <v>807</v>
      </c>
      <c r="K178" s="206">
        <f t="shared" si="11"/>
        <v>807</v>
      </c>
      <c r="L178" s="207">
        <f t="shared" si="12"/>
        <v>2.998760842627014</v>
      </c>
      <c r="M178" s="191">
        <f>585035+996891+491242.5+184490.5+17956.5+82961.5+2380+24501+8405+848+3378.5+140+497.5+1510.5+178+1782+17+2420-2.5</f>
        <v>2404632</v>
      </c>
      <c r="N178" s="189">
        <f>86553+140459+66355+26647+3232+11969+430+4854+1984+350+1198+35+100+378+18+446+2+807</f>
        <v>345817</v>
      </c>
      <c r="O178" s="389">
        <f t="shared" si="13"/>
        <v>6.953481176460382</v>
      </c>
      <c r="P178" s="232">
        <v>1</v>
      </c>
    </row>
    <row r="179" spans="1:16" ht="15">
      <c r="A179" s="91">
        <v>176</v>
      </c>
      <c r="B179" s="56" t="s">
        <v>499</v>
      </c>
      <c r="C179" s="42">
        <v>39101</v>
      </c>
      <c r="D179" s="46" t="s">
        <v>43</v>
      </c>
      <c r="E179" s="46" t="s">
        <v>43</v>
      </c>
      <c r="F179" s="43">
        <v>160</v>
      </c>
      <c r="G179" s="43">
        <v>1</v>
      </c>
      <c r="H179" s="43">
        <v>36</v>
      </c>
      <c r="I179" s="187">
        <v>2420</v>
      </c>
      <c r="J179" s="188">
        <v>807</v>
      </c>
      <c r="K179" s="206">
        <f t="shared" si="11"/>
        <v>807</v>
      </c>
      <c r="L179" s="207">
        <f t="shared" si="12"/>
        <v>2.998760842627014</v>
      </c>
      <c r="M179" s="191">
        <f>3815016+1300103.5+871510+26.5+643328.5+285+427492+144808.5-4582.5+117687.5+159.5+78376+20328+17217+7297+945+2840.5+34810+328+1337+17151+158+30+3021+2014+152+6041+3614.5+6585+17296.5+42649.5+1188+6041+6041+1510.5+4240.5+3572+2420</f>
        <v>7603038.5</v>
      </c>
      <c r="N179" s="189">
        <f>302979+231870+176034+121748+3+91906+35+60830+21133-764+16236+14+11431-4+2924+3552+1459+120+1210+2+11600+81+437+5713+17+6+604+503+25+1510+904+1646+4326+10661+297+1511+1511+378+1061+893+807</f>
        <v>1087209</v>
      </c>
      <c r="O179" s="218">
        <f t="shared" si="13"/>
        <v>6.9931710462293815</v>
      </c>
      <c r="P179" s="232">
        <v>1</v>
      </c>
    </row>
    <row r="180" spans="1:16" ht="15">
      <c r="A180" s="91">
        <v>177</v>
      </c>
      <c r="B180" s="56" t="s">
        <v>476</v>
      </c>
      <c r="C180" s="42">
        <v>39430</v>
      </c>
      <c r="D180" s="46" t="s">
        <v>43</v>
      </c>
      <c r="E180" s="46" t="s">
        <v>434</v>
      </c>
      <c r="F180" s="43">
        <v>43</v>
      </c>
      <c r="G180" s="43">
        <v>1</v>
      </c>
      <c r="H180" s="43">
        <v>17</v>
      </c>
      <c r="I180" s="187">
        <v>2420</v>
      </c>
      <c r="J180" s="188">
        <v>807</v>
      </c>
      <c r="K180" s="206">
        <f t="shared" si="11"/>
        <v>807</v>
      </c>
      <c r="L180" s="207">
        <f t="shared" si="12"/>
        <v>2.998760842627014</v>
      </c>
      <c r="M180" s="191">
        <f>43240+25728.5+5226.5+5207.5+50+1692+2247+3101.5+796+326+232.5+2409+2409+4817+2408+2408+2420+0.5+0.5</f>
        <v>104719.5</v>
      </c>
      <c r="N180" s="189">
        <f>5272+3593+870+1171+5+336+461+717+182+62+71+603+603+1204+602+602+807</f>
        <v>17161</v>
      </c>
      <c r="O180" s="218">
        <f t="shared" si="13"/>
        <v>6.1021793601771455</v>
      </c>
      <c r="P180" s="232"/>
    </row>
    <row r="181" spans="1:16" ht="15">
      <c r="A181" s="91">
        <v>178</v>
      </c>
      <c r="B181" s="56" t="s">
        <v>16</v>
      </c>
      <c r="C181" s="41">
        <v>38821</v>
      </c>
      <c r="D181" s="46" t="s">
        <v>43</v>
      </c>
      <c r="E181" s="46" t="s">
        <v>44</v>
      </c>
      <c r="F181" s="43">
        <v>118</v>
      </c>
      <c r="G181" s="43">
        <v>1</v>
      </c>
      <c r="H181" s="43">
        <v>40</v>
      </c>
      <c r="I181" s="187">
        <v>2409</v>
      </c>
      <c r="J181" s="188">
        <v>603</v>
      </c>
      <c r="K181" s="206">
        <f t="shared" si="11"/>
        <v>603</v>
      </c>
      <c r="L181" s="207">
        <f t="shared" si="12"/>
        <v>3.9950248756218905</v>
      </c>
      <c r="M181" s="191">
        <f>1908861+1583540+976953.5+606582.5+358386.5+257458.5+154619+107195+70567+37968.5+18157.5+11925.5+12529.5+11442+10137.5+11279.5+11047+23092+6089.5+13588+1331+1245+48+90+312+4271+1314+128+1008+10+610+1572+5035-409+4651.5+3349+2013.5+2852+91+2409</f>
        <v>6223350.5</v>
      </c>
      <c r="N181" s="189">
        <f>267837+226672+141343+93283+56706+48660+34140+24736+15604+6640+3341+2116+2223+1865+2002+2375+2554+5432+1329+3323+245+218+8+15+52+1073+314+16+252+116+261+1007-77+884+645+503+712+13+603</f>
        <v>949041</v>
      </c>
      <c r="O181" s="218">
        <f t="shared" si="13"/>
        <v>6.557514901885166</v>
      </c>
      <c r="P181" s="232">
        <v>1</v>
      </c>
    </row>
    <row r="182" spans="1:16" ht="15">
      <c r="A182" s="91">
        <v>179</v>
      </c>
      <c r="B182" s="56" t="s">
        <v>15</v>
      </c>
      <c r="C182" s="41">
        <v>39094</v>
      </c>
      <c r="D182" s="46" t="s">
        <v>43</v>
      </c>
      <c r="E182" s="46" t="s">
        <v>11</v>
      </c>
      <c r="F182" s="43">
        <v>226</v>
      </c>
      <c r="G182" s="43">
        <v>1</v>
      </c>
      <c r="H182" s="43">
        <v>35</v>
      </c>
      <c r="I182" s="187">
        <v>2409</v>
      </c>
      <c r="J182" s="188">
        <v>603</v>
      </c>
      <c r="K182" s="206">
        <f t="shared" si="11"/>
        <v>603</v>
      </c>
      <c r="L182" s="207">
        <f t="shared" si="12"/>
        <v>3.9950248756218905</v>
      </c>
      <c r="M182" s="191">
        <f>3142328+2138928+1454143+1085018.5-637+512497+119516+49072.5+21975.5+19023+9522+7521+6716.5+973+245+20+90+85+70+947+133+2189+149+3296.5+5376+1188+1551+2376+2376+1510.5+1510.5+2376+1510.5+2409</f>
        <v>8596005</v>
      </c>
      <c r="N182" s="189">
        <f>453903+300559+202455+152725+101+73889+22414+10560+4196+3829+2908+1791+1716+233+42+4+18+17+14+309+15+538+24+819+1343+297+388+594+594+378+378+594+378+603</f>
        <v>1238626</v>
      </c>
      <c r="O182" s="218">
        <f t="shared" si="13"/>
        <v>6.9399520113416</v>
      </c>
      <c r="P182" s="232"/>
    </row>
    <row r="183" spans="1:16" ht="18">
      <c r="A183" s="91">
        <v>180</v>
      </c>
      <c r="B183" s="56" t="s">
        <v>318</v>
      </c>
      <c r="C183" s="41">
        <v>39262</v>
      </c>
      <c r="D183" s="46" t="s">
        <v>43</v>
      </c>
      <c r="E183" s="46" t="s">
        <v>44</v>
      </c>
      <c r="F183" s="43">
        <v>78</v>
      </c>
      <c r="G183" s="43">
        <v>1</v>
      </c>
      <c r="H183" s="43">
        <v>20</v>
      </c>
      <c r="I183" s="187">
        <v>2409</v>
      </c>
      <c r="J183" s="188">
        <v>603</v>
      </c>
      <c r="K183" s="206">
        <f t="shared" si="11"/>
        <v>603</v>
      </c>
      <c r="L183" s="207">
        <f>+I183/J183</f>
        <v>3.9950248756218905</v>
      </c>
      <c r="M183" s="191">
        <f>739051+347868+263605+177344.5+97146+68797+30662+31663.5+3881.5+3316+4035+1380.5+2813.5+149+2357+5396.5+123+1188+2409+2409</f>
        <v>1785595</v>
      </c>
      <c r="N183" s="189">
        <f>88667+41947+31866+21736+14597+11279+5210+7064+821+613+870+310+686+24+561+1349+30+297+603+603</f>
        <v>229133</v>
      </c>
      <c r="O183" s="218">
        <f t="shared" si="13"/>
        <v>7.792832110608249</v>
      </c>
      <c r="P183" s="317"/>
    </row>
    <row r="184" spans="1:16" ht="15">
      <c r="A184" s="91">
        <v>181</v>
      </c>
      <c r="B184" s="56" t="s">
        <v>318</v>
      </c>
      <c r="C184" s="42">
        <v>39262</v>
      </c>
      <c r="D184" s="87" t="s">
        <v>43</v>
      </c>
      <c r="E184" s="46" t="s">
        <v>44</v>
      </c>
      <c r="F184" s="63">
        <v>78</v>
      </c>
      <c r="G184" s="43">
        <v>1</v>
      </c>
      <c r="H184" s="43">
        <v>19</v>
      </c>
      <c r="I184" s="187">
        <v>2409</v>
      </c>
      <c r="J184" s="188">
        <v>603</v>
      </c>
      <c r="K184" s="206">
        <f t="shared" si="11"/>
        <v>603</v>
      </c>
      <c r="L184" s="207">
        <f>I184/J184</f>
        <v>3.9950248756218905</v>
      </c>
      <c r="M184" s="191">
        <f>739051+347868+263605+177344.5+97146+68797+30662+31663.5+3881.5+3316+4035+1380.5+2813.5+149+2357+5396.5+123+1188+2409</f>
        <v>1783186</v>
      </c>
      <c r="N184" s="189">
        <f>88667+41947+31866+21736+14597+11279+5210+7064+821+613+870+310+686+24+561+1349+30+297+603</f>
        <v>228530</v>
      </c>
      <c r="O184" s="218">
        <f t="shared" si="13"/>
        <v>7.802853017109351</v>
      </c>
      <c r="P184" s="318">
        <v>1</v>
      </c>
    </row>
    <row r="185" spans="1:16" ht="15">
      <c r="A185" s="91">
        <v>182</v>
      </c>
      <c r="B185" s="56" t="s">
        <v>476</v>
      </c>
      <c r="C185" s="41">
        <v>39430</v>
      </c>
      <c r="D185" s="46" t="s">
        <v>43</v>
      </c>
      <c r="E185" s="46" t="s">
        <v>434</v>
      </c>
      <c r="F185" s="43">
        <v>43</v>
      </c>
      <c r="G185" s="43">
        <v>1</v>
      </c>
      <c r="H185" s="43">
        <v>13</v>
      </c>
      <c r="I185" s="187">
        <v>2409</v>
      </c>
      <c r="J185" s="188">
        <v>603</v>
      </c>
      <c r="K185" s="206">
        <f t="shared" si="11"/>
        <v>603</v>
      </c>
      <c r="L185" s="207">
        <f>+I185/J185</f>
        <v>3.9950248756218905</v>
      </c>
      <c r="M185" s="191">
        <f>43240+25728.5+5226.5+5207.5+50+1692+2247+3101.5+796+326+232.5+2409+2409</f>
        <v>92665.5</v>
      </c>
      <c r="N185" s="189">
        <f>5272+3593+870+1171+5+336+461+717+182+62+71+603+603</f>
        <v>13946</v>
      </c>
      <c r="O185" s="218">
        <f t="shared" si="13"/>
        <v>6.644593431808404</v>
      </c>
      <c r="P185" s="232"/>
    </row>
    <row r="186" spans="1:16" ht="15">
      <c r="A186" s="91">
        <v>183</v>
      </c>
      <c r="B186" s="56" t="s">
        <v>476</v>
      </c>
      <c r="C186" s="41">
        <v>39430</v>
      </c>
      <c r="D186" s="46" t="s">
        <v>43</v>
      </c>
      <c r="E186" s="46" t="s">
        <v>434</v>
      </c>
      <c r="F186" s="43">
        <v>43</v>
      </c>
      <c r="G186" s="43">
        <v>1</v>
      </c>
      <c r="H186" s="43">
        <v>12</v>
      </c>
      <c r="I186" s="187">
        <v>2409</v>
      </c>
      <c r="J186" s="188">
        <v>603</v>
      </c>
      <c r="K186" s="206">
        <f t="shared" si="11"/>
        <v>603</v>
      </c>
      <c r="L186" s="207">
        <f aca="true" t="shared" si="14" ref="L186:L191">I186/J186</f>
        <v>3.9950248756218905</v>
      </c>
      <c r="M186" s="191">
        <f>43240+25728.5+5226.5+5207.5+50+1692+2247+3101.5+796+326+232.5+2409</f>
        <v>90256.5</v>
      </c>
      <c r="N186" s="189">
        <f>5272+3593+870+1171+5+336+461+717+182+62+71+603</f>
        <v>13343</v>
      </c>
      <c r="O186" s="218">
        <f t="shared" si="13"/>
        <v>6.764333358315222</v>
      </c>
      <c r="P186" s="333"/>
    </row>
    <row r="187" spans="1:16" ht="15">
      <c r="A187" s="91">
        <v>184</v>
      </c>
      <c r="B187" s="56" t="s">
        <v>511</v>
      </c>
      <c r="C187" s="42">
        <v>39045</v>
      </c>
      <c r="D187" s="46" t="s">
        <v>43</v>
      </c>
      <c r="E187" s="46" t="s">
        <v>512</v>
      </c>
      <c r="F187" s="43">
        <v>59</v>
      </c>
      <c r="G187" s="43">
        <v>1</v>
      </c>
      <c r="H187" s="43">
        <v>36</v>
      </c>
      <c r="I187" s="191">
        <v>2408.5</v>
      </c>
      <c r="J187" s="189">
        <v>602</v>
      </c>
      <c r="K187" s="211">
        <f t="shared" si="11"/>
        <v>602</v>
      </c>
      <c r="L187" s="212">
        <f t="shared" si="14"/>
        <v>4.000830564784053</v>
      </c>
      <c r="M187" s="191">
        <f>923228.5+937012.5+950194+628448.5+336851+386155+185586+7528+78557+38487.5+19951.5+79+2267.5-1008+9203+2435+1210+836+3795.5+1284+1033+2376+108+8910+3564+10330+5034+2376+2376+972+2376+200+20659.5+1510.5+3021+3613+2408.5+2552+2408.5</f>
        <v>4587929.5</v>
      </c>
      <c r="N187" s="189">
        <f>117837+123027+120667+81172+47916+61261+32646+795+14471+9345+4644+35+561-336+1591+487+300+161+1018+303+241+475+13+2228+891+2583+1259+594+594+162+594+67+4132+378+756+903+602+638+602</f>
        <v>635613</v>
      </c>
      <c r="O187" s="218">
        <f t="shared" si="13"/>
        <v>7.218117785507848</v>
      </c>
      <c r="P187" s="232"/>
    </row>
    <row r="188" spans="1:16" ht="15">
      <c r="A188" s="91">
        <v>185</v>
      </c>
      <c r="B188" s="56" t="s">
        <v>176</v>
      </c>
      <c r="C188" s="42">
        <v>39192</v>
      </c>
      <c r="D188" s="46" t="s">
        <v>414</v>
      </c>
      <c r="E188" s="46" t="s">
        <v>414</v>
      </c>
      <c r="F188" s="43">
        <v>79</v>
      </c>
      <c r="G188" s="43">
        <v>1</v>
      </c>
      <c r="H188" s="43">
        <v>19</v>
      </c>
      <c r="I188" s="345">
        <v>2408.5</v>
      </c>
      <c r="J188" s="346">
        <v>602</v>
      </c>
      <c r="K188" s="206">
        <f t="shared" si="11"/>
        <v>602</v>
      </c>
      <c r="L188" s="207">
        <f t="shared" si="14"/>
        <v>4.000830564784053</v>
      </c>
      <c r="M188" s="191">
        <f>407730+156171.5+87089+48964+29084+13173.5+8330+7579.5+805.5+1100+1464+3021+264+123+23+430+70+2408.5</f>
        <v>767830.5</v>
      </c>
      <c r="N188" s="189">
        <f>48903+19527+11239+7709+5693+3389+1770+1751+250+248+325+755+88+19+3+86+14+602</f>
        <v>102371</v>
      </c>
      <c r="O188" s="218">
        <f t="shared" si="13"/>
        <v>7.500468882789071</v>
      </c>
      <c r="P188" s="232">
        <v>1</v>
      </c>
    </row>
    <row r="189" spans="1:16" ht="15">
      <c r="A189" s="91">
        <v>186</v>
      </c>
      <c r="B189" s="56" t="s">
        <v>476</v>
      </c>
      <c r="C189" s="42">
        <v>39430</v>
      </c>
      <c r="D189" s="46" t="s">
        <v>43</v>
      </c>
      <c r="E189" s="46" t="s">
        <v>168</v>
      </c>
      <c r="F189" s="43">
        <v>134</v>
      </c>
      <c r="G189" s="43">
        <v>1</v>
      </c>
      <c r="H189" s="43">
        <v>16</v>
      </c>
      <c r="I189" s="345">
        <v>2408.5</v>
      </c>
      <c r="J189" s="346">
        <v>602</v>
      </c>
      <c r="K189" s="211">
        <f>J189/H189</f>
        <v>37.625</v>
      </c>
      <c r="L189" s="212">
        <f t="shared" si="14"/>
        <v>4.000830564784053</v>
      </c>
      <c r="M189" s="191">
        <f>43240+25728.5+5226.5+5207.5+50+1692+2247+3101.5+796+326+232.5+2409+2409+4817+2408.5+2408.5</f>
        <v>102299.5</v>
      </c>
      <c r="N189" s="189">
        <f>5272+3593+870+1171+5+336+461+717+182+62+71+603+603+1204+602+602</f>
        <v>16354</v>
      </c>
      <c r="O189" s="219">
        <f>M189/N189</f>
        <v>6.255319799437446</v>
      </c>
      <c r="P189" s="232"/>
    </row>
    <row r="190" spans="1:16" ht="15">
      <c r="A190" s="91">
        <v>187</v>
      </c>
      <c r="B190" s="56" t="s">
        <v>444</v>
      </c>
      <c r="C190" s="41">
        <v>38674</v>
      </c>
      <c r="D190" s="46" t="s">
        <v>43</v>
      </c>
      <c r="E190" s="46" t="s">
        <v>226</v>
      </c>
      <c r="F190" s="43">
        <v>56</v>
      </c>
      <c r="G190" s="43">
        <v>1</v>
      </c>
      <c r="H190" s="43">
        <v>71</v>
      </c>
      <c r="I190" s="86">
        <v>2408.5</v>
      </c>
      <c r="J190" s="95">
        <v>602</v>
      </c>
      <c r="K190" s="133">
        <f>J190/G190</f>
        <v>602</v>
      </c>
      <c r="L190" s="190">
        <f t="shared" si="14"/>
        <v>4.000830564784053</v>
      </c>
      <c r="M190" s="135">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+2408.5</f>
        <v>25447151</v>
      </c>
      <c r="N190" s="133">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f>
        <v>3834011</v>
      </c>
      <c r="O190" s="215">
        <f>+M190/N190</f>
        <v>6.637213873408292</v>
      </c>
      <c r="P190" s="232">
        <v>1</v>
      </c>
    </row>
    <row r="191" spans="1:16" ht="15">
      <c r="A191" s="91">
        <v>188</v>
      </c>
      <c r="B191" s="56" t="s">
        <v>282</v>
      </c>
      <c r="C191" s="41">
        <v>39409</v>
      </c>
      <c r="D191" s="46" t="s">
        <v>43</v>
      </c>
      <c r="E191" s="46" t="s">
        <v>381</v>
      </c>
      <c r="F191" s="43">
        <v>13</v>
      </c>
      <c r="G191" s="43">
        <v>1</v>
      </c>
      <c r="H191" s="43">
        <v>9</v>
      </c>
      <c r="I191" s="86">
        <v>2408.5</v>
      </c>
      <c r="J191" s="95">
        <v>602</v>
      </c>
      <c r="K191" s="133">
        <f>J191/G191</f>
        <v>602</v>
      </c>
      <c r="L191" s="190">
        <f t="shared" si="14"/>
        <v>4.000830564784053</v>
      </c>
      <c r="M191" s="135">
        <f>12464+5333-100+2072+1025+199+193+373+3076+2408.5</f>
        <v>27043.5</v>
      </c>
      <c r="N191" s="133">
        <f>1407+644-8+342+204+38+38+86+1026+602</f>
        <v>4379</v>
      </c>
      <c r="O191" s="215">
        <f>+M191/N191</f>
        <v>6.175725051381594</v>
      </c>
      <c r="P191" s="232"/>
    </row>
    <row r="192" spans="1:16" ht="15">
      <c r="A192" s="91">
        <v>189</v>
      </c>
      <c r="B192" s="330" t="s">
        <v>511</v>
      </c>
      <c r="C192" s="323">
        <v>39045</v>
      </c>
      <c r="D192" s="322" t="s">
        <v>43</v>
      </c>
      <c r="E192" s="322" t="s">
        <v>512</v>
      </c>
      <c r="F192" s="324">
        <v>59</v>
      </c>
      <c r="G192" s="324">
        <v>1</v>
      </c>
      <c r="H192" s="324">
        <v>34</v>
      </c>
      <c r="I192" s="325">
        <v>2408.5</v>
      </c>
      <c r="J192" s="326">
        <v>602</v>
      </c>
      <c r="K192" s="327">
        <v>602</v>
      </c>
      <c r="L192" s="328">
        <v>4.000830564784052</v>
      </c>
      <c r="M192" s="329">
        <v>4582969</v>
      </c>
      <c r="N192" s="327">
        <v>634373</v>
      </c>
      <c r="O192" s="331">
        <v>7.22440740699872</v>
      </c>
      <c r="P192" s="232">
        <v>1</v>
      </c>
    </row>
    <row r="193" spans="1:16" ht="15">
      <c r="A193" s="91">
        <v>190</v>
      </c>
      <c r="B193" s="330" t="s">
        <v>476</v>
      </c>
      <c r="C193" s="323">
        <v>39430</v>
      </c>
      <c r="D193" s="322" t="s">
        <v>43</v>
      </c>
      <c r="E193" s="322" t="s">
        <v>434</v>
      </c>
      <c r="F193" s="324">
        <v>43</v>
      </c>
      <c r="G193" s="324">
        <v>1</v>
      </c>
      <c r="H193" s="324">
        <v>15</v>
      </c>
      <c r="I193" s="325">
        <v>2408.5</v>
      </c>
      <c r="J193" s="326">
        <v>602</v>
      </c>
      <c r="K193" s="327">
        <f>J193/G193</f>
        <v>602</v>
      </c>
      <c r="L193" s="328">
        <f>I193/J193</f>
        <v>4.000830564784053</v>
      </c>
      <c r="M193" s="329">
        <f>43240+25728.5+5226.5+5207.5+50+1692+2247+3101.5+796+326+232.5+2409+2409+4817+2408.5</f>
        <v>99891</v>
      </c>
      <c r="N193" s="327">
        <f>5272+3593+870+1171+5+336+461+717+182+62+71+603+603+1204+602</f>
        <v>15752</v>
      </c>
      <c r="O193" s="331">
        <f>+M193/N193</f>
        <v>6.341480446927374</v>
      </c>
      <c r="P193" s="232">
        <v>1</v>
      </c>
    </row>
    <row r="194" spans="1:16" ht="15">
      <c r="A194" s="91">
        <v>191</v>
      </c>
      <c r="B194" s="330" t="s">
        <v>444</v>
      </c>
      <c r="C194" s="323">
        <v>38674</v>
      </c>
      <c r="D194" s="322" t="s">
        <v>43</v>
      </c>
      <c r="E194" s="322" t="s">
        <v>226</v>
      </c>
      <c r="F194" s="43">
        <v>56</v>
      </c>
      <c r="G194" s="324">
        <v>1</v>
      </c>
      <c r="H194" s="324">
        <v>70</v>
      </c>
      <c r="I194" s="325">
        <v>2408.5</v>
      </c>
      <c r="J194" s="326">
        <v>602</v>
      </c>
      <c r="K194" s="327">
        <f>J194/G194</f>
        <v>602</v>
      </c>
      <c r="L194" s="328">
        <f>I194/J194</f>
        <v>4.000830564784053</v>
      </c>
      <c r="M194" s="329">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+1340+2408.5</f>
        <v>25444742.5</v>
      </c>
      <c r="N194" s="327">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f>
        <v>3833409</v>
      </c>
      <c r="O194" s="331">
        <f>+M194/N194</f>
        <v>6.63762789204074</v>
      </c>
      <c r="P194" s="232">
        <v>1</v>
      </c>
    </row>
    <row r="195" spans="1:16" ht="15">
      <c r="A195" s="91">
        <v>192</v>
      </c>
      <c r="B195" s="56" t="s">
        <v>475</v>
      </c>
      <c r="C195" s="42">
        <v>39430</v>
      </c>
      <c r="D195" s="46" t="s">
        <v>43</v>
      </c>
      <c r="E195" s="46" t="s">
        <v>44</v>
      </c>
      <c r="F195" s="63">
        <v>64</v>
      </c>
      <c r="G195" s="43">
        <v>1</v>
      </c>
      <c r="H195" s="43">
        <v>13</v>
      </c>
      <c r="I195" s="86">
        <v>2408.5</v>
      </c>
      <c r="J195" s="95">
        <v>602</v>
      </c>
      <c r="K195" s="143">
        <f>IF(I195&lt;&gt;0,J195/G195,"")</f>
        <v>602</v>
      </c>
      <c r="L195" s="144">
        <f>IF(I195&lt;&gt;0,I195/J195,"")</f>
        <v>4.000830564784053</v>
      </c>
      <c r="M195" s="135">
        <f>183581+192120.5+67824+23763.5+5798.5+5467+22027+14042+2947+442+3097+2408.5</f>
        <v>523518</v>
      </c>
      <c r="N195" s="133">
        <f>20071+21989+8620+4128+850+1010+3719+2499+595+78+775+602</f>
        <v>64936</v>
      </c>
      <c r="O195" s="81">
        <f>IF(M195&lt;&gt;0,M195/N195,"")</f>
        <v>8.06206110632007</v>
      </c>
      <c r="P195" s="333"/>
    </row>
    <row r="196" spans="1:16" ht="15">
      <c r="A196" s="91">
        <v>193</v>
      </c>
      <c r="B196" s="234" t="s">
        <v>385</v>
      </c>
      <c r="C196" s="41">
        <v>39437</v>
      </c>
      <c r="D196" s="80" t="s">
        <v>48</v>
      </c>
      <c r="E196" s="48" t="s">
        <v>426</v>
      </c>
      <c r="F196" s="76">
        <v>17</v>
      </c>
      <c r="G196" s="76">
        <v>6</v>
      </c>
      <c r="H196" s="76">
        <v>7</v>
      </c>
      <c r="I196" s="209">
        <v>2395</v>
      </c>
      <c r="J196" s="210">
        <v>427</v>
      </c>
      <c r="K196" s="206">
        <f aca="true" t="shared" si="15" ref="K196:K220">J196/G196</f>
        <v>71.16666666666667</v>
      </c>
      <c r="L196" s="148">
        <f aca="true" t="shared" si="16" ref="L196:L207">I196/J196</f>
        <v>5.608899297423887</v>
      </c>
      <c r="M196" s="213">
        <v>278102</v>
      </c>
      <c r="N196" s="211">
        <v>26534</v>
      </c>
      <c r="O196" s="81">
        <f>+M196/N196</f>
        <v>10.480967814879023</v>
      </c>
      <c r="P196" s="232"/>
    </row>
    <row r="197" spans="1:16" ht="15">
      <c r="A197" s="91">
        <v>194</v>
      </c>
      <c r="B197" s="265" t="s">
        <v>393</v>
      </c>
      <c r="C197" s="42">
        <v>39395</v>
      </c>
      <c r="D197" s="47" t="s">
        <v>223</v>
      </c>
      <c r="E197" s="47" t="s">
        <v>294</v>
      </c>
      <c r="F197" s="64" t="s">
        <v>549</v>
      </c>
      <c r="G197" s="64" t="s">
        <v>424</v>
      </c>
      <c r="H197" s="64" t="s">
        <v>327</v>
      </c>
      <c r="I197" s="197">
        <v>2376.01</v>
      </c>
      <c r="J197" s="198">
        <v>476</v>
      </c>
      <c r="K197" s="206">
        <f t="shared" si="15"/>
        <v>476</v>
      </c>
      <c r="L197" s="144">
        <f t="shared" si="16"/>
        <v>4.991617647058824</v>
      </c>
      <c r="M197" s="199">
        <v>147270.96</v>
      </c>
      <c r="N197" s="200">
        <v>24197</v>
      </c>
      <c r="O197" s="81">
        <f>+M197/N197</f>
        <v>6.086331363392156</v>
      </c>
      <c r="P197" s="232"/>
    </row>
    <row r="198" spans="1:16" ht="15">
      <c r="A198" s="91">
        <v>195</v>
      </c>
      <c r="B198" s="56" t="s">
        <v>17</v>
      </c>
      <c r="C198" s="41">
        <v>39339</v>
      </c>
      <c r="D198" s="46" t="s">
        <v>48</v>
      </c>
      <c r="E198" s="46" t="s">
        <v>18</v>
      </c>
      <c r="F198" s="43">
        <v>25</v>
      </c>
      <c r="G198" s="43">
        <v>1</v>
      </c>
      <c r="H198" s="43">
        <v>11</v>
      </c>
      <c r="I198" s="187">
        <v>2372</v>
      </c>
      <c r="J198" s="188">
        <v>474</v>
      </c>
      <c r="K198" s="206">
        <f t="shared" si="15"/>
        <v>474</v>
      </c>
      <c r="L198" s="207">
        <f t="shared" si="16"/>
        <v>5.0042194092827</v>
      </c>
      <c r="M198" s="191">
        <v>280819</v>
      </c>
      <c r="N198" s="189">
        <v>29292</v>
      </c>
      <c r="O198" s="218">
        <f>M198/N198</f>
        <v>9.586883790796122</v>
      </c>
      <c r="P198" s="232"/>
    </row>
    <row r="199" spans="1:16" ht="15">
      <c r="A199" s="91">
        <v>196</v>
      </c>
      <c r="B199" s="56" t="s">
        <v>186</v>
      </c>
      <c r="C199" s="41">
        <v>39409</v>
      </c>
      <c r="D199" s="46" t="s">
        <v>48</v>
      </c>
      <c r="E199" s="46" t="s">
        <v>426</v>
      </c>
      <c r="F199" s="43">
        <v>13</v>
      </c>
      <c r="G199" s="43">
        <v>1</v>
      </c>
      <c r="H199" s="43">
        <v>7</v>
      </c>
      <c r="I199" s="187">
        <v>2372</v>
      </c>
      <c r="J199" s="188">
        <v>474</v>
      </c>
      <c r="K199" s="206">
        <f t="shared" si="15"/>
        <v>474</v>
      </c>
      <c r="L199" s="207">
        <f t="shared" si="16"/>
        <v>5.0042194092827</v>
      </c>
      <c r="M199" s="191">
        <v>55450</v>
      </c>
      <c r="N199" s="189">
        <v>5886</v>
      </c>
      <c r="O199" s="218">
        <f>M199/N199</f>
        <v>9.420659191301393</v>
      </c>
      <c r="P199" s="232">
        <v>1</v>
      </c>
    </row>
    <row r="200" spans="1:16" ht="15">
      <c r="A200" s="91">
        <v>197</v>
      </c>
      <c r="B200" s="57" t="s">
        <v>411</v>
      </c>
      <c r="C200" s="42">
        <v>39220</v>
      </c>
      <c r="D200" s="47" t="s">
        <v>425</v>
      </c>
      <c r="E200" s="47" t="s">
        <v>50</v>
      </c>
      <c r="F200" s="88">
        <v>88</v>
      </c>
      <c r="G200" s="89">
        <v>2</v>
      </c>
      <c r="H200" s="88">
        <v>34</v>
      </c>
      <c r="I200" s="197">
        <v>2371</v>
      </c>
      <c r="J200" s="198">
        <v>382</v>
      </c>
      <c r="K200" s="206">
        <f t="shared" si="15"/>
        <v>191</v>
      </c>
      <c r="L200" s="207">
        <f t="shared" si="16"/>
        <v>6.206806282722513</v>
      </c>
      <c r="M200" s="199">
        <v>589519</v>
      </c>
      <c r="N200" s="200">
        <v>87043</v>
      </c>
      <c r="O200" s="218">
        <f aca="true" t="shared" si="17" ref="O200:O205">+M200/N200</f>
        <v>6.772733017014579</v>
      </c>
      <c r="P200" s="232"/>
    </row>
    <row r="201" spans="1:16" ht="15">
      <c r="A201" s="91">
        <v>198</v>
      </c>
      <c r="B201" s="55" t="s">
        <v>510</v>
      </c>
      <c r="C201" s="41">
        <v>39402</v>
      </c>
      <c r="D201" s="45" t="s">
        <v>41</v>
      </c>
      <c r="E201" s="44" t="s">
        <v>52</v>
      </c>
      <c r="F201" s="63">
        <v>64</v>
      </c>
      <c r="G201" s="63">
        <v>1</v>
      </c>
      <c r="H201" s="63">
        <v>12</v>
      </c>
      <c r="I201" s="197">
        <v>2342</v>
      </c>
      <c r="J201" s="198">
        <v>456</v>
      </c>
      <c r="K201" s="206">
        <f t="shared" si="15"/>
        <v>456</v>
      </c>
      <c r="L201" s="207">
        <f t="shared" si="16"/>
        <v>5.135964912280702</v>
      </c>
      <c r="M201" s="199">
        <f>299858+213967+97347+22667+8568+16509+4053+3337+284+4988+2264+2342</f>
        <v>676184</v>
      </c>
      <c r="N201" s="200">
        <f>33225+24189+12517+4002+2479+2973+867+358+35+802+375+456</f>
        <v>82278</v>
      </c>
      <c r="O201" s="218">
        <f t="shared" si="17"/>
        <v>8.218284353046988</v>
      </c>
      <c r="P201" s="232"/>
    </row>
    <row r="202" spans="1:16" ht="15">
      <c r="A202" s="91">
        <v>199</v>
      </c>
      <c r="B202" s="56" t="s">
        <v>281</v>
      </c>
      <c r="C202" s="41">
        <v>39416</v>
      </c>
      <c r="D202" s="46" t="s">
        <v>41</v>
      </c>
      <c r="E202" s="46" t="s">
        <v>140</v>
      </c>
      <c r="F202" s="43">
        <v>123</v>
      </c>
      <c r="G202" s="43">
        <v>1</v>
      </c>
      <c r="H202" s="43">
        <v>19</v>
      </c>
      <c r="I202" s="354">
        <v>2337</v>
      </c>
      <c r="J202" s="355">
        <v>221</v>
      </c>
      <c r="K202" s="143">
        <f t="shared" si="15"/>
        <v>221</v>
      </c>
      <c r="L202" s="144">
        <f t="shared" si="16"/>
        <v>10.574660633484163</v>
      </c>
      <c r="M202" s="135">
        <f>155416+1136619+622980+528056+225392+174199+84508+58425+34257+3403+1276+1707+633+682+568+405+2714+1817+1614+2337</f>
        <v>3037008</v>
      </c>
      <c r="N202" s="133">
        <f>12079+122083+66530+52286+18245+17821+7913+4333+2998+686+289+388+102+107+93+66+258+224+149+221</f>
        <v>306871</v>
      </c>
      <c r="O202" s="81">
        <f t="shared" si="17"/>
        <v>9.896692747115237</v>
      </c>
      <c r="P202" s="232"/>
    </row>
    <row r="203" spans="1:16" ht="15">
      <c r="A203" s="91">
        <v>200</v>
      </c>
      <c r="B203" s="55" t="s">
        <v>109</v>
      </c>
      <c r="C203" s="41">
        <v>39437</v>
      </c>
      <c r="D203" s="45" t="s">
        <v>41</v>
      </c>
      <c r="E203" s="44" t="s">
        <v>551</v>
      </c>
      <c r="F203" s="63">
        <v>49</v>
      </c>
      <c r="G203" s="63">
        <v>4</v>
      </c>
      <c r="H203" s="63">
        <v>5</v>
      </c>
      <c r="I203" s="197">
        <v>2313</v>
      </c>
      <c r="J203" s="198">
        <v>424</v>
      </c>
      <c r="K203" s="206">
        <f t="shared" si="15"/>
        <v>106</v>
      </c>
      <c r="L203" s="207">
        <f t="shared" si="16"/>
        <v>5.455188679245283</v>
      </c>
      <c r="M203" s="199">
        <f>265356+150950+36636+752+2313</f>
        <v>456007</v>
      </c>
      <c r="N203" s="200">
        <f>28419+15898+4109+157+424</f>
        <v>49007</v>
      </c>
      <c r="O203" s="218">
        <f t="shared" si="17"/>
        <v>9.3049360295468</v>
      </c>
      <c r="P203" s="316"/>
    </row>
    <row r="204" spans="1:16" ht="15">
      <c r="A204" s="91">
        <v>201</v>
      </c>
      <c r="B204" s="265" t="s">
        <v>470</v>
      </c>
      <c r="C204" s="42">
        <v>39430</v>
      </c>
      <c r="D204" s="259" t="s">
        <v>42</v>
      </c>
      <c r="E204" s="259" t="s">
        <v>12</v>
      </c>
      <c r="F204" s="43">
        <v>242</v>
      </c>
      <c r="G204" s="43">
        <v>4</v>
      </c>
      <c r="H204" s="43">
        <v>11</v>
      </c>
      <c r="I204" s="187">
        <v>2299</v>
      </c>
      <c r="J204" s="188">
        <v>378</v>
      </c>
      <c r="K204" s="206">
        <f t="shared" si="15"/>
        <v>94.5</v>
      </c>
      <c r="L204" s="207">
        <f t="shared" si="16"/>
        <v>6.082010582010582</v>
      </c>
      <c r="M204" s="191">
        <v>15272496</v>
      </c>
      <c r="N204" s="189">
        <v>1981955</v>
      </c>
      <c r="O204" s="218">
        <f t="shared" si="17"/>
        <v>7.705773339959787</v>
      </c>
      <c r="P204" s="316"/>
    </row>
    <row r="205" spans="1:16" ht="15">
      <c r="A205" s="91">
        <v>202</v>
      </c>
      <c r="B205" s="55" t="s">
        <v>510</v>
      </c>
      <c r="C205" s="41">
        <v>39402</v>
      </c>
      <c r="D205" s="45" t="s">
        <v>41</v>
      </c>
      <c r="E205" s="44" t="s">
        <v>52</v>
      </c>
      <c r="F205" s="63">
        <v>64</v>
      </c>
      <c r="G205" s="63">
        <v>4</v>
      </c>
      <c r="H205" s="63">
        <v>11</v>
      </c>
      <c r="I205" s="197">
        <v>2264</v>
      </c>
      <c r="J205" s="198">
        <v>375</v>
      </c>
      <c r="K205" s="206">
        <f t="shared" si="15"/>
        <v>93.75</v>
      </c>
      <c r="L205" s="207">
        <f t="shared" si="16"/>
        <v>6.037333333333334</v>
      </c>
      <c r="M205" s="199">
        <f>299858+213967+97347+22667+8568+16509+4053+3337+284+4988+2264</f>
        <v>673842</v>
      </c>
      <c r="N205" s="200">
        <f>33225+24189+12517+4002+2479+2973+867+358+35+802+375</f>
        <v>81822</v>
      </c>
      <c r="O205" s="218">
        <f t="shared" si="17"/>
        <v>8.235462345090562</v>
      </c>
      <c r="P205" s="232"/>
    </row>
    <row r="206" spans="1:16" ht="15">
      <c r="A206" s="91">
        <v>203</v>
      </c>
      <c r="B206" s="56" t="s">
        <v>476</v>
      </c>
      <c r="C206" s="42">
        <v>39430</v>
      </c>
      <c r="D206" s="46" t="s">
        <v>43</v>
      </c>
      <c r="E206" s="46" t="s">
        <v>434</v>
      </c>
      <c r="F206" s="43">
        <v>43</v>
      </c>
      <c r="G206" s="43">
        <v>8</v>
      </c>
      <c r="H206" s="43">
        <v>7</v>
      </c>
      <c r="I206" s="187">
        <v>2247</v>
      </c>
      <c r="J206" s="188">
        <v>461</v>
      </c>
      <c r="K206" s="206">
        <f t="shared" si="15"/>
        <v>57.625</v>
      </c>
      <c r="L206" s="207">
        <f t="shared" si="16"/>
        <v>4.874186550976138</v>
      </c>
      <c r="M206" s="191">
        <f>43240+25728.5+5226.5+5207.5+50+1692+2247</f>
        <v>83391.5</v>
      </c>
      <c r="N206" s="189">
        <f>5272+3593+870+1171+5+336+461</f>
        <v>11708</v>
      </c>
      <c r="O206" s="217">
        <f>M206/N206</f>
        <v>7.122608472839085</v>
      </c>
      <c r="P206" s="232"/>
    </row>
    <row r="207" spans="1:16" ht="15">
      <c r="A207" s="91">
        <v>204</v>
      </c>
      <c r="B207" s="56" t="s">
        <v>276</v>
      </c>
      <c r="C207" s="42">
        <v>39416</v>
      </c>
      <c r="D207" s="46" t="s">
        <v>43</v>
      </c>
      <c r="E207" s="46" t="s">
        <v>390</v>
      </c>
      <c r="F207" s="43">
        <v>20</v>
      </c>
      <c r="G207" s="43">
        <v>1</v>
      </c>
      <c r="H207" s="43">
        <v>9</v>
      </c>
      <c r="I207" s="187">
        <v>2244</v>
      </c>
      <c r="J207" s="188">
        <v>253</v>
      </c>
      <c r="K207" s="206">
        <f t="shared" si="15"/>
        <v>253</v>
      </c>
      <c r="L207" s="207">
        <f t="shared" si="16"/>
        <v>8.869565217391305</v>
      </c>
      <c r="M207" s="191">
        <f>75692.5+51302+12584.5+2036+2909.5+3347+4240.5+2626.5+2244</f>
        <v>156982.5</v>
      </c>
      <c r="N207" s="189">
        <f>7291+5230+1727+233+363+396+496+298+253</f>
        <v>16287</v>
      </c>
      <c r="O207" s="217">
        <f>M207/N207</f>
        <v>9.638515380364709</v>
      </c>
      <c r="P207" s="232">
        <v>1</v>
      </c>
    </row>
    <row r="208" spans="1:16" ht="15">
      <c r="A208" s="91">
        <v>205</v>
      </c>
      <c r="B208" s="56" t="s">
        <v>438</v>
      </c>
      <c r="C208" s="41">
        <v>39318</v>
      </c>
      <c r="D208" s="87" t="s">
        <v>42</v>
      </c>
      <c r="E208" s="87" t="s">
        <v>45</v>
      </c>
      <c r="F208" s="43">
        <v>116</v>
      </c>
      <c r="G208" s="43">
        <v>2</v>
      </c>
      <c r="H208" s="43">
        <v>24</v>
      </c>
      <c r="I208" s="187">
        <v>2191</v>
      </c>
      <c r="J208" s="188">
        <v>1050</v>
      </c>
      <c r="K208" s="189">
        <f t="shared" si="15"/>
        <v>525</v>
      </c>
      <c r="L208" s="190">
        <f>+I208/J208</f>
        <v>2.0866666666666664</v>
      </c>
      <c r="M208" s="191">
        <v>2647248</v>
      </c>
      <c r="N208" s="189">
        <v>332802</v>
      </c>
      <c r="O208" s="215">
        <f>+M208/N208</f>
        <v>7.954423350821209</v>
      </c>
      <c r="P208" s="232"/>
    </row>
    <row r="209" spans="1:16" ht="15">
      <c r="A209" s="91">
        <v>206</v>
      </c>
      <c r="B209" s="330" t="s">
        <v>472</v>
      </c>
      <c r="C209" s="323">
        <v>39430</v>
      </c>
      <c r="D209" s="322" t="s">
        <v>42</v>
      </c>
      <c r="E209" s="322" t="s">
        <v>309</v>
      </c>
      <c r="F209" s="324">
        <v>137</v>
      </c>
      <c r="G209" s="324">
        <v>2</v>
      </c>
      <c r="H209" s="324">
        <v>28</v>
      </c>
      <c r="I209" s="325">
        <v>2191</v>
      </c>
      <c r="J209" s="326">
        <v>875</v>
      </c>
      <c r="K209" s="327">
        <f t="shared" si="15"/>
        <v>437.5</v>
      </c>
      <c r="L209" s="328">
        <f>IF(I209&lt;&gt;0,I209/J209,"")</f>
        <v>2.504</v>
      </c>
      <c r="M209" s="329">
        <v>3568664</v>
      </c>
      <c r="N209" s="327">
        <v>464184</v>
      </c>
      <c r="O209" s="331">
        <f>+M209/N209</f>
        <v>7.68803750236975</v>
      </c>
      <c r="P209" s="232"/>
    </row>
    <row r="210" spans="1:16" ht="15">
      <c r="A210" s="91">
        <v>207</v>
      </c>
      <c r="B210" s="55" t="s">
        <v>392</v>
      </c>
      <c r="C210" s="41">
        <v>39381</v>
      </c>
      <c r="D210" s="44" t="s">
        <v>81</v>
      </c>
      <c r="E210" s="44" t="s">
        <v>143</v>
      </c>
      <c r="F210" s="63">
        <v>91</v>
      </c>
      <c r="G210" s="63">
        <v>3</v>
      </c>
      <c r="H210" s="63">
        <v>15</v>
      </c>
      <c r="I210" s="192">
        <v>2182</v>
      </c>
      <c r="J210" s="193">
        <v>498</v>
      </c>
      <c r="K210" s="206">
        <f t="shared" si="15"/>
        <v>166</v>
      </c>
      <c r="L210" s="207">
        <f>I210/J210</f>
        <v>4.381526104417671</v>
      </c>
      <c r="M210" s="196">
        <f>964543+666618+447582+156310.5+90863+70894+37352.5+3350+1874+714.5+4126+4390+3896+3214+2182</f>
        <v>2457909.5</v>
      </c>
      <c r="N210" s="189">
        <f>104009+73251+49929+20007+15751+12767+7228+691+416+233+781+895+779+690+498</f>
        <v>287925</v>
      </c>
      <c r="O210" s="216">
        <f>IF(M210&lt;&gt;0,M210/N210,"")</f>
        <v>8.536631067118174</v>
      </c>
      <c r="P210" s="333"/>
    </row>
    <row r="211" spans="1:16" ht="15">
      <c r="A211" s="91">
        <v>208</v>
      </c>
      <c r="B211" s="56" t="s">
        <v>202</v>
      </c>
      <c r="C211" s="41">
        <v>39409</v>
      </c>
      <c r="D211" s="46" t="s">
        <v>425</v>
      </c>
      <c r="E211" s="46" t="s">
        <v>203</v>
      </c>
      <c r="F211" s="43">
        <v>1</v>
      </c>
      <c r="G211" s="43">
        <v>1</v>
      </c>
      <c r="H211" s="43">
        <v>9</v>
      </c>
      <c r="I211" s="86">
        <v>2164</v>
      </c>
      <c r="J211" s="188">
        <v>541</v>
      </c>
      <c r="K211" s="206">
        <f t="shared" si="15"/>
        <v>541</v>
      </c>
      <c r="L211" s="207">
        <f>I211/J211</f>
        <v>4</v>
      </c>
      <c r="M211" s="135">
        <v>15695.5</v>
      </c>
      <c r="N211" s="189">
        <v>2767</v>
      </c>
      <c r="O211" s="218">
        <f aca="true" t="shared" si="18" ref="O211:O220">+M211/N211</f>
        <v>5.6723888688109865</v>
      </c>
      <c r="P211" s="232">
        <v>1</v>
      </c>
    </row>
    <row r="212" spans="1:16" ht="15">
      <c r="A212" s="91">
        <v>209</v>
      </c>
      <c r="B212" s="56" t="s">
        <v>408</v>
      </c>
      <c r="C212" s="41">
        <v>39416</v>
      </c>
      <c r="D212" s="46" t="s">
        <v>425</v>
      </c>
      <c r="E212" s="46" t="s">
        <v>546</v>
      </c>
      <c r="F212" s="43">
        <v>4</v>
      </c>
      <c r="G212" s="43">
        <v>1</v>
      </c>
      <c r="H212" s="43">
        <v>9</v>
      </c>
      <c r="I212" s="86">
        <v>2164</v>
      </c>
      <c r="J212" s="188">
        <v>541</v>
      </c>
      <c r="K212" s="206">
        <f t="shared" si="15"/>
        <v>541</v>
      </c>
      <c r="L212" s="207">
        <f>I212/J212</f>
        <v>4</v>
      </c>
      <c r="M212" s="135">
        <v>46324</v>
      </c>
      <c r="N212" s="189">
        <v>5338</v>
      </c>
      <c r="O212" s="218">
        <f t="shared" si="18"/>
        <v>8.678156612963656</v>
      </c>
      <c r="P212" s="232"/>
    </row>
    <row r="213" spans="1:16" ht="18">
      <c r="A213" s="91">
        <v>210</v>
      </c>
      <c r="B213" s="56" t="s">
        <v>384</v>
      </c>
      <c r="C213" s="41">
        <v>39437</v>
      </c>
      <c r="D213" s="87" t="s">
        <v>42</v>
      </c>
      <c r="E213" s="87" t="s">
        <v>45</v>
      </c>
      <c r="F213" s="43">
        <v>105</v>
      </c>
      <c r="G213" s="43">
        <v>3</v>
      </c>
      <c r="H213" s="43">
        <v>6</v>
      </c>
      <c r="I213" s="187">
        <v>2159</v>
      </c>
      <c r="J213" s="188">
        <v>392</v>
      </c>
      <c r="K213" s="189">
        <f t="shared" si="15"/>
        <v>130.66666666666666</v>
      </c>
      <c r="L213" s="190">
        <f>+I213/J213</f>
        <v>5.50765306122449</v>
      </c>
      <c r="M213" s="191">
        <v>711477</v>
      </c>
      <c r="N213" s="189">
        <v>81646</v>
      </c>
      <c r="O213" s="218">
        <f t="shared" si="18"/>
        <v>8.714168483452955</v>
      </c>
      <c r="P213" s="317">
        <v>1</v>
      </c>
    </row>
    <row r="214" spans="1:16" ht="15">
      <c r="A214" s="91">
        <v>211</v>
      </c>
      <c r="B214" s="56" t="s">
        <v>514</v>
      </c>
      <c r="C214" s="41">
        <v>39437</v>
      </c>
      <c r="D214" s="46" t="s">
        <v>425</v>
      </c>
      <c r="E214" s="46" t="s">
        <v>289</v>
      </c>
      <c r="F214" s="43">
        <v>1</v>
      </c>
      <c r="G214" s="43">
        <v>1</v>
      </c>
      <c r="H214" s="43">
        <v>7</v>
      </c>
      <c r="I214" s="187">
        <v>2140</v>
      </c>
      <c r="J214" s="188">
        <v>535</v>
      </c>
      <c r="K214" s="206">
        <f t="shared" si="15"/>
        <v>535</v>
      </c>
      <c r="L214" s="207">
        <f aca="true" t="shared" si="19" ref="L214:L219">I214/J214</f>
        <v>4</v>
      </c>
      <c r="M214" s="191">
        <v>28861.5</v>
      </c>
      <c r="N214" s="189">
        <v>4744</v>
      </c>
      <c r="O214" s="218">
        <f t="shared" si="18"/>
        <v>6.08379005059022</v>
      </c>
      <c r="P214" s="232">
        <v>1</v>
      </c>
    </row>
    <row r="215" spans="1:16" ht="15">
      <c r="A215" s="91">
        <v>212</v>
      </c>
      <c r="B215" s="56" t="s">
        <v>213</v>
      </c>
      <c r="C215" s="41">
        <v>39087</v>
      </c>
      <c r="D215" s="46" t="s">
        <v>41</v>
      </c>
      <c r="E215" s="46" t="s">
        <v>46</v>
      </c>
      <c r="F215" s="43">
        <v>80</v>
      </c>
      <c r="G215" s="43">
        <v>2</v>
      </c>
      <c r="H215" s="43">
        <v>34</v>
      </c>
      <c r="I215" s="187">
        <v>1977</v>
      </c>
      <c r="J215" s="188">
        <v>312</v>
      </c>
      <c r="K215" s="206">
        <f t="shared" si="15"/>
        <v>156</v>
      </c>
      <c r="L215" s="207">
        <f t="shared" si="19"/>
        <v>6.336538461538462</v>
      </c>
      <c r="M215" s="191">
        <f>1367+686114+384405+247619+146119+85619+63759-1+18934+11869+10791+11315+6907+8812+6730+2628+1465+749+1063+756+276+1198+612+510+45+1062+592+1782+205+893+893+2490+691+2542+60+12+1977</f>
        <v>1712860</v>
      </c>
      <c r="N215" s="189">
        <f>80773+116+46317+29887+17891+10484+7685+2801+1917+1334+1333+755+1517+932+417+307+136+369+126+23+122+85+45+5+126+49+510+33+296+296+415+68+356+20+4+312</f>
        <v>207862</v>
      </c>
      <c r="O215" s="218">
        <f t="shared" si="18"/>
        <v>8.240371015385207</v>
      </c>
      <c r="P215" s="232"/>
    </row>
    <row r="216" spans="1:16" ht="15">
      <c r="A216" s="91">
        <v>213</v>
      </c>
      <c r="B216" s="57" t="s">
        <v>473</v>
      </c>
      <c r="C216" s="41">
        <v>39430</v>
      </c>
      <c r="D216" s="47" t="s">
        <v>432</v>
      </c>
      <c r="E216" s="47" t="s">
        <v>519</v>
      </c>
      <c r="F216" s="64" t="s">
        <v>474</v>
      </c>
      <c r="G216" s="64" t="s">
        <v>428</v>
      </c>
      <c r="H216" s="64" t="s">
        <v>106</v>
      </c>
      <c r="I216" s="197">
        <v>1974</v>
      </c>
      <c r="J216" s="198">
        <v>390</v>
      </c>
      <c r="K216" s="206">
        <f t="shared" si="15"/>
        <v>78</v>
      </c>
      <c r="L216" s="207">
        <f t="shared" si="19"/>
        <v>5.061538461538461</v>
      </c>
      <c r="M216" s="199">
        <v>1227657.44</v>
      </c>
      <c r="N216" s="200">
        <v>156725</v>
      </c>
      <c r="O216" s="218">
        <f t="shared" si="18"/>
        <v>7.833194704099537</v>
      </c>
      <c r="P216" s="316"/>
    </row>
    <row r="217" spans="1:16" ht="15">
      <c r="A217" s="91">
        <v>214</v>
      </c>
      <c r="B217" s="57" t="s">
        <v>300</v>
      </c>
      <c r="C217" s="42">
        <v>39437</v>
      </c>
      <c r="D217" s="47" t="s">
        <v>425</v>
      </c>
      <c r="E217" s="47" t="s">
        <v>388</v>
      </c>
      <c r="F217" s="88">
        <v>7</v>
      </c>
      <c r="G217" s="89">
        <v>3</v>
      </c>
      <c r="H217" s="88">
        <v>6</v>
      </c>
      <c r="I217" s="197">
        <v>1941.2</v>
      </c>
      <c r="J217" s="198">
        <v>428</v>
      </c>
      <c r="K217" s="206">
        <f t="shared" si="15"/>
        <v>142.66666666666666</v>
      </c>
      <c r="L217" s="207">
        <f t="shared" si="19"/>
        <v>4.535514018691589</v>
      </c>
      <c r="M217" s="199">
        <v>42374.2</v>
      </c>
      <c r="N217" s="200">
        <v>5683</v>
      </c>
      <c r="O217" s="218">
        <f t="shared" si="18"/>
        <v>7.456308287876121</v>
      </c>
      <c r="P217" s="232">
        <v>1</v>
      </c>
    </row>
    <row r="218" spans="1:16" ht="15">
      <c r="A218" s="91">
        <v>215</v>
      </c>
      <c r="B218" s="57" t="s">
        <v>353</v>
      </c>
      <c r="C218" s="41">
        <v>39444</v>
      </c>
      <c r="D218" s="47" t="s">
        <v>432</v>
      </c>
      <c r="E218" s="47" t="s">
        <v>98</v>
      </c>
      <c r="F218" s="64" t="s">
        <v>515</v>
      </c>
      <c r="G218" s="64" t="s">
        <v>106</v>
      </c>
      <c r="H218" s="64" t="s">
        <v>435</v>
      </c>
      <c r="I218" s="197">
        <v>1935</v>
      </c>
      <c r="J218" s="198">
        <v>355</v>
      </c>
      <c r="K218" s="206">
        <f t="shared" si="15"/>
        <v>50.714285714285715</v>
      </c>
      <c r="L218" s="207">
        <f t="shared" si="19"/>
        <v>5.450704225352113</v>
      </c>
      <c r="M218" s="199">
        <v>20292.5</v>
      </c>
      <c r="N218" s="200">
        <v>2605</v>
      </c>
      <c r="O218" s="218">
        <f t="shared" si="18"/>
        <v>7.789827255278311</v>
      </c>
      <c r="P218" s="333"/>
    </row>
    <row r="219" spans="1:16" ht="15">
      <c r="A219" s="91">
        <v>216</v>
      </c>
      <c r="B219" s="56" t="s">
        <v>299</v>
      </c>
      <c r="C219" s="42">
        <v>39395</v>
      </c>
      <c r="D219" s="46" t="s">
        <v>43</v>
      </c>
      <c r="E219" s="46" t="s">
        <v>44</v>
      </c>
      <c r="F219" s="43">
        <v>35</v>
      </c>
      <c r="G219" s="43">
        <v>1</v>
      </c>
      <c r="H219" s="43">
        <v>10</v>
      </c>
      <c r="I219" s="187">
        <v>1934</v>
      </c>
      <c r="J219" s="188">
        <v>683</v>
      </c>
      <c r="K219" s="206">
        <f t="shared" si="15"/>
        <v>683</v>
      </c>
      <c r="L219" s="207">
        <f t="shared" si="19"/>
        <v>2.831625183016105</v>
      </c>
      <c r="M219" s="191">
        <f>310876.5+189449.5+81911+30301+17300.5+2478+1808+1661.5+1269+1934</f>
        <v>638989</v>
      </c>
      <c r="N219" s="189">
        <f>27485+16830+7465+3781+3026+485+290+393+249+683</f>
        <v>60687</v>
      </c>
      <c r="O219" s="218">
        <f t="shared" si="18"/>
        <v>10.529256677706922</v>
      </c>
      <c r="P219" s="232">
        <v>1</v>
      </c>
    </row>
    <row r="220" spans="1:16" ht="15">
      <c r="A220" s="91">
        <v>217</v>
      </c>
      <c r="B220" s="56" t="s">
        <v>384</v>
      </c>
      <c r="C220" s="41">
        <v>39437</v>
      </c>
      <c r="D220" s="87" t="s">
        <v>42</v>
      </c>
      <c r="E220" s="87" t="s">
        <v>45</v>
      </c>
      <c r="F220" s="43">
        <v>105</v>
      </c>
      <c r="G220" s="43">
        <v>105</v>
      </c>
      <c r="H220" s="43">
        <v>5</v>
      </c>
      <c r="I220" s="187">
        <v>1899</v>
      </c>
      <c r="J220" s="188">
        <v>350</v>
      </c>
      <c r="K220" s="189">
        <f t="shared" si="15"/>
        <v>3.3333333333333335</v>
      </c>
      <c r="L220" s="190">
        <f>+I220/J220</f>
        <v>5.425714285714286</v>
      </c>
      <c r="M220" s="191">
        <v>709318</v>
      </c>
      <c r="N220" s="189">
        <v>81254</v>
      </c>
      <c r="O220" s="215">
        <f t="shared" si="18"/>
        <v>8.729637925517514</v>
      </c>
      <c r="P220" s="232"/>
    </row>
    <row r="221" spans="1:16" ht="15">
      <c r="A221" s="91">
        <v>218</v>
      </c>
      <c r="B221" s="56" t="s">
        <v>207</v>
      </c>
      <c r="C221" s="42">
        <v>39444</v>
      </c>
      <c r="D221" s="46" t="s">
        <v>43</v>
      </c>
      <c r="E221" s="46" t="s">
        <v>354</v>
      </c>
      <c r="F221" s="63">
        <v>10</v>
      </c>
      <c r="G221" s="43">
        <v>8</v>
      </c>
      <c r="H221" s="43">
        <v>2</v>
      </c>
      <c r="I221" s="86">
        <v>1895</v>
      </c>
      <c r="J221" s="95">
        <v>200</v>
      </c>
      <c r="K221" s="136">
        <f>IF(I221&lt;&gt;0,J221/G221,"")</f>
        <v>25</v>
      </c>
      <c r="L221" s="137">
        <f>IF(I221&lt;&gt;0,I221/J221,"")</f>
        <v>9.475</v>
      </c>
      <c r="M221" s="135">
        <f>8804+1895</f>
        <v>10699</v>
      </c>
      <c r="N221" s="133">
        <f>970+200</f>
        <v>1170</v>
      </c>
      <c r="O221" s="156">
        <f>IF(M221&lt;&gt;0,M221/N221,"")</f>
        <v>9.144444444444444</v>
      </c>
      <c r="P221" s="232"/>
    </row>
    <row r="222" spans="1:16" ht="15">
      <c r="A222" s="91">
        <v>219</v>
      </c>
      <c r="B222" s="57" t="s">
        <v>501</v>
      </c>
      <c r="C222" s="42">
        <v>39437</v>
      </c>
      <c r="D222" s="47" t="s">
        <v>425</v>
      </c>
      <c r="E222" s="47" t="s">
        <v>388</v>
      </c>
      <c r="F222" s="88">
        <v>7</v>
      </c>
      <c r="G222" s="89">
        <v>4</v>
      </c>
      <c r="H222" s="88">
        <v>16</v>
      </c>
      <c r="I222" s="197">
        <v>1892</v>
      </c>
      <c r="J222" s="198">
        <v>341</v>
      </c>
      <c r="K222" s="206">
        <f>J222/G222</f>
        <v>85.25</v>
      </c>
      <c r="L222" s="207">
        <f>I222/J222</f>
        <v>5.548387096774194</v>
      </c>
      <c r="M222" s="199">
        <v>53436.7</v>
      </c>
      <c r="N222" s="200">
        <v>7585</v>
      </c>
      <c r="O222" s="218">
        <f>+M222/N222</f>
        <v>7.045049439683585</v>
      </c>
      <c r="P222" s="232"/>
    </row>
    <row r="223" spans="1:16" ht="15">
      <c r="A223" s="91">
        <v>220</v>
      </c>
      <c r="B223" s="55" t="s">
        <v>502</v>
      </c>
      <c r="C223" s="41">
        <v>39381</v>
      </c>
      <c r="D223" s="44" t="s">
        <v>81</v>
      </c>
      <c r="E223" s="44" t="s">
        <v>143</v>
      </c>
      <c r="F223" s="63">
        <v>91</v>
      </c>
      <c r="G223" s="63">
        <v>1</v>
      </c>
      <c r="H223" s="63">
        <v>21</v>
      </c>
      <c r="I223" s="192">
        <v>1880</v>
      </c>
      <c r="J223" s="193">
        <v>376</v>
      </c>
      <c r="K223" s="194">
        <f>IF(I223&lt;&gt;0,J223/G223,"")</f>
        <v>376</v>
      </c>
      <c r="L223" s="195">
        <f>IF(I223&lt;&gt;0,I223/J223,"")</f>
        <v>5</v>
      </c>
      <c r="M223" s="196">
        <f>2459549.5+0+2990+297+306+1880</f>
        <v>2465022.5</v>
      </c>
      <c r="N223" s="189">
        <f>288443+0+731+100+104+376</f>
        <v>289754</v>
      </c>
      <c r="O223" s="216">
        <f>IF(M223&lt;&gt;0,M223/N223,"")</f>
        <v>8.507294118459107</v>
      </c>
      <c r="P223" s="232">
        <v>1</v>
      </c>
    </row>
    <row r="224" spans="1:16" ht="15">
      <c r="A224" s="91">
        <v>221</v>
      </c>
      <c r="B224" s="55" t="s">
        <v>280</v>
      </c>
      <c r="C224" s="41">
        <v>39409</v>
      </c>
      <c r="D224" s="45" t="s">
        <v>41</v>
      </c>
      <c r="E224" s="44" t="s">
        <v>52</v>
      </c>
      <c r="F224" s="63">
        <v>69</v>
      </c>
      <c r="G224" s="63">
        <v>2</v>
      </c>
      <c r="H224" s="63">
        <v>13</v>
      </c>
      <c r="I224" s="197">
        <v>1865</v>
      </c>
      <c r="J224" s="198">
        <v>308</v>
      </c>
      <c r="K224" s="206">
        <f aca="true" t="shared" si="20" ref="K224:K232">J224/G224</f>
        <v>154</v>
      </c>
      <c r="L224" s="144">
        <f>I224/J224</f>
        <v>6.055194805194805</v>
      </c>
      <c r="M224" s="199">
        <f>387069+277494+166747+4993+4045+7291+3613+313+916+831+3535+1708+1865</f>
        <v>860420</v>
      </c>
      <c r="N224" s="200">
        <f>37017+27892+17708+698+855+1523+696+56+479+146+552+282+308</f>
        <v>88212</v>
      </c>
      <c r="O224" s="81">
        <f aca="true" t="shared" si="21" ref="O224:O232">+M224/N224</f>
        <v>9.75400172312157</v>
      </c>
      <c r="P224" s="232"/>
    </row>
    <row r="225" spans="1:16" ht="15">
      <c r="A225" s="91">
        <v>222</v>
      </c>
      <c r="B225" s="56" t="s">
        <v>394</v>
      </c>
      <c r="C225" s="41">
        <v>39402</v>
      </c>
      <c r="D225" s="46" t="s">
        <v>41</v>
      </c>
      <c r="E225" s="46" t="s">
        <v>140</v>
      </c>
      <c r="F225" s="43">
        <v>20</v>
      </c>
      <c r="G225" s="43">
        <v>1</v>
      </c>
      <c r="H225" s="43">
        <v>12</v>
      </c>
      <c r="I225" s="187">
        <v>1861</v>
      </c>
      <c r="J225" s="188">
        <v>334</v>
      </c>
      <c r="K225" s="206">
        <f t="shared" si="20"/>
        <v>334</v>
      </c>
      <c r="L225" s="207">
        <f>I225/J225</f>
        <v>5.57185628742515</v>
      </c>
      <c r="M225" s="191">
        <f>8296+141704+66729+20126+11859+581+2076+3662+3777+6557+1754+64+1861</f>
        <v>269046</v>
      </c>
      <c r="N225" s="189">
        <f>702+12499+6089+1727+1871+101+444+549+663+1089+276+16+334</f>
        <v>26360</v>
      </c>
      <c r="O225" s="218">
        <f t="shared" si="21"/>
        <v>10.20660091047041</v>
      </c>
      <c r="P225" s="232">
        <v>1</v>
      </c>
    </row>
    <row r="226" spans="1:16" ht="15">
      <c r="A226" s="91">
        <v>223</v>
      </c>
      <c r="B226" s="56" t="s">
        <v>472</v>
      </c>
      <c r="C226" s="41">
        <v>39430</v>
      </c>
      <c r="D226" s="46" t="s">
        <v>42</v>
      </c>
      <c r="E226" s="46" t="s">
        <v>38</v>
      </c>
      <c r="F226" s="43">
        <v>137</v>
      </c>
      <c r="G226" s="43">
        <v>1</v>
      </c>
      <c r="H226" s="43">
        <v>17</v>
      </c>
      <c r="I226" s="187">
        <v>1846</v>
      </c>
      <c r="J226" s="188">
        <v>494</v>
      </c>
      <c r="K226" s="206">
        <f t="shared" si="20"/>
        <v>494</v>
      </c>
      <c r="L226" s="207">
        <f>I226/J226</f>
        <v>3.736842105263158</v>
      </c>
      <c r="M226" s="191">
        <v>3564929</v>
      </c>
      <c r="N226" s="189">
        <v>462893</v>
      </c>
      <c r="O226" s="218">
        <f t="shared" si="21"/>
        <v>7.701410477151307</v>
      </c>
      <c r="P226" s="232"/>
    </row>
    <row r="227" spans="1:16" ht="15">
      <c r="A227" s="91">
        <v>224</v>
      </c>
      <c r="B227" s="56" t="s">
        <v>472</v>
      </c>
      <c r="C227" s="41">
        <v>39430</v>
      </c>
      <c r="D227" s="46" t="s">
        <v>42</v>
      </c>
      <c r="E227" s="46" t="s">
        <v>38</v>
      </c>
      <c r="F227" s="43">
        <v>137</v>
      </c>
      <c r="G227" s="43">
        <v>5</v>
      </c>
      <c r="H227" s="43">
        <v>16</v>
      </c>
      <c r="I227" s="187">
        <v>1829</v>
      </c>
      <c r="J227" s="188">
        <v>598</v>
      </c>
      <c r="K227" s="206">
        <f t="shared" si="20"/>
        <v>119.6</v>
      </c>
      <c r="L227" s="207">
        <f>+I227/J227</f>
        <v>3.0585284280936453</v>
      </c>
      <c r="M227" s="191">
        <v>3555927</v>
      </c>
      <c r="N227" s="189">
        <v>460638</v>
      </c>
      <c r="O227" s="218">
        <f t="shared" si="21"/>
        <v>7.719569379860107</v>
      </c>
      <c r="P227" s="232"/>
    </row>
    <row r="228" spans="1:16" ht="15">
      <c r="A228" s="91">
        <v>225</v>
      </c>
      <c r="B228" s="56" t="s">
        <v>300</v>
      </c>
      <c r="C228" s="42">
        <v>39437</v>
      </c>
      <c r="D228" s="47" t="s">
        <v>425</v>
      </c>
      <c r="E228" s="47" t="s">
        <v>388</v>
      </c>
      <c r="F228" s="88">
        <v>7</v>
      </c>
      <c r="G228" s="89">
        <v>2</v>
      </c>
      <c r="H228" s="88">
        <v>5</v>
      </c>
      <c r="I228" s="197">
        <v>1827</v>
      </c>
      <c r="J228" s="198">
        <v>312</v>
      </c>
      <c r="K228" s="206">
        <f t="shared" si="20"/>
        <v>156</v>
      </c>
      <c r="L228" s="207">
        <f>I228/J228</f>
        <v>5.855769230769231</v>
      </c>
      <c r="M228" s="199">
        <v>40433</v>
      </c>
      <c r="N228" s="200">
        <v>5255</v>
      </c>
      <c r="O228" s="218">
        <f t="shared" si="21"/>
        <v>7.694196003805899</v>
      </c>
      <c r="P228" s="333">
        <v>1</v>
      </c>
    </row>
    <row r="229" spans="1:16" ht="15">
      <c r="A229" s="91">
        <v>226</v>
      </c>
      <c r="B229" s="56" t="s">
        <v>280</v>
      </c>
      <c r="C229" s="41">
        <v>39409</v>
      </c>
      <c r="D229" s="46" t="s">
        <v>41</v>
      </c>
      <c r="E229" s="46" t="s">
        <v>52</v>
      </c>
      <c r="F229" s="43">
        <v>69</v>
      </c>
      <c r="G229" s="43">
        <v>1</v>
      </c>
      <c r="H229" s="43">
        <v>14</v>
      </c>
      <c r="I229" s="187">
        <v>1824</v>
      </c>
      <c r="J229" s="188">
        <v>387</v>
      </c>
      <c r="K229" s="206">
        <f t="shared" si="20"/>
        <v>387</v>
      </c>
      <c r="L229" s="207">
        <f>I229/J229</f>
        <v>4.713178294573644</v>
      </c>
      <c r="M229" s="191">
        <f>387069+277494+166747+4993+4045+7291+3613+313+916+831+3535+1708+1865+1824</f>
        <v>862244</v>
      </c>
      <c r="N229" s="189">
        <f>37017+27892+17708+698+855+1523+696+56+479+146+552+282+308+387</f>
        <v>88599</v>
      </c>
      <c r="O229" s="218">
        <f t="shared" si="21"/>
        <v>9.731983430964233</v>
      </c>
      <c r="P229" s="232"/>
    </row>
    <row r="230" spans="1:16" ht="15">
      <c r="A230" s="91">
        <v>227</v>
      </c>
      <c r="B230" s="56" t="s">
        <v>281</v>
      </c>
      <c r="C230" s="41">
        <v>39416</v>
      </c>
      <c r="D230" s="46" t="s">
        <v>41</v>
      </c>
      <c r="E230" s="46" t="s">
        <v>140</v>
      </c>
      <c r="F230" s="43">
        <v>123</v>
      </c>
      <c r="G230" s="43">
        <v>2</v>
      </c>
      <c r="H230" s="43">
        <v>17</v>
      </c>
      <c r="I230" s="187">
        <v>1817</v>
      </c>
      <c r="J230" s="188">
        <v>224</v>
      </c>
      <c r="K230" s="206">
        <f t="shared" si="20"/>
        <v>112</v>
      </c>
      <c r="L230" s="207">
        <f>I230/J230</f>
        <v>8.111607142857142</v>
      </c>
      <c r="M230" s="191">
        <f>155416+1136619+622980+528056+225392+174199+84508+58425+34257+3403+1276+1707+633+682+568+405+2714+1817</f>
        <v>3033057</v>
      </c>
      <c r="N230" s="189">
        <f>12079+122083+66530+52286+18245+17821+7913+4333+2998+686+289+388+102+107+93+66+258+224</f>
        <v>306501</v>
      </c>
      <c r="O230" s="218">
        <f t="shared" si="21"/>
        <v>9.89574911664236</v>
      </c>
      <c r="P230" s="232"/>
    </row>
    <row r="231" spans="1:16" ht="15">
      <c r="A231" s="91">
        <v>228</v>
      </c>
      <c r="B231" s="56" t="s">
        <v>24</v>
      </c>
      <c r="C231" s="41">
        <v>39206</v>
      </c>
      <c r="D231" s="46" t="s">
        <v>412</v>
      </c>
      <c r="E231" s="46" t="s">
        <v>25</v>
      </c>
      <c r="F231" s="43">
        <v>81</v>
      </c>
      <c r="G231" s="43">
        <v>1</v>
      </c>
      <c r="H231" s="43">
        <v>30</v>
      </c>
      <c r="I231" s="187">
        <v>1812.5</v>
      </c>
      <c r="J231" s="188">
        <v>604</v>
      </c>
      <c r="K231" s="206">
        <f t="shared" si="20"/>
        <v>604</v>
      </c>
      <c r="L231" s="207">
        <f>I231/J231</f>
        <v>3.0008278145695364</v>
      </c>
      <c r="M231" s="191">
        <v>317650</v>
      </c>
      <c r="N231" s="189">
        <v>53631.666666666664</v>
      </c>
      <c r="O231" s="218">
        <f t="shared" si="21"/>
        <v>5.92280679946549</v>
      </c>
      <c r="P231" s="232"/>
    </row>
    <row r="232" spans="1:16" ht="15">
      <c r="A232" s="91">
        <v>229</v>
      </c>
      <c r="B232" s="56" t="s">
        <v>111</v>
      </c>
      <c r="C232" s="41">
        <v>39234</v>
      </c>
      <c r="D232" s="46" t="s">
        <v>425</v>
      </c>
      <c r="E232" s="46" t="s">
        <v>23</v>
      </c>
      <c r="F232" s="43">
        <v>15</v>
      </c>
      <c r="G232" s="43">
        <v>1</v>
      </c>
      <c r="H232" s="43">
        <v>14</v>
      </c>
      <c r="I232" s="187">
        <v>1784</v>
      </c>
      <c r="J232" s="188">
        <v>446</v>
      </c>
      <c r="K232" s="206">
        <f t="shared" si="20"/>
        <v>446</v>
      </c>
      <c r="L232" s="207">
        <f>I232/J232</f>
        <v>4</v>
      </c>
      <c r="M232" s="191">
        <v>31088</v>
      </c>
      <c r="N232" s="189">
        <v>4664</v>
      </c>
      <c r="O232" s="218">
        <f t="shared" si="21"/>
        <v>6.665523156089193</v>
      </c>
      <c r="P232" s="232">
        <v>1</v>
      </c>
    </row>
    <row r="233" spans="1:16" ht="15">
      <c r="A233" s="91">
        <v>230</v>
      </c>
      <c r="B233" s="56" t="s">
        <v>357</v>
      </c>
      <c r="C233" s="41">
        <v>39038</v>
      </c>
      <c r="D233" s="46" t="s">
        <v>81</v>
      </c>
      <c r="E233" s="46" t="s">
        <v>358</v>
      </c>
      <c r="F233" s="43">
        <v>109</v>
      </c>
      <c r="G233" s="43">
        <v>1</v>
      </c>
      <c r="H233" s="43">
        <v>20</v>
      </c>
      <c r="I233" s="187">
        <v>1782</v>
      </c>
      <c r="J233" s="188">
        <v>356</v>
      </c>
      <c r="K233" s="206">
        <f>IF(I233&lt;&gt;0,J233/G233,"")</f>
        <v>356</v>
      </c>
      <c r="L233" s="207">
        <f>IF(I233&lt;&gt;0,I233/J233,"")</f>
        <v>5.00561797752809</v>
      </c>
      <c r="M233" s="191">
        <f>2003085+0</f>
        <v>2003085</v>
      </c>
      <c r="N233" s="189">
        <f>267905+0</f>
        <v>267905</v>
      </c>
      <c r="O233" s="218">
        <f>IF(M233&lt;&gt;0,M233/N233,"")</f>
        <v>7.476848136466285</v>
      </c>
      <c r="P233" s="232"/>
    </row>
    <row r="234" spans="1:16" ht="15">
      <c r="A234" s="91">
        <v>231</v>
      </c>
      <c r="B234" s="56" t="s">
        <v>489</v>
      </c>
      <c r="C234" s="41">
        <v>39360</v>
      </c>
      <c r="D234" s="46" t="s">
        <v>81</v>
      </c>
      <c r="E234" s="46" t="s">
        <v>290</v>
      </c>
      <c r="F234" s="43">
        <v>116</v>
      </c>
      <c r="G234" s="43">
        <v>1</v>
      </c>
      <c r="H234" s="43">
        <v>13</v>
      </c>
      <c r="I234" s="187">
        <v>1782</v>
      </c>
      <c r="J234" s="188">
        <v>356</v>
      </c>
      <c r="K234" s="206">
        <f>IF(I234&lt;&gt;0,J234/G234,"")</f>
        <v>356</v>
      </c>
      <c r="L234" s="207">
        <f>IF(I234&lt;&gt;0,I234/J234,"")</f>
        <v>5.00561797752809</v>
      </c>
      <c r="M234" s="191">
        <f>373787+510358+125428+40861+10428.5+13276.5+5911.5+4646+1596+1340+255+1782+1782</f>
        <v>1091451.5</v>
      </c>
      <c r="N234" s="189">
        <f>44941+63729+16985+6326+1619+2580+1358+1474+355+295+77+356+356</f>
        <v>140451</v>
      </c>
      <c r="O234" s="218">
        <f>IF(M234&lt;&gt;0,M234/N234,"")</f>
        <v>7.771048265943283</v>
      </c>
      <c r="P234" s="232">
        <v>1</v>
      </c>
    </row>
    <row r="235" spans="1:16" ht="15">
      <c r="A235" s="91">
        <v>232</v>
      </c>
      <c r="B235" s="330" t="s">
        <v>202</v>
      </c>
      <c r="C235" s="323">
        <v>39381</v>
      </c>
      <c r="D235" s="322" t="s">
        <v>425</v>
      </c>
      <c r="E235" s="322" t="s">
        <v>225</v>
      </c>
      <c r="F235" s="324">
        <v>1</v>
      </c>
      <c r="G235" s="324">
        <v>1</v>
      </c>
      <c r="H235" s="324">
        <v>11</v>
      </c>
      <c r="I235" s="325">
        <v>1780</v>
      </c>
      <c r="J235" s="326">
        <v>445</v>
      </c>
      <c r="K235" s="327">
        <v>445</v>
      </c>
      <c r="L235" s="328">
        <v>4</v>
      </c>
      <c r="M235" s="329">
        <v>17992.5</v>
      </c>
      <c r="N235" s="327">
        <v>3287</v>
      </c>
      <c r="O235" s="331">
        <v>5.473836324916337</v>
      </c>
      <c r="P235" s="232"/>
    </row>
    <row r="236" spans="1:16" ht="15">
      <c r="A236" s="91">
        <v>233</v>
      </c>
      <c r="B236" s="330" t="s">
        <v>514</v>
      </c>
      <c r="C236" s="323">
        <v>39437</v>
      </c>
      <c r="D236" s="322" t="s">
        <v>425</v>
      </c>
      <c r="E236" s="322" t="s">
        <v>289</v>
      </c>
      <c r="F236" s="324">
        <v>1</v>
      </c>
      <c r="G236" s="324">
        <v>1</v>
      </c>
      <c r="H236" s="324">
        <v>10</v>
      </c>
      <c r="I236" s="325">
        <v>1780</v>
      </c>
      <c r="J236" s="326">
        <v>445</v>
      </c>
      <c r="K236" s="327">
        <v>445</v>
      </c>
      <c r="L236" s="328">
        <v>4</v>
      </c>
      <c r="M236" s="329">
        <v>32025.5</v>
      </c>
      <c r="N236" s="327">
        <v>5361</v>
      </c>
      <c r="O236" s="331">
        <v>5.9737922029472115</v>
      </c>
      <c r="P236" s="232">
        <v>1</v>
      </c>
    </row>
    <row r="237" spans="1:16" ht="15">
      <c r="A237" s="91">
        <v>234</v>
      </c>
      <c r="B237" s="55" t="s">
        <v>394</v>
      </c>
      <c r="C237" s="41">
        <v>39402</v>
      </c>
      <c r="D237" s="45" t="s">
        <v>41</v>
      </c>
      <c r="E237" s="44" t="s">
        <v>140</v>
      </c>
      <c r="F237" s="63">
        <v>20</v>
      </c>
      <c r="G237" s="63">
        <v>3</v>
      </c>
      <c r="H237" s="63">
        <v>10</v>
      </c>
      <c r="I237" s="197">
        <v>1754</v>
      </c>
      <c r="J237" s="198">
        <v>276</v>
      </c>
      <c r="K237" s="206">
        <f>J237/G237</f>
        <v>92</v>
      </c>
      <c r="L237" s="207">
        <f>I237/J237</f>
        <v>6.355072463768116</v>
      </c>
      <c r="M237" s="199">
        <f>8296+141704+66729+20126+11859+581+2076+3662+3777+6557+1754</f>
        <v>267121</v>
      </c>
      <c r="N237" s="200">
        <f>702+12499+6089+1727+1871+101+444+549+663+1089+276</f>
        <v>26010</v>
      </c>
      <c r="O237" s="218">
        <f>+M237/N237</f>
        <v>10.269934640522877</v>
      </c>
      <c r="P237" s="232"/>
    </row>
    <row r="238" spans="1:16" ht="15">
      <c r="A238" s="91">
        <v>235</v>
      </c>
      <c r="B238" s="56" t="s">
        <v>470</v>
      </c>
      <c r="C238" s="41">
        <v>39430</v>
      </c>
      <c r="D238" s="46" t="s">
        <v>42</v>
      </c>
      <c r="E238" s="46" t="s">
        <v>12</v>
      </c>
      <c r="F238" s="43">
        <v>242</v>
      </c>
      <c r="G238" s="43">
        <v>1</v>
      </c>
      <c r="H238" s="43">
        <v>14</v>
      </c>
      <c r="I238" s="86">
        <v>1750</v>
      </c>
      <c r="J238" s="188">
        <v>525</v>
      </c>
      <c r="K238" s="206">
        <f>J238/G238</f>
        <v>525</v>
      </c>
      <c r="L238" s="207">
        <f>I238/J238</f>
        <v>3.3333333333333335</v>
      </c>
      <c r="M238" s="135">
        <v>15275842</v>
      </c>
      <c r="N238" s="189">
        <v>1983180</v>
      </c>
      <c r="O238" s="218">
        <f>+M238/N238</f>
        <v>7.7027007129962985</v>
      </c>
      <c r="P238" s="232"/>
    </row>
    <row r="239" spans="1:16" ht="15">
      <c r="A239" s="91">
        <v>236</v>
      </c>
      <c r="B239" s="77" t="s">
        <v>292</v>
      </c>
      <c r="C239" s="61">
        <v>39339</v>
      </c>
      <c r="D239" s="80" t="s">
        <v>412</v>
      </c>
      <c r="E239" s="80" t="s">
        <v>293</v>
      </c>
      <c r="F239" s="78">
        <v>79</v>
      </c>
      <c r="G239" s="79">
        <v>3</v>
      </c>
      <c r="H239" s="79">
        <v>22</v>
      </c>
      <c r="I239" s="117">
        <v>1740</v>
      </c>
      <c r="J239" s="139">
        <v>226</v>
      </c>
      <c r="K239" s="140">
        <v>7.333333333333333</v>
      </c>
      <c r="L239" s="204">
        <v>6.363636363636363</v>
      </c>
      <c r="M239" s="142">
        <v>311346</v>
      </c>
      <c r="N239" s="143">
        <v>49113</v>
      </c>
      <c r="O239" s="216">
        <f>+M239/N239</f>
        <v>6.339380612057908</v>
      </c>
      <c r="P239" s="333"/>
    </row>
    <row r="240" spans="1:16" ht="15">
      <c r="A240" s="91">
        <v>237</v>
      </c>
      <c r="B240" s="77" t="s">
        <v>275</v>
      </c>
      <c r="C240" s="61">
        <v>39416</v>
      </c>
      <c r="D240" s="80" t="s">
        <v>412</v>
      </c>
      <c r="E240" s="80" t="s">
        <v>293</v>
      </c>
      <c r="F240" s="78">
        <v>45</v>
      </c>
      <c r="G240" s="79">
        <v>5</v>
      </c>
      <c r="H240" s="79">
        <v>9</v>
      </c>
      <c r="I240" s="201">
        <v>1728</v>
      </c>
      <c r="J240" s="202">
        <v>347</v>
      </c>
      <c r="K240" s="206">
        <f>J240/G240</f>
        <v>69.4</v>
      </c>
      <c r="L240" s="207">
        <f>I240/J240</f>
        <v>4.979827089337176</v>
      </c>
      <c r="M240" s="205">
        <v>174465.5</v>
      </c>
      <c r="N240" s="214">
        <v>25491</v>
      </c>
      <c r="O240" s="217">
        <f>M240/N240</f>
        <v>6.84419991369503</v>
      </c>
      <c r="P240" s="232"/>
    </row>
    <row r="241" spans="1:16" ht="15">
      <c r="A241" s="91">
        <v>238</v>
      </c>
      <c r="B241" s="55" t="s">
        <v>280</v>
      </c>
      <c r="C241" s="41">
        <v>39409</v>
      </c>
      <c r="D241" s="45" t="s">
        <v>41</v>
      </c>
      <c r="E241" s="44" t="s">
        <v>52</v>
      </c>
      <c r="F241" s="63">
        <v>69</v>
      </c>
      <c r="G241" s="63">
        <v>3</v>
      </c>
      <c r="H241" s="63">
        <v>12</v>
      </c>
      <c r="I241" s="85">
        <v>1708</v>
      </c>
      <c r="J241" s="93">
        <v>282</v>
      </c>
      <c r="K241" s="143">
        <f>J241/G241</f>
        <v>94</v>
      </c>
      <c r="L241" s="207">
        <f>I241/J241</f>
        <v>6.056737588652482</v>
      </c>
      <c r="M241" s="145">
        <f>387069+277494+166747+4993+4045+7291+3613+313+916+831+3535+1708</f>
        <v>858555</v>
      </c>
      <c r="N241" s="146">
        <f>37017+27892+17708+698+855+1523+696+56+479+146+552+282</f>
        <v>87904</v>
      </c>
      <c r="O241" s="218">
        <f aca="true" t="shared" si="22" ref="O241:O257">+M241/N241</f>
        <v>9.766961685475064</v>
      </c>
      <c r="P241" s="232"/>
    </row>
    <row r="242" spans="1:16" ht="15">
      <c r="A242" s="91">
        <v>239</v>
      </c>
      <c r="B242" s="55" t="s">
        <v>281</v>
      </c>
      <c r="C242" s="41">
        <v>39416</v>
      </c>
      <c r="D242" s="45" t="s">
        <v>41</v>
      </c>
      <c r="E242" s="44" t="s">
        <v>140</v>
      </c>
      <c r="F242" s="63">
        <v>123</v>
      </c>
      <c r="G242" s="63">
        <v>4</v>
      </c>
      <c r="H242" s="63">
        <v>11</v>
      </c>
      <c r="I242" s="85">
        <v>1707</v>
      </c>
      <c r="J242" s="93">
        <v>388</v>
      </c>
      <c r="K242" s="143">
        <f>J242/G242</f>
        <v>97</v>
      </c>
      <c r="L242" s="207">
        <f>I242/J242</f>
        <v>4.399484536082475</v>
      </c>
      <c r="M242" s="145">
        <f>155416+1136619+622980+528056+225392+174199+84508+58425+34257+3403+1276+1707</f>
        <v>3026238</v>
      </c>
      <c r="N242" s="146">
        <f>12079+122083+66530+52286+18245+17821+7913+4333+2998+686+289+388</f>
        <v>305651</v>
      </c>
      <c r="O242" s="218">
        <f t="shared" si="22"/>
        <v>9.900958936826642</v>
      </c>
      <c r="P242" s="316"/>
    </row>
    <row r="243" spans="1:16" ht="15">
      <c r="A243" s="91">
        <v>240</v>
      </c>
      <c r="B243" s="57" t="s">
        <v>518</v>
      </c>
      <c r="C243" s="41">
        <v>39444</v>
      </c>
      <c r="D243" s="47" t="s">
        <v>468</v>
      </c>
      <c r="E243" s="47" t="s">
        <v>468</v>
      </c>
      <c r="F243" s="58">
        <v>14</v>
      </c>
      <c r="G243" s="58">
        <v>3</v>
      </c>
      <c r="H243" s="58">
        <v>7</v>
      </c>
      <c r="I243" s="85">
        <v>1707</v>
      </c>
      <c r="J243" s="93">
        <v>359</v>
      </c>
      <c r="K243" s="136">
        <f>+J243/G243</f>
        <v>119.66666666666667</v>
      </c>
      <c r="L243" s="195">
        <f>+I243/J243</f>
        <v>4.754874651810585</v>
      </c>
      <c r="M243" s="145">
        <v>235731</v>
      </c>
      <c r="N243" s="147">
        <v>23460</v>
      </c>
      <c r="O243" s="216">
        <f t="shared" si="22"/>
        <v>10.048209718670076</v>
      </c>
      <c r="P243" s="333">
        <v>1</v>
      </c>
    </row>
    <row r="244" spans="1:16" ht="15">
      <c r="A244" s="91">
        <v>241</v>
      </c>
      <c r="B244" s="56" t="s">
        <v>476</v>
      </c>
      <c r="C244" s="42">
        <v>39430</v>
      </c>
      <c r="D244" s="46" t="s">
        <v>43</v>
      </c>
      <c r="E244" s="46" t="s">
        <v>434</v>
      </c>
      <c r="F244" s="43">
        <v>43</v>
      </c>
      <c r="G244" s="43">
        <v>7</v>
      </c>
      <c r="H244" s="43">
        <v>6</v>
      </c>
      <c r="I244" s="187">
        <v>1692</v>
      </c>
      <c r="J244" s="188">
        <v>336</v>
      </c>
      <c r="K244" s="206">
        <f aca="true" t="shared" si="23" ref="K244:K258">J244/G244</f>
        <v>48</v>
      </c>
      <c r="L244" s="207">
        <f aca="true" t="shared" si="24" ref="L244:L249">I244/J244</f>
        <v>5.035714285714286</v>
      </c>
      <c r="M244" s="191">
        <f>43240+25728.5+5226.5+5207.5+50+1692</f>
        <v>81144.5</v>
      </c>
      <c r="N244" s="189">
        <f>5272+3593+870+1171+5+336</f>
        <v>11247</v>
      </c>
      <c r="O244" s="218">
        <f t="shared" si="22"/>
        <v>7.214768382679826</v>
      </c>
      <c r="P244" s="232"/>
    </row>
    <row r="245" spans="1:16" ht="15">
      <c r="A245" s="91">
        <v>242</v>
      </c>
      <c r="B245" s="56" t="s">
        <v>329</v>
      </c>
      <c r="C245" s="41">
        <v>39388</v>
      </c>
      <c r="D245" s="46" t="s">
        <v>41</v>
      </c>
      <c r="E245" s="46" t="s">
        <v>46</v>
      </c>
      <c r="F245" s="43">
        <v>4</v>
      </c>
      <c r="G245" s="43">
        <v>1</v>
      </c>
      <c r="H245" s="43">
        <v>6</v>
      </c>
      <c r="I245" s="187">
        <v>1667</v>
      </c>
      <c r="J245" s="188">
        <v>556</v>
      </c>
      <c r="K245" s="206">
        <f t="shared" si="23"/>
        <v>556</v>
      </c>
      <c r="L245" s="207">
        <f t="shared" si="24"/>
        <v>2.9982014388489207</v>
      </c>
      <c r="M245" s="191">
        <f>2870+17781+10585+2582+1127+468+1181+1667</f>
        <v>38261</v>
      </c>
      <c r="N245" s="189">
        <f>287+1390+821+373+155+85+210+556</f>
        <v>3877</v>
      </c>
      <c r="O245" s="218">
        <f t="shared" si="22"/>
        <v>9.868712922362652</v>
      </c>
      <c r="P245" s="232">
        <v>1</v>
      </c>
    </row>
    <row r="246" spans="1:16" ht="15">
      <c r="A246" s="91">
        <v>243</v>
      </c>
      <c r="B246" s="56" t="s">
        <v>300</v>
      </c>
      <c r="C246" s="41">
        <v>39437</v>
      </c>
      <c r="D246" s="46" t="s">
        <v>425</v>
      </c>
      <c r="E246" s="46" t="s">
        <v>289</v>
      </c>
      <c r="F246" s="43">
        <v>7</v>
      </c>
      <c r="G246" s="43">
        <v>3</v>
      </c>
      <c r="H246" s="43">
        <v>10</v>
      </c>
      <c r="I246" s="86">
        <v>1652.5</v>
      </c>
      <c r="J246" s="95">
        <v>216</v>
      </c>
      <c r="K246" s="143">
        <f t="shared" si="23"/>
        <v>72</v>
      </c>
      <c r="L246" s="144">
        <f t="shared" si="24"/>
        <v>7.650462962962963</v>
      </c>
      <c r="M246" s="135">
        <v>45619.7</v>
      </c>
      <c r="N246" s="133">
        <v>6187</v>
      </c>
      <c r="O246" s="81">
        <f t="shared" si="22"/>
        <v>7.373476644577339</v>
      </c>
      <c r="P246" s="232"/>
    </row>
    <row r="247" spans="1:16" ht="15">
      <c r="A247" s="91">
        <v>244</v>
      </c>
      <c r="B247" s="56" t="s">
        <v>281</v>
      </c>
      <c r="C247" s="41">
        <v>39416</v>
      </c>
      <c r="D247" s="46" t="s">
        <v>41</v>
      </c>
      <c r="E247" s="46" t="s">
        <v>140</v>
      </c>
      <c r="F247" s="43">
        <v>123</v>
      </c>
      <c r="G247" s="43">
        <v>1</v>
      </c>
      <c r="H247" s="43">
        <v>18</v>
      </c>
      <c r="I247" s="86">
        <v>1614</v>
      </c>
      <c r="J247" s="95">
        <v>149</v>
      </c>
      <c r="K247" s="143">
        <f t="shared" si="23"/>
        <v>149</v>
      </c>
      <c r="L247" s="144">
        <f t="shared" si="24"/>
        <v>10.832214765100671</v>
      </c>
      <c r="M247" s="135">
        <f>155416+1136619+622980+528056+225392+174199+84508+58425+34257+3403+1276+1707+633+682+568+405+2714+1817+1614</f>
        <v>3034671</v>
      </c>
      <c r="N247" s="133">
        <f>12079+122083+66530+52286+18245+17821+7913+4333+2998+686+289+388+102+107+93+66+258+224+149</f>
        <v>306650</v>
      </c>
      <c r="O247" s="81">
        <f t="shared" si="22"/>
        <v>9.89620414152943</v>
      </c>
      <c r="P247" s="232"/>
    </row>
    <row r="248" spans="1:16" ht="15">
      <c r="A248" s="91">
        <v>245</v>
      </c>
      <c r="B248" s="57" t="s">
        <v>547</v>
      </c>
      <c r="C248" s="42">
        <v>39094</v>
      </c>
      <c r="D248" s="47" t="s">
        <v>425</v>
      </c>
      <c r="E248" s="47" t="s">
        <v>50</v>
      </c>
      <c r="F248" s="88">
        <v>42</v>
      </c>
      <c r="G248" s="89">
        <v>2</v>
      </c>
      <c r="H248" s="88">
        <v>38</v>
      </c>
      <c r="I248" s="197">
        <v>1604</v>
      </c>
      <c r="J248" s="198">
        <v>401</v>
      </c>
      <c r="K248" s="206">
        <f t="shared" si="23"/>
        <v>200.5</v>
      </c>
      <c r="L248" s="207">
        <f t="shared" si="24"/>
        <v>4</v>
      </c>
      <c r="M248" s="199">
        <v>452032.5</v>
      </c>
      <c r="N248" s="200">
        <v>69711</v>
      </c>
      <c r="O248" s="218">
        <f t="shared" si="22"/>
        <v>6.484378362094935</v>
      </c>
      <c r="P248" s="232"/>
    </row>
    <row r="249" spans="1:16" ht="15">
      <c r="A249" s="91">
        <v>246</v>
      </c>
      <c r="B249" s="55" t="s">
        <v>391</v>
      </c>
      <c r="C249" s="41">
        <v>39395</v>
      </c>
      <c r="D249" s="45" t="s">
        <v>41</v>
      </c>
      <c r="E249" s="44" t="s">
        <v>46</v>
      </c>
      <c r="F249" s="63">
        <v>56</v>
      </c>
      <c r="G249" s="63">
        <v>2</v>
      </c>
      <c r="H249" s="63">
        <v>7</v>
      </c>
      <c r="I249" s="197">
        <v>1598</v>
      </c>
      <c r="J249" s="198">
        <v>667</v>
      </c>
      <c r="K249" s="206">
        <f t="shared" si="23"/>
        <v>333.5</v>
      </c>
      <c r="L249" s="207">
        <f t="shared" si="24"/>
        <v>2.395802098950525</v>
      </c>
      <c r="M249" s="199">
        <f>1295+255300+147780+51761+8278+8834+918+1598</f>
        <v>475764</v>
      </c>
      <c r="N249" s="200">
        <f>119+28097+15891+6021+1461+2448+162+667</f>
        <v>54866</v>
      </c>
      <c r="O249" s="218">
        <f t="shared" si="22"/>
        <v>8.671381183246455</v>
      </c>
      <c r="P249" s="232"/>
    </row>
    <row r="250" spans="1:16" ht="15">
      <c r="A250" s="91">
        <v>247</v>
      </c>
      <c r="B250" s="56" t="s">
        <v>470</v>
      </c>
      <c r="C250" s="41">
        <v>39430</v>
      </c>
      <c r="D250" s="46" t="s">
        <v>42</v>
      </c>
      <c r="E250" s="46" t="s">
        <v>12</v>
      </c>
      <c r="F250" s="43">
        <v>242</v>
      </c>
      <c r="G250" s="43">
        <v>2</v>
      </c>
      <c r="H250" s="43">
        <v>13</v>
      </c>
      <c r="I250" s="187">
        <v>1596</v>
      </c>
      <c r="J250" s="188">
        <v>700</v>
      </c>
      <c r="K250" s="206">
        <f t="shared" si="23"/>
        <v>350</v>
      </c>
      <c r="L250" s="207">
        <f>+I250/J250</f>
        <v>2.28</v>
      </c>
      <c r="M250" s="191">
        <v>15274092</v>
      </c>
      <c r="N250" s="189">
        <v>1982655</v>
      </c>
      <c r="O250" s="218">
        <f t="shared" si="22"/>
        <v>7.703857705954894</v>
      </c>
      <c r="P250" s="232"/>
    </row>
    <row r="251" spans="1:16" ht="15">
      <c r="A251" s="91">
        <v>248</v>
      </c>
      <c r="B251" s="55" t="s">
        <v>319</v>
      </c>
      <c r="C251" s="41">
        <v>39423</v>
      </c>
      <c r="D251" s="47" t="s">
        <v>468</v>
      </c>
      <c r="E251" s="47" t="s">
        <v>78</v>
      </c>
      <c r="F251" s="63">
        <v>1</v>
      </c>
      <c r="G251" s="63">
        <v>1</v>
      </c>
      <c r="H251" s="63">
        <v>35</v>
      </c>
      <c r="I251" s="260">
        <v>1595</v>
      </c>
      <c r="J251" s="261">
        <v>444</v>
      </c>
      <c r="K251" s="206">
        <f t="shared" si="23"/>
        <v>444</v>
      </c>
      <c r="L251" s="207">
        <f>I251/J251</f>
        <v>3.5923423423423424</v>
      </c>
      <c r="M251" s="263">
        <v>31404</v>
      </c>
      <c r="N251" s="264">
        <v>3216</v>
      </c>
      <c r="O251" s="218">
        <f t="shared" si="22"/>
        <v>9.764925373134329</v>
      </c>
      <c r="P251" s="316"/>
    </row>
    <row r="252" spans="1:16" ht="15">
      <c r="A252" s="91">
        <v>249</v>
      </c>
      <c r="B252" s="56" t="s">
        <v>565</v>
      </c>
      <c r="C252" s="41">
        <v>39136</v>
      </c>
      <c r="D252" s="46" t="s">
        <v>425</v>
      </c>
      <c r="E252" s="46" t="s">
        <v>50</v>
      </c>
      <c r="F252" s="43">
        <v>24</v>
      </c>
      <c r="G252" s="43">
        <v>1</v>
      </c>
      <c r="H252" s="43">
        <v>19</v>
      </c>
      <c r="I252" s="86">
        <v>1544</v>
      </c>
      <c r="J252" s="95">
        <v>386</v>
      </c>
      <c r="K252" s="143">
        <f t="shared" si="23"/>
        <v>386</v>
      </c>
      <c r="L252" s="144">
        <f>I252/J252</f>
        <v>4</v>
      </c>
      <c r="M252" s="135">
        <v>569217.5</v>
      </c>
      <c r="N252" s="133">
        <v>59395</v>
      </c>
      <c r="O252" s="81">
        <f t="shared" si="22"/>
        <v>9.583592895024834</v>
      </c>
      <c r="P252" s="232">
        <v>1</v>
      </c>
    </row>
    <row r="253" spans="1:16" ht="15">
      <c r="A253" s="91">
        <v>250</v>
      </c>
      <c r="B253" s="56" t="s">
        <v>201</v>
      </c>
      <c r="C253" s="41">
        <v>39332</v>
      </c>
      <c r="D253" s="46" t="s">
        <v>425</v>
      </c>
      <c r="E253" s="46" t="s">
        <v>50</v>
      </c>
      <c r="F253" s="43">
        <v>23</v>
      </c>
      <c r="G253" s="43">
        <v>1</v>
      </c>
      <c r="H253" s="43">
        <v>15</v>
      </c>
      <c r="I253" s="86">
        <v>1544</v>
      </c>
      <c r="J253" s="95">
        <v>386</v>
      </c>
      <c r="K253" s="143">
        <f t="shared" si="23"/>
        <v>386</v>
      </c>
      <c r="L253" s="144">
        <f>I253/J253</f>
        <v>4</v>
      </c>
      <c r="M253" s="135">
        <v>239034.5</v>
      </c>
      <c r="N253" s="133">
        <v>27480</v>
      </c>
      <c r="O253" s="81">
        <f t="shared" si="22"/>
        <v>8.69848981077147</v>
      </c>
      <c r="P253" s="232"/>
    </row>
    <row r="254" spans="1:16" ht="18">
      <c r="A254" s="91">
        <v>251</v>
      </c>
      <c r="B254" s="56" t="s">
        <v>110</v>
      </c>
      <c r="C254" s="41">
        <v>39395</v>
      </c>
      <c r="D254" s="46" t="s">
        <v>425</v>
      </c>
      <c r="E254" s="46" t="s">
        <v>335</v>
      </c>
      <c r="F254" s="43">
        <v>5</v>
      </c>
      <c r="G254" s="43">
        <v>1</v>
      </c>
      <c r="H254" s="43">
        <v>10</v>
      </c>
      <c r="I254" s="187">
        <v>1544</v>
      </c>
      <c r="J254" s="188">
        <v>386</v>
      </c>
      <c r="K254" s="206">
        <f t="shared" si="23"/>
        <v>386</v>
      </c>
      <c r="L254" s="207">
        <f>I254/J254</f>
        <v>4</v>
      </c>
      <c r="M254" s="191">
        <v>5134.5</v>
      </c>
      <c r="N254" s="189">
        <v>1027</v>
      </c>
      <c r="O254" s="218">
        <f t="shared" si="22"/>
        <v>4.999513145082766</v>
      </c>
      <c r="P254" s="317">
        <v>1</v>
      </c>
    </row>
    <row r="255" spans="1:16" ht="15">
      <c r="A255" s="91">
        <v>252</v>
      </c>
      <c r="B255" s="57" t="s">
        <v>273</v>
      </c>
      <c r="C255" s="41">
        <v>39416</v>
      </c>
      <c r="D255" s="47" t="s">
        <v>223</v>
      </c>
      <c r="E255" s="47" t="s">
        <v>550</v>
      </c>
      <c r="F255" s="64" t="s">
        <v>274</v>
      </c>
      <c r="G255" s="64" t="s">
        <v>435</v>
      </c>
      <c r="H255" s="64" t="s">
        <v>516</v>
      </c>
      <c r="I255" s="85">
        <v>1534</v>
      </c>
      <c r="J255" s="93">
        <v>239</v>
      </c>
      <c r="K255" s="143">
        <f t="shared" si="23"/>
        <v>79.66666666666667</v>
      </c>
      <c r="L255" s="144">
        <f>I255/J255</f>
        <v>6.418410041841004</v>
      </c>
      <c r="M255" s="145">
        <v>258757</v>
      </c>
      <c r="N255" s="146">
        <v>27577</v>
      </c>
      <c r="O255" s="81">
        <f t="shared" si="22"/>
        <v>9.383072850563876</v>
      </c>
      <c r="P255" s="232"/>
    </row>
    <row r="256" spans="1:16" ht="15">
      <c r="A256" s="91">
        <v>253</v>
      </c>
      <c r="B256" s="56" t="s">
        <v>276</v>
      </c>
      <c r="C256" s="41">
        <v>39416</v>
      </c>
      <c r="D256" s="46" t="s">
        <v>43</v>
      </c>
      <c r="E256" s="46" t="s">
        <v>390</v>
      </c>
      <c r="F256" s="43">
        <v>20</v>
      </c>
      <c r="G256" s="43">
        <v>1</v>
      </c>
      <c r="H256" s="43">
        <v>12</v>
      </c>
      <c r="I256" s="187">
        <v>1531</v>
      </c>
      <c r="J256" s="188">
        <v>383</v>
      </c>
      <c r="K256" s="206">
        <f t="shared" si="23"/>
        <v>383</v>
      </c>
      <c r="L256" s="207">
        <f>+I256/J256</f>
        <v>3.9973890339425586</v>
      </c>
      <c r="M256" s="191">
        <f>75692.5+51302+12584.5+2036+2909.5+3347+4240.5+2626.5+2244+1250+1247+1531</f>
        <v>161010.5</v>
      </c>
      <c r="N256" s="189">
        <f>7291+5230+1727+233+363+396+496+298+253+140+140+383</f>
        <v>16950</v>
      </c>
      <c r="O256" s="218">
        <f t="shared" si="22"/>
        <v>9.49914454277286</v>
      </c>
      <c r="P256" s="232">
        <v>1</v>
      </c>
    </row>
    <row r="257" spans="1:16" ht="15">
      <c r="A257" s="91">
        <v>254</v>
      </c>
      <c r="B257" s="56" t="s">
        <v>300</v>
      </c>
      <c r="C257" s="41">
        <v>39437</v>
      </c>
      <c r="D257" s="46" t="s">
        <v>425</v>
      </c>
      <c r="E257" s="46" t="s">
        <v>289</v>
      </c>
      <c r="F257" s="43">
        <v>7</v>
      </c>
      <c r="G257" s="43">
        <v>4</v>
      </c>
      <c r="H257" s="43">
        <v>12</v>
      </c>
      <c r="I257" s="86">
        <v>1530</v>
      </c>
      <c r="J257" s="95">
        <v>280</v>
      </c>
      <c r="K257" s="143">
        <f t="shared" si="23"/>
        <v>70</v>
      </c>
      <c r="L257" s="144">
        <f>I257/J257</f>
        <v>5.464285714285714</v>
      </c>
      <c r="M257" s="135">
        <v>48426.7</v>
      </c>
      <c r="N257" s="133">
        <v>6661</v>
      </c>
      <c r="O257" s="81">
        <f t="shared" si="22"/>
        <v>7.270184656958414</v>
      </c>
      <c r="P257" s="232"/>
    </row>
    <row r="258" spans="1:16" ht="15">
      <c r="A258" s="91">
        <v>255</v>
      </c>
      <c r="B258" s="56" t="s">
        <v>24</v>
      </c>
      <c r="C258" s="41">
        <v>39206</v>
      </c>
      <c r="D258" s="46" t="s">
        <v>412</v>
      </c>
      <c r="E258" s="46" t="s">
        <v>25</v>
      </c>
      <c r="F258" s="43">
        <v>81</v>
      </c>
      <c r="G258" s="43">
        <v>1</v>
      </c>
      <c r="H258" s="43">
        <v>27</v>
      </c>
      <c r="I258" s="187">
        <v>1510</v>
      </c>
      <c r="J258" s="188">
        <v>500</v>
      </c>
      <c r="K258" s="206">
        <f t="shared" si="23"/>
        <v>500</v>
      </c>
      <c r="L258" s="207">
        <f>I258/J258</f>
        <v>3.02</v>
      </c>
      <c r="M258" s="191">
        <v>312961.5</v>
      </c>
      <c r="N258" s="189">
        <v>52067.666666666664</v>
      </c>
      <c r="O258" s="218">
        <f>M258/N258</f>
        <v>6.010668809177801</v>
      </c>
      <c r="P258" s="316"/>
    </row>
    <row r="259" spans="1:16" ht="15">
      <c r="A259" s="91">
        <v>256</v>
      </c>
      <c r="B259" s="57" t="s">
        <v>319</v>
      </c>
      <c r="C259" s="41">
        <v>39423</v>
      </c>
      <c r="D259" s="47" t="s">
        <v>468</v>
      </c>
      <c r="E259" s="47" t="s">
        <v>468</v>
      </c>
      <c r="F259" s="58">
        <v>1</v>
      </c>
      <c r="G259" s="58">
        <v>1</v>
      </c>
      <c r="H259" s="58">
        <v>7</v>
      </c>
      <c r="I259" s="197">
        <v>1495</v>
      </c>
      <c r="J259" s="198">
        <v>168</v>
      </c>
      <c r="K259" s="194">
        <f>+J259/G259</f>
        <v>168</v>
      </c>
      <c r="L259" s="195">
        <f>+I259/J259</f>
        <v>8.898809523809524</v>
      </c>
      <c r="M259" s="199">
        <v>26797</v>
      </c>
      <c r="N259" s="200">
        <v>2415</v>
      </c>
      <c r="O259" s="216">
        <f>+M259/N259</f>
        <v>11.096066252587992</v>
      </c>
      <c r="P259" s="232"/>
    </row>
    <row r="260" spans="1:16" ht="15">
      <c r="A260" s="91">
        <v>257</v>
      </c>
      <c r="B260" s="55" t="s">
        <v>510</v>
      </c>
      <c r="C260" s="41">
        <v>39402</v>
      </c>
      <c r="D260" s="45" t="s">
        <v>41</v>
      </c>
      <c r="E260" s="44" t="s">
        <v>52</v>
      </c>
      <c r="F260" s="63">
        <v>64</v>
      </c>
      <c r="G260" s="63">
        <v>1</v>
      </c>
      <c r="H260" s="63">
        <v>13</v>
      </c>
      <c r="I260" s="85">
        <v>1487</v>
      </c>
      <c r="J260" s="93">
        <v>362</v>
      </c>
      <c r="K260" s="143">
        <f>J260/G260</f>
        <v>362</v>
      </c>
      <c r="L260" s="207">
        <f>I260/J260</f>
        <v>4.107734806629834</v>
      </c>
      <c r="M260" s="145">
        <f>299858+213967+97347+22667+8568+16509+4053+3337+284+4988+2264+2342+1487</f>
        <v>677671</v>
      </c>
      <c r="N260" s="146">
        <f>33225+24189+12517+4002+2479+2973+867+358+35+802+375+456+362</f>
        <v>82640</v>
      </c>
      <c r="O260" s="218">
        <f>+M260/N260</f>
        <v>8.200278315585672</v>
      </c>
      <c r="P260" s="232">
        <v>1</v>
      </c>
    </row>
    <row r="261" spans="1:16" ht="15">
      <c r="A261" s="91">
        <v>258</v>
      </c>
      <c r="B261" s="56" t="s">
        <v>291</v>
      </c>
      <c r="C261" s="42">
        <v>39325</v>
      </c>
      <c r="D261" s="46" t="s">
        <v>414</v>
      </c>
      <c r="E261" s="46" t="s">
        <v>414</v>
      </c>
      <c r="F261" s="43">
        <v>41</v>
      </c>
      <c r="G261" s="43">
        <v>1</v>
      </c>
      <c r="H261" s="43">
        <v>14</v>
      </c>
      <c r="I261" s="86">
        <v>1464</v>
      </c>
      <c r="J261" s="95">
        <v>222</v>
      </c>
      <c r="K261" s="136">
        <f>IF(I261&lt;&gt;0,J261/G261,"")</f>
        <v>222</v>
      </c>
      <c r="L261" s="137">
        <f>IF(I261&lt;&gt;0,I261/J261,"")</f>
        <v>6.594594594594595</v>
      </c>
      <c r="M261" s="135">
        <f>134878+121098+57423.5+36002.5+21899.5+24766+21116+4712+2484+2133+1303+125+2376+1464</f>
        <v>431780.5</v>
      </c>
      <c r="N261" s="133">
        <f>16294+14776+7255+5972+3786+4702+3853+904+447+385+312+25+594+222</f>
        <v>59527</v>
      </c>
      <c r="O261" s="156">
        <f>IF(M261&lt;&gt;0,M261/N261,"")</f>
        <v>7.253523611134443</v>
      </c>
      <c r="P261" s="232"/>
    </row>
    <row r="262" spans="1:16" ht="15">
      <c r="A262" s="91">
        <v>259</v>
      </c>
      <c r="B262" s="57" t="s">
        <v>514</v>
      </c>
      <c r="C262" s="42">
        <v>39437</v>
      </c>
      <c r="D262" s="47" t="s">
        <v>425</v>
      </c>
      <c r="E262" s="47" t="s">
        <v>289</v>
      </c>
      <c r="F262" s="88">
        <v>1</v>
      </c>
      <c r="G262" s="89">
        <v>1</v>
      </c>
      <c r="H262" s="88">
        <v>3</v>
      </c>
      <c r="I262" s="85">
        <v>1464</v>
      </c>
      <c r="J262" s="93">
        <v>173</v>
      </c>
      <c r="K262" s="143">
        <f aca="true" t="shared" si="25" ref="K262:K269">J262/G262</f>
        <v>173</v>
      </c>
      <c r="L262" s="144">
        <f aca="true" t="shared" si="26" ref="L262:L269">I262/J262</f>
        <v>8.46242774566474</v>
      </c>
      <c r="M262" s="145">
        <v>22500.2</v>
      </c>
      <c r="N262" s="146">
        <v>3129</v>
      </c>
      <c r="O262" s="81">
        <f>+M262/N262</f>
        <v>7.190859699584532</v>
      </c>
      <c r="P262" s="232"/>
    </row>
    <row r="263" spans="1:16" ht="15">
      <c r="A263" s="91">
        <v>260</v>
      </c>
      <c r="B263" s="56" t="s">
        <v>382</v>
      </c>
      <c r="C263" s="41">
        <v>39437</v>
      </c>
      <c r="D263" s="46" t="s">
        <v>43</v>
      </c>
      <c r="E263" s="46" t="s">
        <v>383</v>
      </c>
      <c r="F263" s="43">
        <v>156</v>
      </c>
      <c r="G263" s="43">
        <v>6</v>
      </c>
      <c r="H263" s="43">
        <v>11</v>
      </c>
      <c r="I263" s="86">
        <v>1455</v>
      </c>
      <c r="J263" s="95">
        <v>337</v>
      </c>
      <c r="K263" s="143">
        <f t="shared" si="25"/>
        <v>56.166666666666664</v>
      </c>
      <c r="L263" s="207">
        <f t="shared" si="26"/>
        <v>4.317507418397626</v>
      </c>
      <c r="M263" s="135">
        <f>1780127+1212579.5+721829.5+404706.5+230406+56484.5+45824+18497.5+10529+9795.5+1455</f>
        <v>4492234</v>
      </c>
      <c r="N263" s="133">
        <f>240776+165120+97288+55998+35394+10296+9476+3143+2091+2258+337</f>
        <v>622177</v>
      </c>
      <c r="O263" s="218">
        <f>+M263/N263</f>
        <v>7.220186538557356</v>
      </c>
      <c r="P263" s="232"/>
    </row>
    <row r="264" spans="1:16" ht="15">
      <c r="A264" s="91">
        <v>261</v>
      </c>
      <c r="B264" s="55" t="s">
        <v>391</v>
      </c>
      <c r="C264" s="41">
        <v>39395</v>
      </c>
      <c r="D264" s="45" t="s">
        <v>41</v>
      </c>
      <c r="E264" s="44" t="s">
        <v>46</v>
      </c>
      <c r="F264" s="63">
        <v>56</v>
      </c>
      <c r="G264" s="63">
        <v>2</v>
      </c>
      <c r="H264" s="63">
        <v>9</v>
      </c>
      <c r="I264" s="197">
        <v>1455</v>
      </c>
      <c r="J264" s="198">
        <v>291</v>
      </c>
      <c r="K264" s="206">
        <f t="shared" si="25"/>
        <v>145.5</v>
      </c>
      <c r="L264" s="207">
        <f t="shared" si="26"/>
        <v>5</v>
      </c>
      <c r="M264" s="199">
        <f>1295+255300+147780+51761+8278+8834+918+1598+1039+1455</f>
        <v>478258</v>
      </c>
      <c r="N264" s="200">
        <f>119+28097+15891+6021+1461+2448+162+667+158+291</f>
        <v>55315</v>
      </c>
      <c r="O264" s="218">
        <f>+M264/N264</f>
        <v>8.646081533038055</v>
      </c>
      <c r="P264" s="232">
        <v>1</v>
      </c>
    </row>
    <row r="265" spans="1:16" ht="18">
      <c r="A265" s="91">
        <v>262</v>
      </c>
      <c r="B265" s="56" t="s">
        <v>26</v>
      </c>
      <c r="C265" s="41">
        <v>39297</v>
      </c>
      <c r="D265" s="46" t="s">
        <v>223</v>
      </c>
      <c r="E265" s="46" t="s">
        <v>550</v>
      </c>
      <c r="F265" s="43" t="s">
        <v>428</v>
      </c>
      <c r="G265" s="43" t="s">
        <v>424</v>
      </c>
      <c r="H265" s="43" t="s">
        <v>365</v>
      </c>
      <c r="I265" s="187">
        <v>1450</v>
      </c>
      <c r="J265" s="188">
        <v>168</v>
      </c>
      <c r="K265" s="206">
        <f t="shared" si="25"/>
        <v>168</v>
      </c>
      <c r="L265" s="207">
        <f t="shared" si="26"/>
        <v>8.630952380952381</v>
      </c>
      <c r="M265" s="191">
        <v>163791.57</v>
      </c>
      <c r="N265" s="189">
        <v>16608</v>
      </c>
      <c r="O265" s="218">
        <f>+M265/N265</f>
        <v>9.862209176300578</v>
      </c>
      <c r="P265" s="317"/>
    </row>
    <row r="266" spans="1:16" ht="15">
      <c r="A266" s="91">
        <v>263</v>
      </c>
      <c r="B266" s="56" t="s">
        <v>382</v>
      </c>
      <c r="C266" s="41">
        <v>39437</v>
      </c>
      <c r="D266" s="46" t="s">
        <v>43</v>
      </c>
      <c r="E266" s="46" t="s">
        <v>383</v>
      </c>
      <c r="F266" s="43">
        <v>156</v>
      </c>
      <c r="G266" s="43">
        <v>4</v>
      </c>
      <c r="H266" s="43">
        <v>13</v>
      </c>
      <c r="I266" s="86">
        <v>1447</v>
      </c>
      <c r="J266" s="188">
        <v>436</v>
      </c>
      <c r="K266" s="206">
        <f t="shared" si="25"/>
        <v>109</v>
      </c>
      <c r="L266" s="207">
        <f t="shared" si="26"/>
        <v>3.3188073394495414</v>
      </c>
      <c r="M266" s="135">
        <f>1780127+1212579.5+721829.5+404706.5+230406+56484.5+45824+18497.5+10529+9795.5+1455+3484+1447</f>
        <v>4497165</v>
      </c>
      <c r="N266" s="189">
        <f>240776+165120+97288+55998+35394+10296+9476+3143+2091+2258+337+991+436</f>
        <v>623604</v>
      </c>
      <c r="O266" s="218">
        <f>+M266/N266</f>
        <v>7.211571766698097</v>
      </c>
      <c r="P266" s="232"/>
    </row>
    <row r="267" spans="1:16" ht="15">
      <c r="A267" s="91">
        <v>264</v>
      </c>
      <c r="B267" s="56" t="s">
        <v>24</v>
      </c>
      <c r="C267" s="41">
        <v>39206</v>
      </c>
      <c r="D267" s="46" t="s">
        <v>412</v>
      </c>
      <c r="E267" s="46" t="s">
        <v>25</v>
      </c>
      <c r="F267" s="43">
        <v>81</v>
      </c>
      <c r="G267" s="43">
        <v>1</v>
      </c>
      <c r="H267" s="43">
        <v>28</v>
      </c>
      <c r="I267" s="187">
        <v>1438</v>
      </c>
      <c r="J267" s="188">
        <v>481</v>
      </c>
      <c r="K267" s="206">
        <f t="shared" si="25"/>
        <v>481</v>
      </c>
      <c r="L267" s="207">
        <f t="shared" si="26"/>
        <v>2.9896049896049894</v>
      </c>
      <c r="M267" s="191">
        <v>314399.5</v>
      </c>
      <c r="N267" s="189">
        <v>52548.666666666664</v>
      </c>
      <c r="O267" s="218">
        <f>M267/N267</f>
        <v>5.983015744135595</v>
      </c>
      <c r="P267" s="316"/>
    </row>
    <row r="268" spans="1:16" ht="15">
      <c r="A268" s="91">
        <v>265</v>
      </c>
      <c r="B268" s="56" t="s">
        <v>24</v>
      </c>
      <c r="C268" s="41">
        <v>39206</v>
      </c>
      <c r="D268" s="46" t="s">
        <v>412</v>
      </c>
      <c r="E268" s="46" t="s">
        <v>25</v>
      </c>
      <c r="F268" s="43">
        <v>81</v>
      </c>
      <c r="G268" s="43">
        <v>1</v>
      </c>
      <c r="H268" s="43">
        <v>29</v>
      </c>
      <c r="I268" s="86">
        <v>1438</v>
      </c>
      <c r="J268" s="95">
        <v>479</v>
      </c>
      <c r="K268" s="143">
        <f t="shared" si="25"/>
        <v>479</v>
      </c>
      <c r="L268" s="144">
        <f t="shared" si="26"/>
        <v>3.002087682672234</v>
      </c>
      <c r="M268" s="135">
        <v>315837.5</v>
      </c>
      <c r="N268" s="133">
        <v>53027.666666666664</v>
      </c>
      <c r="O268" s="81">
        <f>M268/N268</f>
        <v>5.956088959851147</v>
      </c>
      <c r="P268" s="232">
        <v>1</v>
      </c>
    </row>
    <row r="269" spans="1:16" ht="15">
      <c r="A269" s="91">
        <v>266</v>
      </c>
      <c r="B269" s="57" t="s">
        <v>184</v>
      </c>
      <c r="C269" s="41">
        <v>39220</v>
      </c>
      <c r="D269" s="47" t="s">
        <v>223</v>
      </c>
      <c r="E269" s="47" t="s">
        <v>550</v>
      </c>
      <c r="F269" s="64" t="s">
        <v>549</v>
      </c>
      <c r="G269" s="64" t="s">
        <v>424</v>
      </c>
      <c r="H269" s="64" t="s">
        <v>185</v>
      </c>
      <c r="I269" s="197">
        <v>1425.61</v>
      </c>
      <c r="J269" s="198">
        <v>285</v>
      </c>
      <c r="K269" s="206">
        <f t="shared" si="25"/>
        <v>285</v>
      </c>
      <c r="L269" s="207">
        <f t="shared" si="26"/>
        <v>5.002140350877193</v>
      </c>
      <c r="M269" s="199">
        <v>703551.61</v>
      </c>
      <c r="N269" s="200">
        <v>83859</v>
      </c>
      <c r="O269" s="218">
        <f>+M269/N269</f>
        <v>8.38969711062617</v>
      </c>
      <c r="P269" s="232"/>
    </row>
    <row r="270" spans="1:16" ht="15">
      <c r="A270" s="91">
        <v>267</v>
      </c>
      <c r="B270" s="56" t="s">
        <v>392</v>
      </c>
      <c r="C270" s="41">
        <v>39381</v>
      </c>
      <c r="D270" s="46" t="s">
        <v>81</v>
      </c>
      <c r="E270" s="46" t="s">
        <v>143</v>
      </c>
      <c r="F270" s="43">
        <v>91</v>
      </c>
      <c r="G270" s="43">
        <v>1</v>
      </c>
      <c r="H270" s="43">
        <v>17</v>
      </c>
      <c r="I270" s="86">
        <v>1425</v>
      </c>
      <c r="J270" s="95">
        <v>475</v>
      </c>
      <c r="K270" s="143">
        <f>IF(I270&lt;&gt;0,J270/G270,"")</f>
        <v>475</v>
      </c>
      <c r="L270" s="144">
        <f>IF(I270&lt;&gt;0,I270/J270,"")</f>
        <v>3</v>
      </c>
      <c r="M270" s="135">
        <f>2459549.5+0</f>
        <v>2459549.5</v>
      </c>
      <c r="N270" s="133">
        <f>288443+0</f>
        <v>288443</v>
      </c>
      <c r="O270" s="81">
        <f>IF(M270&lt;&gt;0,M270/N270,"")</f>
        <v>8.5269862676508</v>
      </c>
      <c r="P270" s="232"/>
    </row>
    <row r="271" spans="1:16" ht="15">
      <c r="A271" s="91">
        <v>268</v>
      </c>
      <c r="B271" s="330" t="s">
        <v>310</v>
      </c>
      <c r="C271" s="323">
        <v>39290</v>
      </c>
      <c r="D271" s="322" t="s">
        <v>425</v>
      </c>
      <c r="E271" s="322" t="s">
        <v>311</v>
      </c>
      <c r="F271" s="324">
        <v>10</v>
      </c>
      <c r="G271" s="324">
        <v>1</v>
      </c>
      <c r="H271" s="324">
        <v>22</v>
      </c>
      <c r="I271" s="325">
        <v>1424</v>
      </c>
      <c r="J271" s="326">
        <v>356</v>
      </c>
      <c r="K271" s="327">
        <f>J271/G271</f>
        <v>356</v>
      </c>
      <c r="L271" s="328">
        <f>IF(I271&lt;&gt;0,I271/J271,"")</f>
        <v>4</v>
      </c>
      <c r="M271" s="329">
        <v>91587.5</v>
      </c>
      <c r="N271" s="327">
        <v>12177</v>
      </c>
      <c r="O271" s="331">
        <f>M271/N271</f>
        <v>7.521351728668802</v>
      </c>
      <c r="P271" s="316"/>
    </row>
    <row r="272" spans="1:16" ht="15">
      <c r="A272" s="91">
        <v>269</v>
      </c>
      <c r="B272" s="330" t="s">
        <v>110</v>
      </c>
      <c r="C272" s="323">
        <v>39395</v>
      </c>
      <c r="D272" s="322" t="s">
        <v>425</v>
      </c>
      <c r="E272" s="322" t="s">
        <v>335</v>
      </c>
      <c r="F272" s="324">
        <v>5</v>
      </c>
      <c r="G272" s="324">
        <v>1</v>
      </c>
      <c r="H272" s="324">
        <v>8</v>
      </c>
      <c r="I272" s="325">
        <v>1424</v>
      </c>
      <c r="J272" s="326">
        <v>356</v>
      </c>
      <c r="K272" s="327">
        <f>J272/G272</f>
        <v>356</v>
      </c>
      <c r="L272" s="328">
        <f>IF(I272&lt;&gt;0,I272/J272,"")</f>
        <v>4</v>
      </c>
      <c r="M272" s="329">
        <v>10482.5</v>
      </c>
      <c r="N272" s="327">
        <v>2364</v>
      </c>
      <c r="O272" s="331">
        <f>M272/N272</f>
        <v>4.43422165820643</v>
      </c>
      <c r="P272" s="333"/>
    </row>
    <row r="273" spans="1:16" ht="15">
      <c r="A273" s="91">
        <v>270</v>
      </c>
      <c r="B273" s="62" t="s">
        <v>518</v>
      </c>
      <c r="C273" s="41">
        <v>39423</v>
      </c>
      <c r="D273" s="47" t="s">
        <v>468</v>
      </c>
      <c r="E273" s="47" t="s">
        <v>468</v>
      </c>
      <c r="F273" s="58">
        <v>14</v>
      </c>
      <c r="G273" s="58">
        <v>3</v>
      </c>
      <c r="H273" s="58">
        <v>10</v>
      </c>
      <c r="I273" s="197">
        <v>1419</v>
      </c>
      <c r="J273" s="198">
        <v>221</v>
      </c>
      <c r="K273" s="206">
        <f>J273/G273</f>
        <v>73.66666666666667</v>
      </c>
      <c r="L273" s="207">
        <f>I273/J273</f>
        <v>6.420814479638009</v>
      </c>
      <c r="M273" s="199">
        <v>237150</v>
      </c>
      <c r="N273" s="200">
        <v>23681</v>
      </c>
      <c r="O273" s="218">
        <f>+M273/N273</f>
        <v>10.014357501794688</v>
      </c>
      <c r="P273" s="232">
        <v>1</v>
      </c>
    </row>
    <row r="274" spans="1:16" ht="15">
      <c r="A274" s="91">
        <v>271</v>
      </c>
      <c r="B274" s="56" t="s">
        <v>300</v>
      </c>
      <c r="C274" s="42">
        <v>39437</v>
      </c>
      <c r="D274" s="47" t="s">
        <v>425</v>
      </c>
      <c r="E274" s="47" t="s">
        <v>388</v>
      </c>
      <c r="F274" s="88">
        <v>7</v>
      </c>
      <c r="G274" s="89">
        <v>2</v>
      </c>
      <c r="H274" s="88">
        <v>3</v>
      </c>
      <c r="I274" s="85">
        <v>1415</v>
      </c>
      <c r="J274" s="93">
        <v>283</v>
      </c>
      <c r="K274" s="143">
        <f>J274/G274</f>
        <v>141.5</v>
      </c>
      <c r="L274" s="144">
        <f>I274/J274</f>
        <v>5</v>
      </c>
      <c r="M274" s="145">
        <v>38426</v>
      </c>
      <c r="N274" s="146">
        <v>4907</v>
      </c>
      <c r="O274" s="81">
        <f>+M274/N274</f>
        <v>7.830853882209089</v>
      </c>
      <c r="P274" s="316"/>
    </row>
    <row r="275" spans="1:16" ht="15">
      <c r="A275" s="91">
        <v>272</v>
      </c>
      <c r="B275" s="330" t="s">
        <v>26</v>
      </c>
      <c r="C275" s="323">
        <v>39297</v>
      </c>
      <c r="D275" s="322" t="s">
        <v>223</v>
      </c>
      <c r="E275" s="322" t="s">
        <v>550</v>
      </c>
      <c r="F275" s="324">
        <v>5</v>
      </c>
      <c r="G275" s="324">
        <v>1</v>
      </c>
      <c r="H275" s="324">
        <v>16</v>
      </c>
      <c r="I275" s="325">
        <v>1409.5</v>
      </c>
      <c r="J275" s="326">
        <v>238</v>
      </c>
      <c r="K275" s="327">
        <v>238</v>
      </c>
      <c r="L275" s="328">
        <v>5.922268907563026</v>
      </c>
      <c r="M275" s="329">
        <v>175123.07</v>
      </c>
      <c r="N275" s="327">
        <v>17958</v>
      </c>
      <c r="O275" s="331">
        <v>9.751813676355942</v>
      </c>
      <c r="P275" s="333"/>
    </row>
    <row r="276" spans="1:16" ht="18">
      <c r="A276" s="91">
        <v>273</v>
      </c>
      <c r="B276" s="234" t="s">
        <v>385</v>
      </c>
      <c r="C276" s="41">
        <v>39437</v>
      </c>
      <c r="D276" s="48" t="s">
        <v>48</v>
      </c>
      <c r="E276" s="48" t="s">
        <v>426</v>
      </c>
      <c r="F276" s="76">
        <v>17</v>
      </c>
      <c r="G276" s="76">
        <v>3</v>
      </c>
      <c r="H276" s="76">
        <v>6</v>
      </c>
      <c r="I276" s="209">
        <v>1396</v>
      </c>
      <c r="J276" s="210">
        <v>274</v>
      </c>
      <c r="K276" s="206">
        <f>J276/G276</f>
        <v>91.33333333333333</v>
      </c>
      <c r="L276" s="207">
        <f>I276/J276</f>
        <v>5.094890510948905</v>
      </c>
      <c r="M276" s="213">
        <v>275144</v>
      </c>
      <c r="N276" s="211">
        <v>26020</v>
      </c>
      <c r="O276" s="219">
        <f>M276/N276</f>
        <v>10.574327440430437</v>
      </c>
      <c r="P276" s="317">
        <v>1</v>
      </c>
    </row>
    <row r="277" spans="1:16" ht="15">
      <c r="A277" s="91">
        <v>274</v>
      </c>
      <c r="B277" s="247" t="s">
        <v>384</v>
      </c>
      <c r="C277" s="42">
        <v>39437</v>
      </c>
      <c r="D277" s="239" t="s">
        <v>42</v>
      </c>
      <c r="E277" s="239" t="s">
        <v>298</v>
      </c>
      <c r="F277" s="240">
        <v>105</v>
      </c>
      <c r="G277" s="240">
        <v>2</v>
      </c>
      <c r="H277" s="240">
        <v>8</v>
      </c>
      <c r="I277" s="187">
        <v>1370</v>
      </c>
      <c r="J277" s="188">
        <v>234</v>
      </c>
      <c r="K277" s="189">
        <f>J277/G277</f>
        <v>117</v>
      </c>
      <c r="L277" s="190">
        <f>+I277/J277</f>
        <v>5.854700854700854</v>
      </c>
      <c r="M277" s="191">
        <v>716311</v>
      </c>
      <c r="N277" s="189">
        <v>82463</v>
      </c>
      <c r="O277" s="215">
        <f>+M277/N277</f>
        <v>8.686453318457975</v>
      </c>
      <c r="P277" s="232"/>
    </row>
    <row r="278" spans="1:16" ht="15">
      <c r="A278" s="91">
        <v>275</v>
      </c>
      <c r="B278" s="55" t="s">
        <v>429</v>
      </c>
      <c r="C278" s="41">
        <v>39164</v>
      </c>
      <c r="D278" s="44" t="s">
        <v>81</v>
      </c>
      <c r="E278" s="44" t="s">
        <v>51</v>
      </c>
      <c r="F278" s="63">
        <v>119</v>
      </c>
      <c r="G278" s="63">
        <v>2</v>
      </c>
      <c r="H278" s="63">
        <v>27</v>
      </c>
      <c r="I278" s="94">
        <v>1363</v>
      </c>
      <c r="J278" s="116">
        <v>284</v>
      </c>
      <c r="K278" s="136">
        <f>IF(I278&lt;&gt;0,J278/G278,"")</f>
        <v>142</v>
      </c>
      <c r="L278" s="137">
        <f>IF(I278&lt;&gt;0,I278/J278,"")</f>
        <v>4.799295774647887</v>
      </c>
      <c r="M278" s="138">
        <f>1463503.5+1774+208+20289+1136+123+3728+1281+565+311+129+80+136+123+1928+7469+133+1363</f>
        <v>1504279.5</v>
      </c>
      <c r="N278" s="133">
        <f>193429+337+32+3321+216+18+619+252+110+56+19+12+21+18+377+1489+25+284</f>
        <v>200635</v>
      </c>
      <c r="O278" s="156">
        <f>IF(M278&lt;&gt;0,M278/N278,"")</f>
        <v>7.497592643357341</v>
      </c>
      <c r="P278" s="232"/>
    </row>
    <row r="279" spans="1:16" ht="15">
      <c r="A279" s="91">
        <v>276</v>
      </c>
      <c r="B279" s="56" t="s">
        <v>187</v>
      </c>
      <c r="C279" s="41">
        <v>39297</v>
      </c>
      <c r="D279" s="46" t="s">
        <v>223</v>
      </c>
      <c r="E279" s="46" t="s">
        <v>294</v>
      </c>
      <c r="F279" s="43" t="s">
        <v>549</v>
      </c>
      <c r="G279" s="43" t="s">
        <v>431</v>
      </c>
      <c r="H279" s="43" t="s">
        <v>119</v>
      </c>
      <c r="I279" s="187">
        <v>1337.99</v>
      </c>
      <c r="J279" s="188">
        <v>268</v>
      </c>
      <c r="K279" s="206">
        <f aca="true" t="shared" si="27" ref="K279:K286">J279/G279</f>
        <v>134</v>
      </c>
      <c r="L279" s="207">
        <f>I279/J279</f>
        <v>4.9925</v>
      </c>
      <c r="M279" s="191">
        <v>154357.54</v>
      </c>
      <c r="N279" s="189">
        <v>25594</v>
      </c>
      <c r="O279" s="218">
        <f>+M279/N279</f>
        <v>6.031004923028835</v>
      </c>
      <c r="P279" s="232">
        <v>1</v>
      </c>
    </row>
    <row r="280" spans="1:16" ht="15">
      <c r="A280" s="91">
        <v>277</v>
      </c>
      <c r="B280" s="57" t="s">
        <v>186</v>
      </c>
      <c r="C280" s="41">
        <v>39409</v>
      </c>
      <c r="D280" s="48" t="s">
        <v>48</v>
      </c>
      <c r="E280" s="48" t="s">
        <v>426</v>
      </c>
      <c r="F280" s="76">
        <v>13</v>
      </c>
      <c r="G280" s="76">
        <v>1</v>
      </c>
      <c r="H280" s="76">
        <v>7</v>
      </c>
      <c r="I280" s="86">
        <v>1305</v>
      </c>
      <c r="J280" s="95">
        <v>261</v>
      </c>
      <c r="K280" s="143">
        <f t="shared" si="27"/>
        <v>261</v>
      </c>
      <c r="L280" s="207">
        <f>I280/J280</f>
        <v>5</v>
      </c>
      <c r="M280" s="135">
        <v>53078</v>
      </c>
      <c r="N280" s="133">
        <v>5412</v>
      </c>
      <c r="O280" s="218">
        <f>+M280/N280</f>
        <v>9.807464892830746</v>
      </c>
      <c r="P280" s="316"/>
    </row>
    <row r="281" spans="1:16" ht="18">
      <c r="A281" s="91">
        <v>278</v>
      </c>
      <c r="B281" s="57" t="s">
        <v>273</v>
      </c>
      <c r="C281" s="41">
        <v>39416</v>
      </c>
      <c r="D281" s="47" t="s">
        <v>223</v>
      </c>
      <c r="E281" s="47" t="s">
        <v>550</v>
      </c>
      <c r="F281" s="64" t="s">
        <v>274</v>
      </c>
      <c r="G281" s="64" t="s">
        <v>431</v>
      </c>
      <c r="H281" s="64" t="s">
        <v>548</v>
      </c>
      <c r="I281" s="197">
        <v>1304.99</v>
      </c>
      <c r="J281" s="198">
        <v>185</v>
      </c>
      <c r="K281" s="206">
        <f t="shared" si="27"/>
        <v>92.5</v>
      </c>
      <c r="L281" s="207">
        <f>I281/J281</f>
        <v>7.054</v>
      </c>
      <c r="M281" s="199">
        <v>260173.99</v>
      </c>
      <c r="N281" s="200">
        <v>27784</v>
      </c>
      <c r="O281" s="218">
        <v>9.38</v>
      </c>
      <c r="P281" s="317"/>
    </row>
    <row r="282" spans="1:16" ht="15">
      <c r="A282" s="91">
        <v>279</v>
      </c>
      <c r="B282" s="56" t="s">
        <v>262</v>
      </c>
      <c r="C282" s="41">
        <v>39395</v>
      </c>
      <c r="D282" s="46" t="s">
        <v>432</v>
      </c>
      <c r="E282" s="46" t="s">
        <v>263</v>
      </c>
      <c r="F282" s="43" t="s">
        <v>264</v>
      </c>
      <c r="G282" s="43" t="s">
        <v>106</v>
      </c>
      <c r="H282" s="43" t="s">
        <v>430</v>
      </c>
      <c r="I282" s="86">
        <v>1303</v>
      </c>
      <c r="J282" s="95">
        <v>206</v>
      </c>
      <c r="K282" s="143">
        <f t="shared" si="27"/>
        <v>29.428571428571427</v>
      </c>
      <c r="L282" s="144">
        <f>I282/J282</f>
        <v>6.325242718446602</v>
      </c>
      <c r="M282" s="135">
        <v>277720</v>
      </c>
      <c r="N282" s="133">
        <v>34835</v>
      </c>
      <c r="O282" s="81">
        <f>+M282/N282</f>
        <v>7.972441509975599</v>
      </c>
      <c r="P282" s="232"/>
    </row>
    <row r="283" spans="1:16" ht="15">
      <c r="A283" s="91">
        <v>280</v>
      </c>
      <c r="B283" s="56" t="s">
        <v>438</v>
      </c>
      <c r="C283" s="42">
        <v>39318</v>
      </c>
      <c r="D283" s="87" t="s">
        <v>42</v>
      </c>
      <c r="E283" s="87" t="s">
        <v>45</v>
      </c>
      <c r="F283" s="43">
        <v>116</v>
      </c>
      <c r="G283" s="43">
        <v>1</v>
      </c>
      <c r="H283" s="43">
        <v>22</v>
      </c>
      <c r="I283" s="187">
        <v>1297</v>
      </c>
      <c r="J283" s="188">
        <v>206</v>
      </c>
      <c r="K283" s="189">
        <f t="shared" si="27"/>
        <v>206</v>
      </c>
      <c r="L283" s="190">
        <f>+I283/J283</f>
        <v>6.296116504854369</v>
      </c>
      <c r="M283" s="191">
        <v>2645057</v>
      </c>
      <c r="N283" s="189">
        <v>331752</v>
      </c>
      <c r="O283" s="215">
        <f>+M283/N283</f>
        <v>7.972994887747474</v>
      </c>
      <c r="P283" s="232">
        <v>1</v>
      </c>
    </row>
    <row r="284" spans="1:16" ht="15">
      <c r="A284" s="91">
        <v>281</v>
      </c>
      <c r="B284" s="57" t="s">
        <v>473</v>
      </c>
      <c r="C284" s="41">
        <v>39430</v>
      </c>
      <c r="D284" s="47" t="s">
        <v>432</v>
      </c>
      <c r="E284" s="47" t="s">
        <v>519</v>
      </c>
      <c r="F284" s="64" t="s">
        <v>474</v>
      </c>
      <c r="G284" s="64" t="s">
        <v>431</v>
      </c>
      <c r="H284" s="64" t="s">
        <v>548</v>
      </c>
      <c r="I284" s="197">
        <v>1282</v>
      </c>
      <c r="J284" s="198">
        <v>217</v>
      </c>
      <c r="K284" s="206">
        <f t="shared" si="27"/>
        <v>108.5</v>
      </c>
      <c r="L284" s="207">
        <f>I284/J284</f>
        <v>5.907834101382488</v>
      </c>
      <c r="M284" s="199">
        <v>1228939.44</v>
      </c>
      <c r="N284" s="200">
        <v>156942</v>
      </c>
      <c r="O284" s="218">
        <f>+M284/N284</f>
        <v>7.83053255342738</v>
      </c>
      <c r="P284" s="232"/>
    </row>
    <row r="285" spans="1:16" ht="15">
      <c r="A285" s="91">
        <v>282</v>
      </c>
      <c r="B285" s="56" t="s">
        <v>300</v>
      </c>
      <c r="C285" s="41">
        <v>39437</v>
      </c>
      <c r="D285" s="46" t="s">
        <v>425</v>
      </c>
      <c r="E285" s="46" t="s">
        <v>289</v>
      </c>
      <c r="F285" s="43">
        <v>7</v>
      </c>
      <c r="G285" s="43">
        <v>3</v>
      </c>
      <c r="H285" s="43">
        <v>11</v>
      </c>
      <c r="I285" s="187">
        <v>1277</v>
      </c>
      <c r="J285" s="188">
        <v>194</v>
      </c>
      <c r="K285" s="206">
        <f t="shared" si="27"/>
        <v>64.66666666666667</v>
      </c>
      <c r="L285" s="207">
        <f>I285/J285</f>
        <v>6.582474226804123</v>
      </c>
      <c r="M285" s="191">
        <v>46896.7</v>
      </c>
      <c r="N285" s="189">
        <v>6381</v>
      </c>
      <c r="O285" s="218">
        <f>+M285/N285</f>
        <v>7.349427989343362</v>
      </c>
      <c r="P285" s="232"/>
    </row>
    <row r="286" spans="1:16" ht="15">
      <c r="A286" s="91">
        <v>283</v>
      </c>
      <c r="B286" s="55" t="s">
        <v>281</v>
      </c>
      <c r="C286" s="41">
        <v>39416</v>
      </c>
      <c r="D286" s="45" t="s">
        <v>41</v>
      </c>
      <c r="E286" s="44" t="s">
        <v>140</v>
      </c>
      <c r="F286" s="63">
        <v>123</v>
      </c>
      <c r="G286" s="63">
        <v>5</v>
      </c>
      <c r="H286" s="63">
        <v>10</v>
      </c>
      <c r="I286" s="197">
        <v>1276</v>
      </c>
      <c r="J286" s="198">
        <v>289</v>
      </c>
      <c r="K286" s="206">
        <f t="shared" si="27"/>
        <v>57.8</v>
      </c>
      <c r="L286" s="207">
        <f>I286/J286</f>
        <v>4.41522491349481</v>
      </c>
      <c r="M286" s="199">
        <f>155416+1136619+622980+528056+225392+174199+84508+58425+34257+3403+1276</f>
        <v>3024531</v>
      </c>
      <c r="N286" s="200">
        <f>12079+122083+66530+52286+18245+17821+7913+4333+2998+686+289</f>
        <v>305263</v>
      </c>
      <c r="O286" s="218">
        <f>+M286/N286</f>
        <v>9.907951504112846</v>
      </c>
      <c r="P286" s="232"/>
    </row>
    <row r="287" spans="1:16" ht="15">
      <c r="A287" s="91">
        <v>284</v>
      </c>
      <c r="B287" s="56" t="s">
        <v>299</v>
      </c>
      <c r="C287" s="42">
        <v>39395</v>
      </c>
      <c r="D287" s="46" t="s">
        <v>43</v>
      </c>
      <c r="E287" s="46" t="s">
        <v>44</v>
      </c>
      <c r="F287" s="43">
        <v>35</v>
      </c>
      <c r="G287" s="43">
        <v>1</v>
      </c>
      <c r="H287" s="43">
        <v>9</v>
      </c>
      <c r="I287" s="86">
        <v>1269</v>
      </c>
      <c r="J287" s="95">
        <v>249</v>
      </c>
      <c r="K287" s="136">
        <f>IF(I287&lt;&gt;0,J287/G287,"")</f>
        <v>249</v>
      </c>
      <c r="L287" s="137">
        <f>IF(I287&lt;&gt;0,I287/J287,"")</f>
        <v>5.096385542168675</v>
      </c>
      <c r="M287" s="135">
        <f>310876.5+189449.5+81911+30301+17300.5+2478+1808+1661.5+1269</f>
        <v>637055</v>
      </c>
      <c r="N287" s="133">
        <f>27485+16830+7465+3781+3026+485+290+393+249</f>
        <v>60004</v>
      </c>
      <c r="O287" s="156">
        <f>IF(M287&lt;&gt;0,M287/N287,"")</f>
        <v>10.616875541630558</v>
      </c>
      <c r="P287" s="232">
        <v>1</v>
      </c>
    </row>
    <row r="288" spans="1:16" ht="15">
      <c r="A288" s="91">
        <v>285</v>
      </c>
      <c r="B288" s="56" t="s">
        <v>214</v>
      </c>
      <c r="C288" s="41">
        <v>39444</v>
      </c>
      <c r="D288" s="46" t="s">
        <v>425</v>
      </c>
      <c r="E288" s="46" t="s">
        <v>513</v>
      </c>
      <c r="F288" s="43">
        <v>25</v>
      </c>
      <c r="G288" s="43">
        <v>2</v>
      </c>
      <c r="H288" s="43">
        <v>9</v>
      </c>
      <c r="I288" s="187">
        <v>1253</v>
      </c>
      <c r="J288" s="188">
        <v>310</v>
      </c>
      <c r="K288" s="206">
        <f>J288/G288</f>
        <v>155</v>
      </c>
      <c r="L288" s="207">
        <f>I288/J288</f>
        <v>4.041935483870968</v>
      </c>
      <c r="M288" s="191">
        <v>263105.25</v>
      </c>
      <c r="N288" s="189">
        <v>27313</v>
      </c>
      <c r="O288" s="218">
        <f>+M288/N288</f>
        <v>9.632967817522792</v>
      </c>
      <c r="P288" s="232"/>
    </row>
    <row r="289" spans="1:16" ht="15">
      <c r="A289" s="91">
        <v>286</v>
      </c>
      <c r="B289" s="56" t="s">
        <v>472</v>
      </c>
      <c r="C289" s="41">
        <v>39430</v>
      </c>
      <c r="D289" s="46" t="s">
        <v>42</v>
      </c>
      <c r="E289" s="46" t="s">
        <v>38</v>
      </c>
      <c r="F289" s="43">
        <v>137</v>
      </c>
      <c r="G289" s="43">
        <v>5</v>
      </c>
      <c r="H289" s="43">
        <v>17</v>
      </c>
      <c r="I289" s="86">
        <v>1250</v>
      </c>
      <c r="J289" s="188">
        <v>507</v>
      </c>
      <c r="K289" s="206">
        <f>J289/G289</f>
        <v>101.4</v>
      </c>
      <c r="L289" s="207">
        <f>I289/J289</f>
        <v>2.465483234714004</v>
      </c>
      <c r="M289" s="135">
        <v>3557177</v>
      </c>
      <c r="N289" s="189">
        <v>461145</v>
      </c>
      <c r="O289" s="218">
        <f>+M289/N289</f>
        <v>7.713792841730909</v>
      </c>
      <c r="P289" s="232">
        <v>1</v>
      </c>
    </row>
    <row r="290" spans="1:16" ht="15">
      <c r="A290" s="91">
        <v>287</v>
      </c>
      <c r="B290" s="56" t="s">
        <v>276</v>
      </c>
      <c r="C290" s="42">
        <v>39416</v>
      </c>
      <c r="D290" s="46" t="s">
        <v>43</v>
      </c>
      <c r="E290" s="46" t="s">
        <v>390</v>
      </c>
      <c r="F290" s="43">
        <v>20</v>
      </c>
      <c r="G290" s="43">
        <v>1</v>
      </c>
      <c r="H290" s="43">
        <v>10</v>
      </c>
      <c r="I290" s="187">
        <v>1250</v>
      </c>
      <c r="J290" s="188">
        <v>140</v>
      </c>
      <c r="K290" s="206">
        <f>J290/G290</f>
        <v>140</v>
      </c>
      <c r="L290" s="207">
        <f>I290/J290</f>
        <v>8.928571428571429</v>
      </c>
      <c r="M290" s="191">
        <f>75692.5+51302+12584.5+2036+2909.5+3347+4240.5+2626.5+2244+1250</f>
        <v>158232.5</v>
      </c>
      <c r="N290" s="189">
        <f>7291+5230+1727+233+363+396+496+298+253+140</f>
        <v>16427</v>
      </c>
      <c r="O290" s="217">
        <f>M290/N290</f>
        <v>9.632464844463383</v>
      </c>
      <c r="P290" s="232"/>
    </row>
    <row r="291" spans="1:16" ht="18">
      <c r="A291" s="91">
        <v>288</v>
      </c>
      <c r="B291" s="56" t="s">
        <v>469</v>
      </c>
      <c r="C291" s="41">
        <v>39423</v>
      </c>
      <c r="D291" s="46" t="s">
        <v>81</v>
      </c>
      <c r="E291" s="46" t="s">
        <v>290</v>
      </c>
      <c r="F291" s="43">
        <v>164</v>
      </c>
      <c r="G291" s="43">
        <v>1</v>
      </c>
      <c r="H291" s="43">
        <v>16</v>
      </c>
      <c r="I291" s="187">
        <v>1248</v>
      </c>
      <c r="J291" s="188">
        <v>454</v>
      </c>
      <c r="K291" s="206">
        <f>IF(I291&lt;&gt;0,J291/G291,"")</f>
        <v>454</v>
      </c>
      <c r="L291" s="207">
        <f>IF(I291&lt;&gt;0,I291/J291,"")</f>
        <v>2.748898678414097</v>
      </c>
      <c r="M291" s="191">
        <f>1455428+896564.5+785700+295594.5+45815.5+11311.5+13282+11389+10839+9534+2826+2532+168+361+11641+1248</f>
        <v>3554234</v>
      </c>
      <c r="N291" s="189">
        <f>172176+105411+97548+39201+8243+2114+2845+2112+2384+1888+598+623+42+63+2323+454</f>
        <v>438025</v>
      </c>
      <c r="O291" s="218">
        <f>IF(M291&lt;&gt;0,M291/N291,"")</f>
        <v>8.114226356943098</v>
      </c>
      <c r="P291" s="317"/>
    </row>
    <row r="292" spans="1:16" ht="15">
      <c r="A292" s="91">
        <v>289</v>
      </c>
      <c r="B292" s="56" t="s">
        <v>187</v>
      </c>
      <c r="C292" s="41">
        <v>39297</v>
      </c>
      <c r="D292" s="46" t="s">
        <v>223</v>
      </c>
      <c r="E292" s="46" t="s">
        <v>294</v>
      </c>
      <c r="F292" s="43" t="s">
        <v>549</v>
      </c>
      <c r="G292" s="43" t="s">
        <v>424</v>
      </c>
      <c r="H292" s="43" t="s">
        <v>566</v>
      </c>
      <c r="I292" s="86">
        <v>1247.4</v>
      </c>
      <c r="J292" s="95">
        <v>252</v>
      </c>
      <c r="K292" s="143">
        <f>J292/G292</f>
        <v>252</v>
      </c>
      <c r="L292" s="144">
        <f>I292/J292</f>
        <v>4.95</v>
      </c>
      <c r="M292" s="135">
        <v>153019.55</v>
      </c>
      <c r="N292" s="133">
        <v>25326</v>
      </c>
      <c r="O292" s="81">
        <f>+M292/N292</f>
        <v>6.041994393113796</v>
      </c>
      <c r="P292" s="232"/>
    </row>
    <row r="293" spans="1:16" ht="15">
      <c r="A293" s="91">
        <v>290</v>
      </c>
      <c r="B293" s="56" t="s">
        <v>276</v>
      </c>
      <c r="C293" s="42">
        <v>39416</v>
      </c>
      <c r="D293" s="46" t="s">
        <v>43</v>
      </c>
      <c r="E293" s="46" t="s">
        <v>390</v>
      </c>
      <c r="F293" s="43">
        <v>20</v>
      </c>
      <c r="G293" s="43">
        <v>1</v>
      </c>
      <c r="H293" s="43">
        <v>11</v>
      </c>
      <c r="I293" s="86">
        <v>1247</v>
      </c>
      <c r="J293" s="95">
        <v>140</v>
      </c>
      <c r="K293" s="136">
        <f>IF(I293&lt;&gt;0,J293/G293,"")</f>
        <v>140</v>
      </c>
      <c r="L293" s="195">
        <f>IF(I293&lt;&gt;0,I293/J293,"")</f>
        <v>8.907142857142857</v>
      </c>
      <c r="M293" s="135">
        <f>75692.5+51302+12584.5+2036+2909.5+3347+4240.5+2626.5+2244+1250+1247</f>
        <v>159479.5</v>
      </c>
      <c r="N293" s="133">
        <f>7291+5230+1727+233+363+396+496+298+253+140+140</f>
        <v>16567</v>
      </c>
      <c r="O293" s="216">
        <f>IF(M293&lt;&gt;0,M293/N293,"")</f>
        <v>9.626335486207521</v>
      </c>
      <c r="P293" s="333"/>
    </row>
    <row r="294" spans="1:16" ht="15">
      <c r="A294" s="91">
        <v>291</v>
      </c>
      <c r="B294" s="56" t="s">
        <v>252</v>
      </c>
      <c r="C294" s="41">
        <v>39437</v>
      </c>
      <c r="D294" s="46" t="s">
        <v>41</v>
      </c>
      <c r="E294" s="46" t="s">
        <v>551</v>
      </c>
      <c r="F294" s="43">
        <v>49</v>
      </c>
      <c r="G294" s="43">
        <v>2</v>
      </c>
      <c r="H294" s="43">
        <v>14</v>
      </c>
      <c r="I294" s="86">
        <v>1242</v>
      </c>
      <c r="J294" s="95">
        <v>211</v>
      </c>
      <c r="K294" s="143">
        <f>J294/G294</f>
        <v>105.5</v>
      </c>
      <c r="L294" s="144">
        <f>I294/J294</f>
        <v>5.886255924170616</v>
      </c>
      <c r="M294" s="135">
        <f>265356+150950+36636+752+2313+871+2481+84+743+187+110+488+748+1242</f>
        <v>462961</v>
      </c>
      <c r="N294" s="133">
        <f>28419+15898+4109+157+424+163+412+14+140+31+21+106+161+211</f>
        <v>50266</v>
      </c>
      <c r="O294" s="81">
        <f>+M294/N294</f>
        <v>9.210221620976405</v>
      </c>
      <c r="P294" s="232"/>
    </row>
    <row r="295" spans="1:16" ht="15">
      <c r="A295" s="91">
        <v>292</v>
      </c>
      <c r="B295" s="77" t="s">
        <v>275</v>
      </c>
      <c r="C295" s="61">
        <v>39416</v>
      </c>
      <c r="D295" s="80" t="s">
        <v>412</v>
      </c>
      <c r="E295" s="80" t="s">
        <v>328</v>
      </c>
      <c r="F295" s="63">
        <v>45</v>
      </c>
      <c r="G295" s="63">
        <v>3</v>
      </c>
      <c r="H295" s="63">
        <v>12</v>
      </c>
      <c r="I295" s="260">
        <v>1235</v>
      </c>
      <c r="J295" s="261">
        <v>351</v>
      </c>
      <c r="K295" s="206">
        <f>J295/G295</f>
        <v>117</v>
      </c>
      <c r="L295" s="262">
        <v>5.06</v>
      </c>
      <c r="M295" s="263">
        <v>183249</v>
      </c>
      <c r="N295" s="264">
        <v>27456</v>
      </c>
      <c r="O295" s="81">
        <f>+M295/N295</f>
        <v>6.674278846153846</v>
      </c>
      <c r="P295" s="232"/>
    </row>
    <row r="296" spans="1:16" ht="15">
      <c r="A296" s="91">
        <v>293</v>
      </c>
      <c r="B296" s="56" t="s">
        <v>278</v>
      </c>
      <c r="C296" s="41">
        <v>39416</v>
      </c>
      <c r="D296" s="46" t="s">
        <v>425</v>
      </c>
      <c r="E296" s="46" t="s">
        <v>546</v>
      </c>
      <c r="F296" s="43">
        <v>4</v>
      </c>
      <c r="G296" s="43">
        <v>2</v>
      </c>
      <c r="H296" s="43">
        <v>10</v>
      </c>
      <c r="I296" s="187">
        <v>1215</v>
      </c>
      <c r="J296" s="188">
        <v>279</v>
      </c>
      <c r="K296" s="206">
        <f>J296/G296</f>
        <v>139.5</v>
      </c>
      <c r="L296" s="207">
        <f>I296/J296</f>
        <v>4.354838709677419</v>
      </c>
      <c r="M296" s="191">
        <v>47539</v>
      </c>
      <c r="N296" s="189">
        <v>5617</v>
      </c>
      <c r="O296" s="218">
        <f>+M296/N296</f>
        <v>8.463414634146341</v>
      </c>
      <c r="P296" s="232"/>
    </row>
    <row r="297" spans="1:16" ht="15">
      <c r="A297" s="91">
        <v>294</v>
      </c>
      <c r="B297" s="55" t="s">
        <v>261</v>
      </c>
      <c r="C297" s="41">
        <v>39374</v>
      </c>
      <c r="D297" s="44" t="s">
        <v>81</v>
      </c>
      <c r="E297" s="44" t="s">
        <v>51</v>
      </c>
      <c r="F297" s="63">
        <v>86</v>
      </c>
      <c r="G297" s="63">
        <v>2</v>
      </c>
      <c r="H297" s="63">
        <v>10</v>
      </c>
      <c r="I297" s="192">
        <v>1210</v>
      </c>
      <c r="J297" s="193">
        <v>272</v>
      </c>
      <c r="K297" s="194">
        <f>IF(I297&lt;&gt;0,J297/G297,"")</f>
        <v>136</v>
      </c>
      <c r="L297" s="195">
        <f>IF(I297&lt;&gt;0,I297/J297,"")</f>
        <v>4.448529411764706</v>
      </c>
      <c r="M297" s="196">
        <v>333964</v>
      </c>
      <c r="N297" s="189">
        <v>46724</v>
      </c>
      <c r="O297" s="216">
        <f>IF(M297&lt;&gt;0,M297/N297,"")</f>
        <v>7.147590103587022</v>
      </c>
      <c r="P297" s="232"/>
    </row>
    <row r="298" spans="1:16" ht="15">
      <c r="A298" s="91">
        <v>295</v>
      </c>
      <c r="B298" s="372" t="s">
        <v>24</v>
      </c>
      <c r="C298" s="369">
        <v>39206</v>
      </c>
      <c r="D298" s="368" t="s">
        <v>412</v>
      </c>
      <c r="E298" s="368" t="s">
        <v>25</v>
      </c>
      <c r="F298" s="370">
        <v>81</v>
      </c>
      <c r="G298" s="371">
        <v>1</v>
      </c>
      <c r="H298" s="371">
        <v>32</v>
      </c>
      <c r="I298" s="205">
        <v>1208.5</v>
      </c>
      <c r="J298" s="214">
        <v>410</v>
      </c>
      <c r="K298" s="206">
        <f>J298/G298</f>
        <v>410</v>
      </c>
      <c r="L298" s="207">
        <f>I298/J298</f>
        <v>2.9475609756097563</v>
      </c>
      <c r="M298" s="205">
        <v>319450.5</v>
      </c>
      <c r="N298" s="206">
        <v>54155.666666666664</v>
      </c>
      <c r="O298" s="219">
        <f>M298/N298</f>
        <v>5.8987455914124105</v>
      </c>
      <c r="P298" s="232"/>
    </row>
    <row r="299" spans="1:16" ht="15">
      <c r="A299" s="91">
        <v>296</v>
      </c>
      <c r="B299" s="77" t="s">
        <v>292</v>
      </c>
      <c r="C299" s="61">
        <v>39339</v>
      </c>
      <c r="D299" s="80" t="s">
        <v>412</v>
      </c>
      <c r="E299" s="80" t="s">
        <v>293</v>
      </c>
      <c r="F299" s="78">
        <v>79</v>
      </c>
      <c r="G299" s="79">
        <v>1</v>
      </c>
      <c r="H299" s="79">
        <v>27</v>
      </c>
      <c r="I299" s="205">
        <v>1208.5</v>
      </c>
      <c r="J299" s="214">
        <v>410</v>
      </c>
      <c r="K299" s="211">
        <f>J299/G299</f>
        <v>410</v>
      </c>
      <c r="L299" s="212">
        <f>I299/J299</f>
        <v>2.9475609756097563</v>
      </c>
      <c r="M299" s="205">
        <v>314655.5</v>
      </c>
      <c r="N299" s="206">
        <v>50216</v>
      </c>
      <c r="O299" s="218">
        <f>+M299/N299</f>
        <v>6.266040704158037</v>
      </c>
      <c r="P299" s="232">
        <v>1</v>
      </c>
    </row>
    <row r="300" spans="1:16" ht="15">
      <c r="A300" s="91">
        <v>297</v>
      </c>
      <c r="B300" s="330" t="s">
        <v>252</v>
      </c>
      <c r="C300" s="323">
        <v>39437</v>
      </c>
      <c r="D300" s="322" t="s">
        <v>41</v>
      </c>
      <c r="E300" s="322" t="s">
        <v>551</v>
      </c>
      <c r="F300" s="324">
        <v>49</v>
      </c>
      <c r="G300" s="324">
        <v>1</v>
      </c>
      <c r="H300" s="324">
        <v>18</v>
      </c>
      <c r="I300" s="366">
        <v>1190</v>
      </c>
      <c r="J300" s="367">
        <v>119</v>
      </c>
      <c r="K300" s="327">
        <f>J300/G300</f>
        <v>119</v>
      </c>
      <c r="L300" s="328">
        <f>I300/J300</f>
        <v>10</v>
      </c>
      <c r="M300" s="329">
        <f>265356+150950+36636+752+2313+871+2481+84+743+187+110+488+748+1242+50+240+1190+1190</f>
        <v>465631</v>
      </c>
      <c r="N300" s="327">
        <f>28419+15898+4109+157+424+163+412+14+140+31+21+106+161+211+8+46+119+119</f>
        <v>50558</v>
      </c>
      <c r="O300" s="331">
        <f>+M300/N300</f>
        <v>9.209838205625223</v>
      </c>
      <c r="P300" s="232"/>
    </row>
    <row r="301" spans="1:16" ht="15">
      <c r="A301" s="91">
        <v>298</v>
      </c>
      <c r="B301" s="56" t="s">
        <v>252</v>
      </c>
      <c r="C301" s="41">
        <v>39437</v>
      </c>
      <c r="D301" s="46" t="s">
        <v>41</v>
      </c>
      <c r="E301" s="46" t="s">
        <v>551</v>
      </c>
      <c r="F301" s="43">
        <v>49</v>
      </c>
      <c r="G301" s="43">
        <v>1</v>
      </c>
      <c r="H301" s="43">
        <v>17</v>
      </c>
      <c r="I301" s="187">
        <v>1190</v>
      </c>
      <c r="J301" s="188">
        <v>119</v>
      </c>
      <c r="K301" s="206">
        <f>J301/G301</f>
        <v>119</v>
      </c>
      <c r="L301" s="207">
        <f>I301/J301</f>
        <v>10</v>
      </c>
      <c r="M301" s="191">
        <f>265356+150950+36636+752+2313+871+2481+84+743+187+110+488+748+1242+50+240+1190</f>
        <v>464441</v>
      </c>
      <c r="N301" s="189">
        <f>28419+15898+4109+157+424+163+412+14+140+31+21+106+161+211+8+46+119</f>
        <v>50439</v>
      </c>
      <c r="O301" s="218">
        <f>+M301/N301</f>
        <v>9.207973988382006</v>
      </c>
      <c r="P301" s="232">
        <v>1</v>
      </c>
    </row>
    <row r="302" spans="1:16" ht="15">
      <c r="A302" s="91">
        <v>299</v>
      </c>
      <c r="B302" s="56" t="s">
        <v>393</v>
      </c>
      <c r="C302" s="41">
        <v>39395</v>
      </c>
      <c r="D302" s="46" t="s">
        <v>223</v>
      </c>
      <c r="E302" s="46" t="s">
        <v>91</v>
      </c>
      <c r="F302" s="43" t="s">
        <v>549</v>
      </c>
      <c r="G302" s="43" t="s">
        <v>424</v>
      </c>
      <c r="H302" s="43" t="s">
        <v>185</v>
      </c>
      <c r="I302" s="86">
        <v>1188.01</v>
      </c>
      <c r="J302" s="188">
        <v>238</v>
      </c>
      <c r="K302" s="206">
        <f>J302/G302</f>
        <v>238</v>
      </c>
      <c r="L302" s="207">
        <f>I302/J302</f>
        <v>4.991638655462185</v>
      </c>
      <c r="M302" s="135">
        <v>148920.97</v>
      </c>
      <c r="N302" s="189">
        <v>24501</v>
      </c>
      <c r="O302" s="218">
        <f>+M302/N302</f>
        <v>6.078158850659157</v>
      </c>
      <c r="P302" s="232"/>
    </row>
    <row r="303" spans="1:16" ht="15">
      <c r="A303" s="91">
        <v>300</v>
      </c>
      <c r="B303" s="56" t="s">
        <v>292</v>
      </c>
      <c r="C303" s="41">
        <v>39339</v>
      </c>
      <c r="D303" s="46" t="s">
        <v>412</v>
      </c>
      <c r="E303" s="46" t="s">
        <v>293</v>
      </c>
      <c r="F303" s="43">
        <v>79</v>
      </c>
      <c r="G303" s="43">
        <v>1</v>
      </c>
      <c r="H303" s="43">
        <v>23</v>
      </c>
      <c r="I303" s="86">
        <v>1188</v>
      </c>
      <c r="J303" s="95">
        <v>396</v>
      </c>
      <c r="K303" s="143">
        <v>7.333333333333333</v>
      </c>
      <c r="L303" s="144">
        <v>6.363636363636363</v>
      </c>
      <c r="M303" s="135">
        <v>312534</v>
      </c>
      <c r="N303" s="133">
        <v>49509</v>
      </c>
      <c r="O303" s="81">
        <f>M303/N303</f>
        <v>6.312670423559353</v>
      </c>
      <c r="P303" s="232">
        <v>1</v>
      </c>
    </row>
    <row r="304" spans="1:16" ht="15">
      <c r="A304" s="91">
        <v>301</v>
      </c>
      <c r="B304" s="57" t="s">
        <v>262</v>
      </c>
      <c r="C304" s="41">
        <v>39395</v>
      </c>
      <c r="D304" s="47" t="s">
        <v>432</v>
      </c>
      <c r="E304" s="47" t="s">
        <v>263</v>
      </c>
      <c r="F304" s="64" t="s">
        <v>264</v>
      </c>
      <c r="G304" s="64" t="s">
        <v>424</v>
      </c>
      <c r="H304" s="64" t="s">
        <v>548</v>
      </c>
      <c r="I304" s="197">
        <v>1188</v>
      </c>
      <c r="J304" s="198">
        <v>396</v>
      </c>
      <c r="K304" s="206">
        <f>J304/G304</f>
        <v>396</v>
      </c>
      <c r="L304" s="207">
        <f>I304/J304</f>
        <v>3</v>
      </c>
      <c r="M304" s="199">
        <v>271632</v>
      </c>
      <c r="N304" s="200">
        <v>34018</v>
      </c>
      <c r="O304" s="218">
        <f>+M304/N304</f>
        <v>7.984949144570521</v>
      </c>
      <c r="P304" s="232"/>
    </row>
    <row r="305" spans="1:16" ht="15">
      <c r="A305" s="91">
        <v>302</v>
      </c>
      <c r="B305" s="57" t="s">
        <v>473</v>
      </c>
      <c r="C305" s="41">
        <v>39430</v>
      </c>
      <c r="D305" s="47" t="s">
        <v>432</v>
      </c>
      <c r="E305" s="48" t="s">
        <v>519</v>
      </c>
      <c r="F305" s="64" t="s">
        <v>474</v>
      </c>
      <c r="G305" s="64" t="s">
        <v>424</v>
      </c>
      <c r="H305" s="64" t="s">
        <v>515</v>
      </c>
      <c r="I305" s="197">
        <v>1188</v>
      </c>
      <c r="J305" s="198">
        <v>396</v>
      </c>
      <c r="K305" s="206">
        <f>J305/G305</f>
        <v>396</v>
      </c>
      <c r="L305" s="144">
        <f>I305/J305</f>
        <v>3</v>
      </c>
      <c r="M305" s="199">
        <v>1230127.44</v>
      </c>
      <c r="N305" s="200">
        <v>157338</v>
      </c>
      <c r="O305" s="81">
        <f>+M305/N305</f>
        <v>7.818374709224726</v>
      </c>
      <c r="P305" s="232">
        <v>1</v>
      </c>
    </row>
    <row r="306" spans="1:16" ht="15">
      <c r="A306" s="91">
        <v>303</v>
      </c>
      <c r="B306" s="57" t="s">
        <v>525</v>
      </c>
      <c r="C306" s="41">
        <v>37589</v>
      </c>
      <c r="D306" s="47" t="s">
        <v>336</v>
      </c>
      <c r="E306" s="47" t="s">
        <v>526</v>
      </c>
      <c r="F306" s="58">
        <v>14</v>
      </c>
      <c r="G306" s="58">
        <v>1</v>
      </c>
      <c r="H306" s="58">
        <v>43</v>
      </c>
      <c r="I306" s="199">
        <v>1188</v>
      </c>
      <c r="J306" s="200">
        <v>297</v>
      </c>
      <c r="K306" s="211">
        <f>J306/G306</f>
        <v>297</v>
      </c>
      <c r="L306" s="212">
        <f>I306/J306</f>
        <v>4</v>
      </c>
      <c r="M306" s="199">
        <v>970181.75</v>
      </c>
      <c r="N306" s="200">
        <v>213541</v>
      </c>
      <c r="O306" s="219">
        <f>M306/N306</f>
        <v>4.543304330315958</v>
      </c>
      <c r="P306" s="232"/>
    </row>
    <row r="307" spans="1:16" ht="15">
      <c r="A307" s="91">
        <v>304</v>
      </c>
      <c r="B307" s="56" t="s">
        <v>490</v>
      </c>
      <c r="C307" s="41">
        <v>37337</v>
      </c>
      <c r="D307" s="46" t="s">
        <v>336</v>
      </c>
      <c r="E307" s="46" t="s">
        <v>337</v>
      </c>
      <c r="F307" s="43">
        <v>13</v>
      </c>
      <c r="G307" s="43">
        <v>1</v>
      </c>
      <c r="H307" s="43">
        <v>50</v>
      </c>
      <c r="I307" s="187">
        <v>1188</v>
      </c>
      <c r="J307" s="188">
        <v>297</v>
      </c>
      <c r="K307" s="206">
        <f>J307/G307</f>
        <v>297</v>
      </c>
      <c r="L307" s="207">
        <f>I307/J307</f>
        <v>4</v>
      </c>
      <c r="M307" s="191">
        <v>227148</v>
      </c>
      <c r="N307" s="189">
        <v>55543</v>
      </c>
      <c r="O307" s="218">
        <f>+M307/N307</f>
        <v>4.089588246943809</v>
      </c>
      <c r="P307" s="232"/>
    </row>
    <row r="308" spans="1:16" ht="15">
      <c r="A308" s="91">
        <v>305</v>
      </c>
      <c r="B308" s="57" t="s">
        <v>295</v>
      </c>
      <c r="C308" s="42">
        <v>39444</v>
      </c>
      <c r="D308" s="47" t="s">
        <v>425</v>
      </c>
      <c r="E308" s="47" t="s">
        <v>513</v>
      </c>
      <c r="F308" s="88">
        <v>25</v>
      </c>
      <c r="G308" s="89">
        <v>23</v>
      </c>
      <c r="H308" s="88">
        <v>2</v>
      </c>
      <c r="I308" s="197">
        <v>1188</v>
      </c>
      <c r="J308" s="198">
        <v>297</v>
      </c>
      <c r="K308" s="206">
        <f>J308/G308</f>
        <v>12.91304347826087</v>
      </c>
      <c r="L308" s="207">
        <f>I308/J308</f>
        <v>4</v>
      </c>
      <c r="M308" s="199">
        <v>256575.75</v>
      </c>
      <c r="N308" s="200">
        <v>25827</v>
      </c>
      <c r="O308" s="218">
        <f>+M308/N308</f>
        <v>9.934400046463004</v>
      </c>
      <c r="P308" s="316"/>
    </row>
    <row r="309" spans="1:16" ht="15">
      <c r="A309" s="91">
        <v>306</v>
      </c>
      <c r="B309" s="56" t="s">
        <v>340</v>
      </c>
      <c r="C309" s="41">
        <v>38800</v>
      </c>
      <c r="D309" s="46" t="s">
        <v>81</v>
      </c>
      <c r="E309" s="46" t="s">
        <v>51</v>
      </c>
      <c r="F309" s="43">
        <v>58</v>
      </c>
      <c r="G309" s="43">
        <v>1</v>
      </c>
      <c r="H309" s="43">
        <v>34</v>
      </c>
      <c r="I309" s="187">
        <v>1188</v>
      </c>
      <c r="J309" s="188">
        <v>238</v>
      </c>
      <c r="K309" s="206">
        <f>IF(I309&lt;&gt;0,J309/G309,"")</f>
        <v>238</v>
      </c>
      <c r="L309" s="207">
        <f>IF(I309&lt;&gt;0,I309/J309,"")</f>
        <v>4.991596638655462</v>
      </c>
      <c r="M309" s="191">
        <f>881739.4+0+1188</f>
        <v>882927.4</v>
      </c>
      <c r="N309" s="189">
        <f>135272+0+238</f>
        <v>135510</v>
      </c>
      <c r="O309" s="218">
        <f>IF(M309&lt;&gt;0,M309/N309,"")</f>
        <v>6.515588517452587</v>
      </c>
      <c r="P309" s="232"/>
    </row>
    <row r="310" spans="1:16" ht="15">
      <c r="A310" s="91">
        <v>307</v>
      </c>
      <c r="B310" s="55" t="s">
        <v>357</v>
      </c>
      <c r="C310" s="41">
        <v>39038</v>
      </c>
      <c r="D310" s="44" t="s">
        <v>81</v>
      </c>
      <c r="E310" s="44" t="s">
        <v>358</v>
      </c>
      <c r="F310" s="63">
        <v>109</v>
      </c>
      <c r="G310" s="63">
        <v>1</v>
      </c>
      <c r="H310" s="63">
        <v>19</v>
      </c>
      <c r="I310" s="192">
        <v>1188</v>
      </c>
      <c r="J310" s="193">
        <v>238</v>
      </c>
      <c r="K310" s="206">
        <f>J310/G310</f>
        <v>238</v>
      </c>
      <c r="L310" s="207">
        <f>I310/J310</f>
        <v>4.991596638655462</v>
      </c>
      <c r="M310" s="196">
        <f>2001303+0</f>
        <v>2001303</v>
      </c>
      <c r="N310" s="189">
        <f>267549+0</f>
        <v>267549</v>
      </c>
      <c r="O310" s="216">
        <f>IF(M310&lt;&gt;0,M310/N310,"")</f>
        <v>7.480136348855724</v>
      </c>
      <c r="P310" s="232">
        <v>1</v>
      </c>
    </row>
    <row r="311" spans="1:16" ht="15">
      <c r="A311" s="91">
        <v>308</v>
      </c>
      <c r="B311" s="55" t="s">
        <v>359</v>
      </c>
      <c r="C311" s="41">
        <v>39073</v>
      </c>
      <c r="D311" s="44" t="s">
        <v>81</v>
      </c>
      <c r="E311" s="44" t="s">
        <v>360</v>
      </c>
      <c r="F311" s="63">
        <v>112</v>
      </c>
      <c r="G311" s="63">
        <v>1</v>
      </c>
      <c r="H311" s="63">
        <v>28</v>
      </c>
      <c r="I311" s="192">
        <v>1188</v>
      </c>
      <c r="J311" s="193">
        <v>238</v>
      </c>
      <c r="K311" s="206">
        <f>J311/G311</f>
        <v>238</v>
      </c>
      <c r="L311" s="207">
        <f>I311/J311</f>
        <v>4.991596638655462</v>
      </c>
      <c r="M311" s="196">
        <f>2775675+0</f>
        <v>2775675</v>
      </c>
      <c r="N311" s="189">
        <f>383155+0</f>
        <v>383155</v>
      </c>
      <c r="O311" s="216">
        <f>IF(M311&lt;&gt;0,M311/N311,"")</f>
        <v>7.2442614607665305</v>
      </c>
      <c r="P311" s="232">
        <v>1</v>
      </c>
    </row>
    <row r="312" spans="1:16" ht="15">
      <c r="A312" s="91">
        <v>309</v>
      </c>
      <c r="B312" s="56" t="s">
        <v>338</v>
      </c>
      <c r="C312" s="41">
        <v>39129</v>
      </c>
      <c r="D312" s="46" t="s">
        <v>81</v>
      </c>
      <c r="E312" s="46" t="s">
        <v>339</v>
      </c>
      <c r="F312" s="43">
        <v>113</v>
      </c>
      <c r="G312" s="43">
        <v>1</v>
      </c>
      <c r="H312" s="43">
        <v>19</v>
      </c>
      <c r="I312" s="187">
        <v>1188</v>
      </c>
      <c r="J312" s="188">
        <v>238</v>
      </c>
      <c r="K312" s="206">
        <f>IF(I312&lt;&gt;0,J312/G312,"")</f>
        <v>238</v>
      </c>
      <c r="L312" s="207">
        <f>IF(I312&lt;&gt;0,I312/J312,"")</f>
        <v>4.991596638655462</v>
      </c>
      <c r="M312" s="191">
        <f>1551334+0+1188</f>
        <v>1552522</v>
      </c>
      <c r="N312" s="189">
        <f>207370+0+238</f>
        <v>207608</v>
      </c>
      <c r="O312" s="218">
        <f>IF(M312&lt;&gt;0,M312/N312,"")</f>
        <v>7.478141497437479</v>
      </c>
      <c r="P312" s="232"/>
    </row>
    <row r="313" spans="1:16" ht="15">
      <c r="A313" s="91">
        <v>310</v>
      </c>
      <c r="B313" s="56" t="s">
        <v>26</v>
      </c>
      <c r="C313" s="41">
        <v>39297</v>
      </c>
      <c r="D313" s="299" t="s">
        <v>223</v>
      </c>
      <c r="E313" s="299" t="s">
        <v>550</v>
      </c>
      <c r="F313" s="43" t="s">
        <v>428</v>
      </c>
      <c r="G313" s="43" t="s">
        <v>424</v>
      </c>
      <c r="H313" s="43" t="s">
        <v>188</v>
      </c>
      <c r="I313" s="187">
        <v>1188</v>
      </c>
      <c r="J313" s="188">
        <v>238</v>
      </c>
      <c r="K313" s="206">
        <f aca="true" t="shared" si="28" ref="K313:K319">J313/G313</f>
        <v>238</v>
      </c>
      <c r="L313" s="207">
        <f>I313/J313</f>
        <v>4.991596638655462</v>
      </c>
      <c r="M313" s="191">
        <v>173713.57</v>
      </c>
      <c r="N313" s="189">
        <v>17720</v>
      </c>
      <c r="O313" s="218">
        <f aca="true" t="shared" si="29" ref="O313:O319">+M313/N313</f>
        <v>9.803248871331828</v>
      </c>
      <c r="P313" s="232"/>
    </row>
    <row r="314" spans="1:16" ht="15">
      <c r="A314" s="91">
        <v>311</v>
      </c>
      <c r="B314" s="57" t="s">
        <v>393</v>
      </c>
      <c r="C314" s="41">
        <v>39395</v>
      </c>
      <c r="D314" s="47" t="s">
        <v>223</v>
      </c>
      <c r="E314" s="47" t="s">
        <v>91</v>
      </c>
      <c r="F314" s="64" t="s">
        <v>549</v>
      </c>
      <c r="G314" s="64" t="s">
        <v>424</v>
      </c>
      <c r="H314" s="64" t="s">
        <v>92</v>
      </c>
      <c r="I314" s="197">
        <v>1187.99</v>
      </c>
      <c r="J314" s="198">
        <v>238</v>
      </c>
      <c r="K314" s="206">
        <f t="shared" si="28"/>
        <v>238</v>
      </c>
      <c r="L314" s="207">
        <f>I314/J314</f>
        <v>4.991554621848739</v>
      </c>
      <c r="M314" s="199">
        <v>140618.16</v>
      </c>
      <c r="N314" s="200">
        <v>22867</v>
      </c>
      <c r="O314" s="218">
        <f t="shared" si="29"/>
        <v>6.149392574452268</v>
      </c>
      <c r="P314" s="316">
        <v>1</v>
      </c>
    </row>
    <row r="315" spans="1:16" ht="15">
      <c r="A315" s="91">
        <v>312</v>
      </c>
      <c r="B315" s="56" t="s">
        <v>186</v>
      </c>
      <c r="C315" s="41">
        <v>39409</v>
      </c>
      <c r="D315" s="46" t="s">
        <v>48</v>
      </c>
      <c r="E315" s="46" t="s">
        <v>426</v>
      </c>
      <c r="F315" s="43">
        <v>13</v>
      </c>
      <c r="G315" s="43">
        <v>1</v>
      </c>
      <c r="H315" s="43">
        <v>9</v>
      </c>
      <c r="I315" s="187">
        <v>1186</v>
      </c>
      <c r="J315" s="188">
        <v>237</v>
      </c>
      <c r="K315" s="206">
        <f t="shared" si="28"/>
        <v>237</v>
      </c>
      <c r="L315" s="207">
        <f>I315/J315</f>
        <v>5.0042194092827</v>
      </c>
      <c r="M315" s="191">
        <v>56636</v>
      </c>
      <c r="N315" s="189">
        <v>6123</v>
      </c>
      <c r="O315" s="218">
        <f t="shared" si="29"/>
        <v>9.249714192389352</v>
      </c>
      <c r="P315" s="232"/>
    </row>
    <row r="316" spans="1:16" ht="15">
      <c r="A316" s="91">
        <v>313</v>
      </c>
      <c r="B316" s="56" t="s">
        <v>329</v>
      </c>
      <c r="C316" s="41">
        <v>39388</v>
      </c>
      <c r="D316" s="46" t="s">
        <v>41</v>
      </c>
      <c r="E316" s="46" t="s">
        <v>46</v>
      </c>
      <c r="F316" s="43">
        <v>4</v>
      </c>
      <c r="G316" s="43">
        <v>1</v>
      </c>
      <c r="H316" s="43">
        <v>5</v>
      </c>
      <c r="I316" s="187">
        <v>1181</v>
      </c>
      <c r="J316" s="188">
        <v>210</v>
      </c>
      <c r="K316" s="206">
        <f t="shared" si="28"/>
        <v>210</v>
      </c>
      <c r="L316" s="207">
        <f>I316/J316</f>
        <v>5.623809523809523</v>
      </c>
      <c r="M316" s="191">
        <f>2870+17781+10585+2582+1127+468+1181</f>
        <v>36594</v>
      </c>
      <c r="N316" s="189">
        <f>287+1390+821+373+155+85+210</f>
        <v>3321</v>
      </c>
      <c r="O316" s="218">
        <f t="shared" si="29"/>
        <v>11.018970189701896</v>
      </c>
      <c r="P316" s="232">
        <v>1</v>
      </c>
    </row>
    <row r="317" spans="1:16" ht="15">
      <c r="A317" s="91">
        <v>314</v>
      </c>
      <c r="B317" s="56" t="s">
        <v>213</v>
      </c>
      <c r="C317" s="41">
        <v>39087</v>
      </c>
      <c r="D317" s="46" t="s">
        <v>41</v>
      </c>
      <c r="E317" s="46" t="s">
        <v>46</v>
      </c>
      <c r="F317" s="43">
        <v>80</v>
      </c>
      <c r="G317" s="43">
        <v>2</v>
      </c>
      <c r="H317" s="43">
        <v>35</v>
      </c>
      <c r="I317" s="86">
        <v>1181</v>
      </c>
      <c r="J317" s="95">
        <v>121</v>
      </c>
      <c r="K317" s="143">
        <f t="shared" si="28"/>
        <v>60.5</v>
      </c>
      <c r="L317" s="144">
        <f>I317/J317</f>
        <v>9.760330578512397</v>
      </c>
      <c r="M317" s="135">
        <f>1367+686114+384405+247619+146119+85619+63759-1+18934+11869+10791+11315+6907+8812+6730+2628+1465+749+1063+756+276+1198+612+510+45+1062+592+1782+205+893+893+2490+691+2542+60+12+1977+1181</f>
        <v>1714041</v>
      </c>
      <c r="N317" s="133">
        <f>80773+116+46317+29887+17891+10484+7685+2801+1917+1334+1333+755+1517+932+417+307+136+369+126+23+122+85+45+5+126+49+510+33+296+296+415+68+356+20+4+312+121</f>
        <v>207983</v>
      </c>
      <c r="O317" s="81">
        <f t="shared" si="29"/>
        <v>8.24125529490391</v>
      </c>
      <c r="P317" s="232">
        <v>1</v>
      </c>
    </row>
    <row r="318" spans="1:16" ht="15">
      <c r="A318" s="91">
        <v>315</v>
      </c>
      <c r="B318" s="350" t="s">
        <v>438</v>
      </c>
      <c r="C318" s="42">
        <v>39318</v>
      </c>
      <c r="D318" s="87" t="s">
        <v>42</v>
      </c>
      <c r="E318" s="87" t="s">
        <v>45</v>
      </c>
      <c r="F318" s="43">
        <v>116</v>
      </c>
      <c r="G318" s="43">
        <v>1</v>
      </c>
      <c r="H318" s="43">
        <v>49</v>
      </c>
      <c r="I318" s="345">
        <v>1180</v>
      </c>
      <c r="J318" s="346">
        <v>400</v>
      </c>
      <c r="K318" s="189">
        <f t="shared" si="28"/>
        <v>400</v>
      </c>
      <c r="L318" s="190">
        <f>+I318/J318</f>
        <v>2.95</v>
      </c>
      <c r="M318" s="191">
        <v>2650508</v>
      </c>
      <c r="N318" s="189">
        <v>334154</v>
      </c>
      <c r="O318" s="215">
        <f t="shared" si="29"/>
        <v>7.931995427258091</v>
      </c>
      <c r="P318" s="232">
        <v>1</v>
      </c>
    </row>
    <row r="319" spans="1:16" ht="15">
      <c r="A319" s="91">
        <v>316</v>
      </c>
      <c r="B319" s="350" t="s">
        <v>470</v>
      </c>
      <c r="C319" s="42">
        <v>39430</v>
      </c>
      <c r="D319" s="87" t="s">
        <v>42</v>
      </c>
      <c r="E319" s="87" t="s">
        <v>66</v>
      </c>
      <c r="F319" s="43">
        <v>242</v>
      </c>
      <c r="G319" s="43">
        <v>1</v>
      </c>
      <c r="H319" s="43">
        <v>36</v>
      </c>
      <c r="I319" s="187">
        <v>1155</v>
      </c>
      <c r="J319" s="188">
        <v>350</v>
      </c>
      <c r="K319" s="206">
        <f t="shared" si="28"/>
        <v>350</v>
      </c>
      <c r="L319" s="207">
        <f>I319/J319</f>
        <v>3.3</v>
      </c>
      <c r="M319" s="191">
        <v>15324332</v>
      </c>
      <c r="N319" s="189">
        <v>1999394</v>
      </c>
      <c r="O319" s="218">
        <f t="shared" si="29"/>
        <v>7.66448833996701</v>
      </c>
      <c r="P319" s="316">
        <v>1</v>
      </c>
    </row>
    <row r="320" spans="1:16" ht="15">
      <c r="A320" s="91">
        <v>317</v>
      </c>
      <c r="B320" s="56" t="s">
        <v>469</v>
      </c>
      <c r="C320" s="41">
        <v>39423</v>
      </c>
      <c r="D320" s="299" t="s">
        <v>81</v>
      </c>
      <c r="E320" s="299" t="s">
        <v>290</v>
      </c>
      <c r="F320" s="43">
        <v>164</v>
      </c>
      <c r="G320" s="43">
        <v>1</v>
      </c>
      <c r="H320" s="43">
        <v>17</v>
      </c>
      <c r="I320" s="187">
        <v>1125</v>
      </c>
      <c r="J320" s="188">
        <v>410</v>
      </c>
      <c r="K320" s="206">
        <f>IF(I320&lt;&gt;0,J320/G320,"")</f>
        <v>410</v>
      </c>
      <c r="L320" s="207">
        <f>IF(I320&lt;&gt;0,I320/J320,"")</f>
        <v>2.7439024390243905</v>
      </c>
      <c r="M320" s="191">
        <f>1455428+896564.5+785700+295594.5+45815.5+11311.5+13282+11389+10839+9534+2826+2532+168+361+11641+1248+1125</f>
        <v>3555359</v>
      </c>
      <c r="N320" s="189">
        <f>172176+105411+97548+39201+8243+2114+2845+2112+2384+1888+598+623+42+63+2323+454+410</f>
        <v>438435</v>
      </c>
      <c r="O320" s="218">
        <f>IF(M320&lt;&gt;0,M320/N320,"")</f>
        <v>8.10920432903395</v>
      </c>
      <c r="P320" s="232"/>
    </row>
    <row r="321" spans="1:16" ht="15">
      <c r="A321" s="91">
        <v>318</v>
      </c>
      <c r="B321" s="56" t="s">
        <v>300</v>
      </c>
      <c r="C321" s="41">
        <v>39437</v>
      </c>
      <c r="D321" s="46" t="s">
        <v>425</v>
      </c>
      <c r="E321" s="46" t="s">
        <v>289</v>
      </c>
      <c r="F321" s="43">
        <v>7</v>
      </c>
      <c r="G321" s="43">
        <v>4</v>
      </c>
      <c r="H321" s="43">
        <v>13</v>
      </c>
      <c r="I321" s="354">
        <v>1118</v>
      </c>
      <c r="J321" s="355">
        <v>217</v>
      </c>
      <c r="K321" s="143">
        <f aca="true" t="shared" si="30" ref="K321:K326">J321/G321</f>
        <v>54.25</v>
      </c>
      <c r="L321" s="144">
        <f>I321/J321</f>
        <v>5.152073732718894</v>
      </c>
      <c r="M321" s="135">
        <v>49918.7</v>
      </c>
      <c r="N321" s="133">
        <v>6951</v>
      </c>
      <c r="O321" s="81">
        <f>+M321/N321</f>
        <v>7.181513451301971</v>
      </c>
      <c r="P321" s="232"/>
    </row>
    <row r="322" spans="1:16" ht="15">
      <c r="A322" s="91">
        <v>319</v>
      </c>
      <c r="B322" s="56" t="s">
        <v>466</v>
      </c>
      <c r="C322" s="42">
        <v>39423</v>
      </c>
      <c r="D322" s="46" t="s">
        <v>43</v>
      </c>
      <c r="E322" s="46" t="s">
        <v>44</v>
      </c>
      <c r="F322" s="43">
        <v>40</v>
      </c>
      <c r="G322" s="43">
        <v>2</v>
      </c>
      <c r="H322" s="43">
        <v>8</v>
      </c>
      <c r="I322" s="187">
        <v>1105</v>
      </c>
      <c r="J322" s="188">
        <v>221</v>
      </c>
      <c r="K322" s="206">
        <f t="shared" si="30"/>
        <v>110.5</v>
      </c>
      <c r="L322" s="207">
        <f>I322/J322</f>
        <v>5</v>
      </c>
      <c r="M322" s="191">
        <f>337397.5+246059+95618.5+43492.5+31631.5+2705+4609+1105</f>
        <v>762618</v>
      </c>
      <c r="N322" s="189">
        <f>35596+24953+11024+7059+5745+543+908+221</f>
        <v>86049</v>
      </c>
      <c r="O322" s="217">
        <f>M322/N322</f>
        <v>8.862601540982464</v>
      </c>
      <c r="P322" s="232"/>
    </row>
    <row r="323" spans="1:16" ht="15">
      <c r="A323" s="91">
        <v>320</v>
      </c>
      <c r="B323" s="330" t="s">
        <v>214</v>
      </c>
      <c r="C323" s="323">
        <v>39444</v>
      </c>
      <c r="D323" s="322" t="s">
        <v>425</v>
      </c>
      <c r="E323" s="322" t="s">
        <v>513</v>
      </c>
      <c r="F323" s="324">
        <v>25</v>
      </c>
      <c r="G323" s="324">
        <v>2</v>
      </c>
      <c r="H323" s="324">
        <v>14</v>
      </c>
      <c r="I323" s="325">
        <v>1094</v>
      </c>
      <c r="J323" s="326">
        <v>190</v>
      </c>
      <c r="K323" s="327">
        <f t="shared" si="30"/>
        <v>95</v>
      </c>
      <c r="L323" s="328">
        <f>IF(I323&lt;&gt;0,I323/J323,"")</f>
        <v>5.757894736842105</v>
      </c>
      <c r="M323" s="329">
        <v>267133.25</v>
      </c>
      <c r="N323" s="327">
        <v>27985</v>
      </c>
      <c r="O323" s="331">
        <f>M323/N323</f>
        <v>9.545586921565125</v>
      </c>
      <c r="P323" s="232"/>
    </row>
    <row r="324" spans="1:16" ht="15">
      <c r="A324" s="91">
        <v>321</v>
      </c>
      <c r="B324" s="57" t="s">
        <v>93</v>
      </c>
      <c r="C324" s="42">
        <v>39381</v>
      </c>
      <c r="D324" s="47" t="s">
        <v>425</v>
      </c>
      <c r="E324" s="47" t="s">
        <v>289</v>
      </c>
      <c r="F324" s="88">
        <v>2</v>
      </c>
      <c r="G324" s="89">
        <v>1</v>
      </c>
      <c r="H324" s="88">
        <v>10</v>
      </c>
      <c r="I324" s="197">
        <v>1080</v>
      </c>
      <c r="J324" s="198">
        <v>216</v>
      </c>
      <c r="K324" s="206">
        <f t="shared" si="30"/>
        <v>216</v>
      </c>
      <c r="L324" s="207">
        <f>I324/J324</f>
        <v>5</v>
      </c>
      <c r="M324" s="199">
        <v>36278.5</v>
      </c>
      <c r="N324" s="200">
        <v>5687</v>
      </c>
      <c r="O324" s="218">
        <f>+M324/N324</f>
        <v>6.379198171267804</v>
      </c>
      <c r="P324" s="232"/>
    </row>
    <row r="325" spans="1:16" ht="15">
      <c r="A325" s="91">
        <v>322</v>
      </c>
      <c r="B325" s="57" t="s">
        <v>393</v>
      </c>
      <c r="C325" s="41">
        <v>39395</v>
      </c>
      <c r="D325" s="47" t="s">
        <v>223</v>
      </c>
      <c r="E325" s="47" t="s">
        <v>294</v>
      </c>
      <c r="F325" s="64" t="s">
        <v>549</v>
      </c>
      <c r="G325" s="64" t="s">
        <v>424</v>
      </c>
      <c r="H325" s="64" t="s">
        <v>430</v>
      </c>
      <c r="I325" s="197">
        <v>1069.19</v>
      </c>
      <c r="J325" s="198">
        <v>217</v>
      </c>
      <c r="K325" s="206">
        <f t="shared" si="30"/>
        <v>217</v>
      </c>
      <c r="L325" s="207">
        <f>I325/J325</f>
        <v>4.927142857142857</v>
      </c>
      <c r="M325" s="199">
        <v>139430.17</v>
      </c>
      <c r="N325" s="200">
        <v>22629</v>
      </c>
      <c r="O325" s="218">
        <f>+M325/N325</f>
        <v>6.161570109151974</v>
      </c>
      <c r="P325" s="232">
        <v>1</v>
      </c>
    </row>
    <row r="326" spans="1:16" ht="15">
      <c r="A326" s="91">
        <v>323</v>
      </c>
      <c r="B326" s="57" t="s">
        <v>514</v>
      </c>
      <c r="C326" s="42">
        <v>39409</v>
      </c>
      <c r="D326" s="47" t="s">
        <v>425</v>
      </c>
      <c r="E326" s="47" t="s">
        <v>289</v>
      </c>
      <c r="F326" s="88">
        <v>1</v>
      </c>
      <c r="G326" s="89">
        <v>1</v>
      </c>
      <c r="H326" s="88">
        <v>4</v>
      </c>
      <c r="I326" s="197">
        <v>1069</v>
      </c>
      <c r="J326" s="198">
        <v>267</v>
      </c>
      <c r="K326" s="206">
        <f t="shared" si="30"/>
        <v>267</v>
      </c>
      <c r="L326" s="207">
        <f>I326/J326</f>
        <v>4.00374531835206</v>
      </c>
      <c r="M326" s="199">
        <v>23569.2</v>
      </c>
      <c r="N326" s="200">
        <v>3396</v>
      </c>
      <c r="O326" s="218">
        <f>+M326/N326</f>
        <v>6.940282685512368</v>
      </c>
      <c r="P326" s="316">
        <v>1</v>
      </c>
    </row>
    <row r="327" spans="1:16" ht="15">
      <c r="A327" s="91">
        <v>324</v>
      </c>
      <c r="B327" s="56" t="s">
        <v>395</v>
      </c>
      <c r="C327" s="41">
        <v>39402</v>
      </c>
      <c r="D327" s="46" t="s">
        <v>81</v>
      </c>
      <c r="E327" s="46" t="s">
        <v>396</v>
      </c>
      <c r="F327" s="43">
        <v>165</v>
      </c>
      <c r="G327" s="43">
        <v>3</v>
      </c>
      <c r="H327" s="43">
        <v>19</v>
      </c>
      <c r="I327" s="187">
        <v>1068</v>
      </c>
      <c r="J327" s="188">
        <v>334</v>
      </c>
      <c r="K327" s="206">
        <f>IF(I327&lt;&gt;0,J327/G327,"")</f>
        <v>111.33333333333333</v>
      </c>
      <c r="L327" s="207">
        <f>IF(I327&lt;&gt;0,I327/J327,"")</f>
        <v>3.197604790419162</v>
      </c>
      <c r="M327" s="191">
        <f>12736195.5+635116+336718.5+243017+121597.5+87378+27897.5+22169+10074+11918+6458+34768+1068</f>
        <v>14274375</v>
      </c>
      <c r="N327" s="189">
        <f>271934+322135+339926+262189+150199+208899+146862+92002+47008+33955+17959+14849+4943+4284+1914+2027+1272+7140+334</f>
        <v>1929831</v>
      </c>
      <c r="O327" s="218">
        <f>IF(M327&lt;&gt;0,M327/N327,"")</f>
        <v>7.396696912838482</v>
      </c>
      <c r="P327" s="316">
        <v>1</v>
      </c>
    </row>
    <row r="328" spans="1:16" ht="15">
      <c r="A328" s="91">
        <v>325</v>
      </c>
      <c r="B328" s="56" t="s">
        <v>248</v>
      </c>
      <c r="C328" s="41">
        <v>39381</v>
      </c>
      <c r="D328" s="46" t="s">
        <v>425</v>
      </c>
      <c r="E328" s="46" t="s">
        <v>289</v>
      </c>
      <c r="F328" s="43">
        <v>2</v>
      </c>
      <c r="G328" s="43">
        <v>1</v>
      </c>
      <c r="H328" s="43">
        <v>11</v>
      </c>
      <c r="I328" s="187">
        <v>1068</v>
      </c>
      <c r="J328" s="188">
        <v>132</v>
      </c>
      <c r="K328" s="206">
        <f>J328/G328</f>
        <v>132</v>
      </c>
      <c r="L328" s="207">
        <f>I328/J328</f>
        <v>8.090909090909092</v>
      </c>
      <c r="M328" s="191">
        <v>37346.5</v>
      </c>
      <c r="N328" s="189">
        <v>5819</v>
      </c>
      <c r="O328" s="218">
        <f>M328/N328</f>
        <v>6.418027152431689</v>
      </c>
      <c r="P328" s="316"/>
    </row>
    <row r="329" spans="1:16" ht="15">
      <c r="A329" s="91">
        <v>326</v>
      </c>
      <c r="B329" s="56" t="s">
        <v>475</v>
      </c>
      <c r="C329" s="41">
        <v>39430</v>
      </c>
      <c r="D329" s="46" t="s">
        <v>43</v>
      </c>
      <c r="E329" s="46" t="s">
        <v>44</v>
      </c>
      <c r="F329" s="43">
        <v>64</v>
      </c>
      <c r="G329" s="43">
        <v>2</v>
      </c>
      <c r="H329" s="43">
        <v>15</v>
      </c>
      <c r="I329" s="187">
        <v>1060</v>
      </c>
      <c r="J329" s="188">
        <v>192</v>
      </c>
      <c r="K329" s="206">
        <f>+J329/G329</f>
        <v>96</v>
      </c>
      <c r="L329" s="207">
        <f>+I329/J329</f>
        <v>5.520833333333333</v>
      </c>
      <c r="M329" s="191">
        <f>183581+192120.5+67824+23763.5+5798.5+5467+22027+14042+2947+442+3097+2408.5+78+12+1060</f>
        <v>524668</v>
      </c>
      <c r="N329" s="189">
        <f>20071+21989+8620+4128+850+1010+3719+2499+595+78+775+602+26+4+192</f>
        <v>65158</v>
      </c>
      <c r="O329" s="218">
        <f>+M329/N329</f>
        <v>8.052242241934989</v>
      </c>
      <c r="P329" s="232"/>
    </row>
    <row r="330" spans="1:16" ht="15">
      <c r="A330" s="91">
        <v>327</v>
      </c>
      <c r="B330" s="56" t="s">
        <v>280</v>
      </c>
      <c r="C330" s="41">
        <v>39409</v>
      </c>
      <c r="D330" s="46" t="s">
        <v>41</v>
      </c>
      <c r="E330" s="46" t="s">
        <v>217</v>
      </c>
      <c r="F330" s="43">
        <v>69</v>
      </c>
      <c r="G330" s="43">
        <v>1</v>
      </c>
      <c r="H330" s="43">
        <v>15</v>
      </c>
      <c r="I330" s="354">
        <v>1049</v>
      </c>
      <c r="J330" s="355">
        <v>134</v>
      </c>
      <c r="K330" s="143">
        <f>J330/G330</f>
        <v>134</v>
      </c>
      <c r="L330" s="144">
        <f>I330/J330</f>
        <v>7.8283582089552235</v>
      </c>
      <c r="M330" s="135">
        <f>387069+277494+166747+4993+4045+7291+3613+313+916+831+3535+1708+1865+1824+1049</f>
        <v>863293</v>
      </c>
      <c r="N330" s="133">
        <f>37017+27892+17708+698+855+1523+696+56+479+146+552+282+308+387+134</f>
        <v>88733</v>
      </c>
      <c r="O330" s="81">
        <f>+M330/N330</f>
        <v>9.729108674337619</v>
      </c>
      <c r="P330" s="232">
        <v>1</v>
      </c>
    </row>
    <row r="331" spans="1:16" ht="15">
      <c r="A331" s="91">
        <v>328</v>
      </c>
      <c r="B331" s="55" t="s">
        <v>391</v>
      </c>
      <c r="C331" s="41">
        <v>39395</v>
      </c>
      <c r="D331" s="45" t="s">
        <v>41</v>
      </c>
      <c r="E331" s="44" t="s">
        <v>46</v>
      </c>
      <c r="F331" s="63">
        <v>56</v>
      </c>
      <c r="G331" s="63">
        <v>1</v>
      </c>
      <c r="H331" s="63">
        <v>8</v>
      </c>
      <c r="I331" s="197">
        <v>1039</v>
      </c>
      <c r="J331" s="198">
        <v>158</v>
      </c>
      <c r="K331" s="206">
        <f>J331/G331</f>
        <v>158</v>
      </c>
      <c r="L331" s="207">
        <f>I331/J331</f>
        <v>6.575949367088608</v>
      </c>
      <c r="M331" s="199">
        <f>1295+255300+147780+51761+8278+8834+918+1598+1039</f>
        <v>476803</v>
      </c>
      <c r="N331" s="200">
        <f>119+28097+15891+6021+1461+2448+162+667+158</f>
        <v>55024</v>
      </c>
      <c r="O331" s="218">
        <f>+M331/N331</f>
        <v>8.665364204710672</v>
      </c>
      <c r="P331" s="232"/>
    </row>
    <row r="332" spans="1:16" ht="18">
      <c r="A332" s="91">
        <v>329</v>
      </c>
      <c r="B332" s="56" t="s">
        <v>382</v>
      </c>
      <c r="C332" s="41">
        <v>39437</v>
      </c>
      <c r="D332" s="46" t="s">
        <v>43</v>
      </c>
      <c r="E332" s="46" t="s">
        <v>383</v>
      </c>
      <c r="F332" s="63">
        <v>156</v>
      </c>
      <c r="G332" s="43">
        <v>2</v>
      </c>
      <c r="H332" s="43">
        <v>17</v>
      </c>
      <c r="I332" s="354">
        <v>1032</v>
      </c>
      <c r="J332" s="355">
        <v>200</v>
      </c>
      <c r="K332" s="143">
        <f>J332/G332</f>
        <v>100</v>
      </c>
      <c r="L332" s="144">
        <f>I332/J332</f>
        <v>5.16</v>
      </c>
      <c r="M332" s="135">
        <f>1780127+1212579.5+721829.5+404706.5+230406+56484.5+45824+18497.5+10529+9795.5+1455+3484+1447+391+3673+4075.5+1032</f>
        <v>4506336.5</v>
      </c>
      <c r="N332" s="133">
        <f>240776+165120+97288+55998+35394+10296+9476+3143+2091+2258+337+991+436+98+918+697+200</f>
        <v>625517</v>
      </c>
      <c r="O332" s="81">
        <f>+M332/N332</f>
        <v>7.20417910304596</v>
      </c>
      <c r="P332" s="317"/>
    </row>
    <row r="333" spans="1:16" ht="15">
      <c r="A333" s="91">
        <v>330</v>
      </c>
      <c r="B333" s="57" t="s">
        <v>295</v>
      </c>
      <c r="C333" s="42">
        <v>39444</v>
      </c>
      <c r="D333" s="47" t="s">
        <v>425</v>
      </c>
      <c r="E333" s="47" t="s">
        <v>513</v>
      </c>
      <c r="F333" s="88">
        <v>25</v>
      </c>
      <c r="G333" s="89">
        <v>3</v>
      </c>
      <c r="H333" s="88">
        <v>19</v>
      </c>
      <c r="I333" s="197">
        <v>1022</v>
      </c>
      <c r="J333" s="198">
        <v>142</v>
      </c>
      <c r="K333" s="206">
        <f>J333/G333</f>
        <v>47.333333333333336</v>
      </c>
      <c r="L333" s="207">
        <f>I333/J333</f>
        <v>7.197183098591549</v>
      </c>
      <c r="M333" s="199">
        <v>270409.25</v>
      </c>
      <c r="N333" s="200">
        <v>28592</v>
      </c>
      <c r="O333" s="218">
        <f>M333/N333</f>
        <v>9.457514339675434</v>
      </c>
      <c r="P333" s="232">
        <v>1</v>
      </c>
    </row>
    <row r="334" spans="1:16" ht="15">
      <c r="A334" s="91">
        <v>331</v>
      </c>
      <c r="B334" s="56" t="s">
        <v>16</v>
      </c>
      <c r="C334" s="41">
        <v>38821</v>
      </c>
      <c r="D334" s="46" t="s">
        <v>43</v>
      </c>
      <c r="E334" s="46" t="s">
        <v>44</v>
      </c>
      <c r="F334" s="43">
        <v>118</v>
      </c>
      <c r="G334" s="43">
        <v>1</v>
      </c>
      <c r="H334" s="43">
        <v>41</v>
      </c>
      <c r="I334" s="86">
        <v>1017</v>
      </c>
      <c r="J334" s="95">
        <v>339</v>
      </c>
      <c r="K334" s="143">
        <f>IF(I334&lt;&gt;0,J334/G334,"")</f>
        <v>339</v>
      </c>
      <c r="L334" s="144">
        <f>IF(I334&lt;&gt;0,I334/J334,"")</f>
        <v>3</v>
      </c>
      <c r="M334" s="135">
        <f>1908861+1583540+976953.5+606582.5+358386.5+257458.5+154619+107195+70567+37968.5+18157.5+11925.5+12529.5+11442+10137.5+11279.5+11047+23092+6089.5+13588+1331+1245+48+90+312+4271+1314+128+1008+10+610+1572+5035-409+4651.5+3349+2013.5+2852+91+2409+1017</f>
        <v>6224367.5</v>
      </c>
      <c r="N334" s="133">
        <f>267837+226672+141343+93283+56706+48660+34140+24736+15604+6640+3341+2116+2223+1865+2002+2375+2554+5432+1329+3323+245+218+8+15+52+1073+314+16+252+116+261+1007-77+884+645+503+712+13+603+339</f>
        <v>949380</v>
      </c>
      <c r="O334" s="81">
        <f>IF(M334&lt;&gt;0,M334/N334,"")</f>
        <v>6.556244601740083</v>
      </c>
      <c r="P334" s="232">
        <v>1</v>
      </c>
    </row>
    <row r="335" spans="1:16" ht="15">
      <c r="A335" s="91">
        <v>332</v>
      </c>
      <c r="B335" s="56" t="s">
        <v>207</v>
      </c>
      <c r="C335" s="42">
        <v>39444</v>
      </c>
      <c r="D335" s="46" t="s">
        <v>43</v>
      </c>
      <c r="E335" s="46" t="s">
        <v>354</v>
      </c>
      <c r="F335" s="63">
        <v>10</v>
      </c>
      <c r="G335" s="43">
        <v>3</v>
      </c>
      <c r="H335" s="43">
        <v>3</v>
      </c>
      <c r="I335" s="187">
        <v>1013.5</v>
      </c>
      <c r="J335" s="188">
        <v>157</v>
      </c>
      <c r="K335" s="206">
        <f aca="true" t="shared" si="31" ref="K335:K355">J335/G335</f>
        <v>52.333333333333336</v>
      </c>
      <c r="L335" s="207">
        <f aca="true" t="shared" si="32" ref="L335:L340">I335/J335</f>
        <v>6.455414012738854</v>
      </c>
      <c r="M335" s="191">
        <f>8804+1895+1013.5</f>
        <v>11712.5</v>
      </c>
      <c r="N335" s="189">
        <f>970+200+157</f>
        <v>1327</v>
      </c>
      <c r="O335" s="217">
        <f>M335/N335</f>
        <v>8.82629992464205</v>
      </c>
      <c r="P335" s="232"/>
    </row>
    <row r="336" spans="1:16" ht="15">
      <c r="A336" s="91">
        <v>333</v>
      </c>
      <c r="B336" s="77" t="s">
        <v>275</v>
      </c>
      <c r="C336" s="61">
        <v>39416</v>
      </c>
      <c r="D336" s="80" t="s">
        <v>412</v>
      </c>
      <c r="E336" s="80" t="s">
        <v>293</v>
      </c>
      <c r="F336" s="78">
        <v>45</v>
      </c>
      <c r="G336" s="79">
        <v>3</v>
      </c>
      <c r="H336" s="79">
        <v>13</v>
      </c>
      <c r="I336" s="201">
        <v>1009.5</v>
      </c>
      <c r="J336" s="202">
        <v>333</v>
      </c>
      <c r="K336" s="206">
        <f t="shared" si="31"/>
        <v>111</v>
      </c>
      <c r="L336" s="207">
        <f t="shared" si="32"/>
        <v>3.0315315315315314</v>
      </c>
      <c r="M336" s="205">
        <v>184258.5</v>
      </c>
      <c r="N336" s="214">
        <v>27789</v>
      </c>
      <c r="O336" s="218">
        <f>+M336/N336</f>
        <v>6.630627226600454</v>
      </c>
      <c r="P336" s="232"/>
    </row>
    <row r="337" spans="1:16" ht="15">
      <c r="A337" s="91">
        <v>334</v>
      </c>
      <c r="B337" s="57" t="s">
        <v>295</v>
      </c>
      <c r="C337" s="42">
        <v>39444</v>
      </c>
      <c r="D337" s="47" t="s">
        <v>425</v>
      </c>
      <c r="E337" s="47" t="s">
        <v>513</v>
      </c>
      <c r="F337" s="88">
        <v>25</v>
      </c>
      <c r="G337" s="89">
        <v>1</v>
      </c>
      <c r="H337" s="88">
        <v>17</v>
      </c>
      <c r="I337" s="199">
        <v>1008</v>
      </c>
      <c r="J337" s="200">
        <v>252</v>
      </c>
      <c r="K337" s="206">
        <f t="shared" si="31"/>
        <v>252</v>
      </c>
      <c r="L337" s="207">
        <f t="shared" si="32"/>
        <v>4</v>
      </c>
      <c r="M337" s="199">
        <v>268940.25</v>
      </c>
      <c r="N337" s="200">
        <v>28362</v>
      </c>
      <c r="O337" s="218">
        <f>M337/N337</f>
        <v>9.482414850856781</v>
      </c>
      <c r="P337" s="232"/>
    </row>
    <row r="338" spans="1:16" ht="15">
      <c r="A338" s="91">
        <v>335</v>
      </c>
      <c r="B338" s="57" t="s">
        <v>178</v>
      </c>
      <c r="C338" s="42">
        <v>39059</v>
      </c>
      <c r="D338" s="47" t="s">
        <v>425</v>
      </c>
      <c r="E338" s="47" t="s">
        <v>95</v>
      </c>
      <c r="F338" s="88">
        <v>4</v>
      </c>
      <c r="G338" s="89">
        <v>1</v>
      </c>
      <c r="H338" s="88">
        <v>21</v>
      </c>
      <c r="I338" s="343">
        <v>1008</v>
      </c>
      <c r="J338" s="344">
        <v>252</v>
      </c>
      <c r="K338" s="206">
        <f t="shared" si="31"/>
        <v>252</v>
      </c>
      <c r="L338" s="207">
        <f t="shared" si="32"/>
        <v>4</v>
      </c>
      <c r="M338" s="199">
        <v>34957</v>
      </c>
      <c r="N338" s="200">
        <v>6100</v>
      </c>
      <c r="O338" s="218">
        <f>M338/N338</f>
        <v>5.730655737704918</v>
      </c>
      <c r="P338" s="232"/>
    </row>
    <row r="339" spans="1:16" ht="15">
      <c r="A339" s="91">
        <v>336</v>
      </c>
      <c r="B339" s="57" t="s">
        <v>111</v>
      </c>
      <c r="C339" s="42">
        <v>39234</v>
      </c>
      <c r="D339" s="47" t="s">
        <v>425</v>
      </c>
      <c r="E339" s="47" t="s">
        <v>195</v>
      </c>
      <c r="F339" s="88">
        <v>15</v>
      </c>
      <c r="G339" s="89">
        <v>1</v>
      </c>
      <c r="H339" s="88">
        <v>15</v>
      </c>
      <c r="I339" s="343">
        <v>1008</v>
      </c>
      <c r="J339" s="344">
        <v>252</v>
      </c>
      <c r="K339" s="206">
        <f t="shared" si="31"/>
        <v>252</v>
      </c>
      <c r="L339" s="207">
        <f t="shared" si="32"/>
        <v>4</v>
      </c>
      <c r="M339" s="199">
        <v>32096</v>
      </c>
      <c r="N339" s="200">
        <v>4916</v>
      </c>
      <c r="O339" s="218">
        <f>M339/N339</f>
        <v>6.528885272579333</v>
      </c>
      <c r="P339" s="232"/>
    </row>
    <row r="340" spans="1:16" ht="15">
      <c r="A340" s="91">
        <v>337</v>
      </c>
      <c r="B340" s="56" t="s">
        <v>475</v>
      </c>
      <c r="C340" s="42">
        <v>39430</v>
      </c>
      <c r="D340" s="46" t="s">
        <v>43</v>
      </c>
      <c r="E340" s="46" t="s">
        <v>44</v>
      </c>
      <c r="F340" s="235">
        <v>64</v>
      </c>
      <c r="G340" s="43">
        <v>1</v>
      </c>
      <c r="H340" s="43">
        <v>11</v>
      </c>
      <c r="I340" s="187">
        <v>995</v>
      </c>
      <c r="J340" s="188">
        <v>61</v>
      </c>
      <c r="K340" s="206">
        <f t="shared" si="31"/>
        <v>61</v>
      </c>
      <c r="L340" s="207">
        <f t="shared" si="32"/>
        <v>16.311475409836067</v>
      </c>
      <c r="M340" s="191">
        <f>183581+192120.5+67824+23763.5+5798.5+5467+22027+14042+2947+442+995</f>
        <v>519007.5</v>
      </c>
      <c r="N340" s="189">
        <f>20071+21989+8620+4128+850+1010+3719+2499+595+78+61</f>
        <v>63620</v>
      </c>
      <c r="O340" s="218">
        <f>+M340/N340</f>
        <v>8.157929896259038</v>
      </c>
      <c r="P340" s="232"/>
    </row>
    <row r="341" spans="1:16" ht="15">
      <c r="A341" s="91">
        <v>338</v>
      </c>
      <c r="B341" s="56" t="s">
        <v>472</v>
      </c>
      <c r="C341" s="41">
        <v>39430</v>
      </c>
      <c r="D341" s="46" t="s">
        <v>42</v>
      </c>
      <c r="E341" s="46" t="s">
        <v>38</v>
      </c>
      <c r="F341" s="43">
        <v>137</v>
      </c>
      <c r="G341" s="43">
        <v>1</v>
      </c>
      <c r="H341" s="43">
        <v>16</v>
      </c>
      <c r="I341" s="86">
        <v>991</v>
      </c>
      <c r="J341" s="95">
        <v>248</v>
      </c>
      <c r="K341" s="143">
        <f t="shared" si="31"/>
        <v>248</v>
      </c>
      <c r="L341" s="144">
        <f>+I341/J341</f>
        <v>3.995967741935484</v>
      </c>
      <c r="M341" s="135">
        <v>3563083</v>
      </c>
      <c r="N341" s="133">
        <v>462399</v>
      </c>
      <c r="O341" s="81">
        <f>+M341/N341</f>
        <v>7.705645989718836</v>
      </c>
      <c r="P341" s="232"/>
    </row>
    <row r="342" spans="1:16" ht="15">
      <c r="A342" s="91">
        <v>339</v>
      </c>
      <c r="B342" s="56" t="s">
        <v>514</v>
      </c>
      <c r="C342" s="41">
        <v>39437</v>
      </c>
      <c r="D342" s="46" t="s">
        <v>425</v>
      </c>
      <c r="E342" s="46" t="s">
        <v>289</v>
      </c>
      <c r="F342" s="43">
        <v>1</v>
      </c>
      <c r="G342" s="43">
        <v>1</v>
      </c>
      <c r="H342" s="43">
        <v>8</v>
      </c>
      <c r="I342" s="187">
        <v>970</v>
      </c>
      <c r="J342" s="188">
        <v>122</v>
      </c>
      <c r="K342" s="206">
        <f t="shared" si="31"/>
        <v>122</v>
      </c>
      <c r="L342" s="207">
        <f>I342/J342</f>
        <v>7.950819672131147</v>
      </c>
      <c r="M342" s="191">
        <v>29831.5</v>
      </c>
      <c r="N342" s="189">
        <v>4866</v>
      </c>
      <c r="O342" s="218">
        <f>M342/N342</f>
        <v>6.130600082203041</v>
      </c>
      <c r="P342" s="232"/>
    </row>
    <row r="343" spans="1:16" ht="15">
      <c r="A343" s="91">
        <v>340</v>
      </c>
      <c r="B343" s="56" t="s">
        <v>472</v>
      </c>
      <c r="C343" s="41">
        <v>39430</v>
      </c>
      <c r="D343" s="46" t="s">
        <v>42</v>
      </c>
      <c r="E343" s="46" t="s">
        <v>38</v>
      </c>
      <c r="F343" s="43">
        <v>137</v>
      </c>
      <c r="G343" s="43">
        <v>1</v>
      </c>
      <c r="H343" s="43">
        <v>18</v>
      </c>
      <c r="I343" s="86">
        <v>968</v>
      </c>
      <c r="J343" s="95">
        <v>189</v>
      </c>
      <c r="K343" s="143">
        <f t="shared" si="31"/>
        <v>189</v>
      </c>
      <c r="L343" s="144">
        <f>+I343/J343</f>
        <v>5.121693121693122</v>
      </c>
      <c r="M343" s="135">
        <v>3565897</v>
      </c>
      <c r="N343" s="133">
        <v>463082</v>
      </c>
      <c r="O343" s="81">
        <f>+M343/N343</f>
        <v>7.700357604052846</v>
      </c>
      <c r="P343" s="232"/>
    </row>
    <row r="344" spans="1:16" ht="15">
      <c r="A344" s="91">
        <v>341</v>
      </c>
      <c r="B344" s="57" t="s">
        <v>437</v>
      </c>
      <c r="C344" s="42">
        <v>39311</v>
      </c>
      <c r="D344" s="47" t="s">
        <v>425</v>
      </c>
      <c r="E344" s="47" t="s">
        <v>50</v>
      </c>
      <c r="F344" s="88">
        <v>10</v>
      </c>
      <c r="G344" s="89">
        <v>1</v>
      </c>
      <c r="H344" s="88">
        <v>17</v>
      </c>
      <c r="I344" s="85">
        <v>952</v>
      </c>
      <c r="J344" s="93">
        <v>238</v>
      </c>
      <c r="K344" s="143">
        <f t="shared" si="31"/>
        <v>238</v>
      </c>
      <c r="L344" s="144">
        <f>I344/J344</f>
        <v>4</v>
      </c>
      <c r="M344" s="145">
        <v>54548</v>
      </c>
      <c r="N344" s="146">
        <v>6721</v>
      </c>
      <c r="O344" s="81">
        <f>+M344/N344</f>
        <v>8.11605415860735</v>
      </c>
      <c r="P344" s="232">
        <v>1</v>
      </c>
    </row>
    <row r="345" spans="1:16" ht="15">
      <c r="A345" s="91">
        <v>342</v>
      </c>
      <c r="B345" s="57" t="s">
        <v>94</v>
      </c>
      <c r="C345" s="42">
        <v>39381</v>
      </c>
      <c r="D345" s="47" t="s">
        <v>425</v>
      </c>
      <c r="E345" s="47" t="s">
        <v>95</v>
      </c>
      <c r="F345" s="88">
        <v>1</v>
      </c>
      <c r="G345" s="89">
        <v>1</v>
      </c>
      <c r="H345" s="88">
        <v>7</v>
      </c>
      <c r="I345" s="197">
        <v>952</v>
      </c>
      <c r="J345" s="198">
        <v>238</v>
      </c>
      <c r="K345" s="206">
        <f t="shared" si="31"/>
        <v>238</v>
      </c>
      <c r="L345" s="207">
        <f>I345/J345</f>
        <v>4</v>
      </c>
      <c r="M345" s="199">
        <v>13388</v>
      </c>
      <c r="N345" s="200">
        <v>2171</v>
      </c>
      <c r="O345" s="218">
        <f>+M345/N345</f>
        <v>6.166743436204514</v>
      </c>
      <c r="P345" s="232">
        <v>1</v>
      </c>
    </row>
    <row r="346" spans="1:16" ht="15">
      <c r="A346" s="91">
        <v>343</v>
      </c>
      <c r="B346" s="56" t="s">
        <v>214</v>
      </c>
      <c r="C346" s="41">
        <v>39444</v>
      </c>
      <c r="D346" s="46" t="s">
        <v>425</v>
      </c>
      <c r="E346" s="46" t="s">
        <v>513</v>
      </c>
      <c r="F346" s="43">
        <v>25</v>
      </c>
      <c r="G346" s="43">
        <v>2</v>
      </c>
      <c r="H346" s="43">
        <v>10</v>
      </c>
      <c r="I346" s="187">
        <v>952</v>
      </c>
      <c r="J346" s="188">
        <v>155</v>
      </c>
      <c r="K346" s="206">
        <f t="shared" si="31"/>
        <v>77.5</v>
      </c>
      <c r="L346" s="207">
        <f>I346/J346</f>
        <v>6.141935483870967</v>
      </c>
      <c r="M346" s="191">
        <v>264057.25</v>
      </c>
      <c r="N346" s="189">
        <v>27468</v>
      </c>
      <c r="O346" s="218">
        <f>M346/N346</f>
        <v>9.613268166593855</v>
      </c>
      <c r="P346" s="232">
        <v>1</v>
      </c>
    </row>
    <row r="347" spans="1:16" ht="15">
      <c r="A347" s="91">
        <v>344</v>
      </c>
      <c r="B347" s="57" t="s">
        <v>393</v>
      </c>
      <c r="C347" s="41">
        <v>39395</v>
      </c>
      <c r="D347" s="47" t="s">
        <v>223</v>
      </c>
      <c r="E347" s="47" t="s">
        <v>91</v>
      </c>
      <c r="F347" s="64" t="s">
        <v>549</v>
      </c>
      <c r="G347" s="64" t="s">
        <v>424</v>
      </c>
      <c r="H347" s="64" t="s">
        <v>265</v>
      </c>
      <c r="I347" s="197">
        <v>950.39</v>
      </c>
      <c r="J347" s="198">
        <v>189</v>
      </c>
      <c r="K347" s="206">
        <f t="shared" si="31"/>
        <v>189</v>
      </c>
      <c r="L347" s="207">
        <f>I347/J347</f>
        <v>5.028518518518519</v>
      </c>
      <c r="M347" s="199">
        <v>141568.55</v>
      </c>
      <c r="N347" s="200">
        <v>23056</v>
      </c>
      <c r="O347" s="218">
        <f aca="true" t="shared" si="33" ref="O347:O360">+M347/N347</f>
        <v>6.140204285218598</v>
      </c>
      <c r="P347" s="232"/>
    </row>
    <row r="348" spans="1:16" ht="15">
      <c r="A348" s="91">
        <v>345</v>
      </c>
      <c r="B348" s="55" t="s">
        <v>107</v>
      </c>
      <c r="C348" s="41">
        <v>39297</v>
      </c>
      <c r="D348" s="45" t="s">
        <v>41</v>
      </c>
      <c r="E348" s="44" t="s">
        <v>46</v>
      </c>
      <c r="F348" s="63">
        <v>51</v>
      </c>
      <c r="G348" s="63">
        <v>1</v>
      </c>
      <c r="H348" s="63">
        <v>22</v>
      </c>
      <c r="I348" s="197">
        <v>950</v>
      </c>
      <c r="J348" s="198">
        <v>317</v>
      </c>
      <c r="K348" s="206">
        <f t="shared" si="31"/>
        <v>317</v>
      </c>
      <c r="L348" s="207">
        <f>I348/J348</f>
        <v>2.996845425867508</v>
      </c>
      <c r="M348" s="199">
        <f>281080+182131+123214+30406+27098+21662+14107+7795+5519+3816+6498+1771+4249+2936+5464+1364+837+581+150+1798+831+950</f>
        <v>724257</v>
      </c>
      <c r="N348" s="200">
        <f>31883+21094+14754+4546+4836+4070+2318+1360+917+566+1261+309+845+581+1094+264+153+117+22+892+277+317</f>
        <v>92476</v>
      </c>
      <c r="O348" s="218">
        <f t="shared" si="33"/>
        <v>7.831837449716684</v>
      </c>
      <c r="P348" s="316"/>
    </row>
    <row r="349" spans="1:16" ht="15">
      <c r="A349" s="91">
        <v>346</v>
      </c>
      <c r="B349" s="56" t="s">
        <v>108</v>
      </c>
      <c r="C349" s="41">
        <v>39416</v>
      </c>
      <c r="D349" s="46" t="s">
        <v>42</v>
      </c>
      <c r="E349" s="46" t="s">
        <v>226</v>
      </c>
      <c r="F349" s="43">
        <v>11</v>
      </c>
      <c r="G349" s="43">
        <v>1</v>
      </c>
      <c r="H349" s="43">
        <v>21</v>
      </c>
      <c r="I349" s="354">
        <v>950</v>
      </c>
      <c r="J349" s="355">
        <v>169</v>
      </c>
      <c r="K349" s="143">
        <f t="shared" si="31"/>
        <v>169</v>
      </c>
      <c r="L349" s="144">
        <f>+I349/J349</f>
        <v>5.621301775147929</v>
      </c>
      <c r="M349" s="135">
        <v>34635</v>
      </c>
      <c r="N349" s="133">
        <v>4344</v>
      </c>
      <c r="O349" s="81">
        <f t="shared" si="33"/>
        <v>7.973066298342541</v>
      </c>
      <c r="P349" s="232">
        <v>1</v>
      </c>
    </row>
    <row r="350" spans="1:16" ht="15">
      <c r="A350" s="91">
        <v>347</v>
      </c>
      <c r="B350" s="56" t="s">
        <v>158</v>
      </c>
      <c r="C350" s="42">
        <v>39388</v>
      </c>
      <c r="D350" s="87" t="s">
        <v>42</v>
      </c>
      <c r="E350" s="87" t="s">
        <v>47</v>
      </c>
      <c r="F350" s="43">
        <v>60</v>
      </c>
      <c r="G350" s="43">
        <v>1</v>
      </c>
      <c r="H350" s="43">
        <v>10</v>
      </c>
      <c r="I350" s="86">
        <v>945</v>
      </c>
      <c r="J350" s="95">
        <v>350</v>
      </c>
      <c r="K350" s="133">
        <f t="shared" si="31"/>
        <v>350</v>
      </c>
      <c r="L350" s="134">
        <f>+I350/J350</f>
        <v>2.7</v>
      </c>
      <c r="M350" s="135">
        <v>604935</v>
      </c>
      <c r="N350" s="133">
        <v>66207</v>
      </c>
      <c r="O350" s="155">
        <f t="shared" si="33"/>
        <v>9.137024785898772</v>
      </c>
      <c r="P350" s="232">
        <v>1</v>
      </c>
    </row>
    <row r="351" spans="1:16" ht="15">
      <c r="A351" s="91">
        <v>348</v>
      </c>
      <c r="B351" s="56" t="s">
        <v>300</v>
      </c>
      <c r="C351" s="41">
        <v>39437</v>
      </c>
      <c r="D351" s="46" t="s">
        <v>425</v>
      </c>
      <c r="E351" s="46" t="s">
        <v>289</v>
      </c>
      <c r="F351" s="43">
        <v>7</v>
      </c>
      <c r="G351" s="43">
        <v>3</v>
      </c>
      <c r="H351" s="43">
        <v>15</v>
      </c>
      <c r="I351" s="187">
        <v>944</v>
      </c>
      <c r="J351" s="188">
        <v>159</v>
      </c>
      <c r="K351" s="206">
        <f t="shared" si="31"/>
        <v>53</v>
      </c>
      <c r="L351" s="207">
        <f>I351/J351</f>
        <v>5.937106918238993</v>
      </c>
      <c r="M351" s="191">
        <v>51544.7</v>
      </c>
      <c r="N351" s="189">
        <v>7244</v>
      </c>
      <c r="O351" s="218">
        <f t="shared" si="33"/>
        <v>7.115502484815019</v>
      </c>
      <c r="P351" s="232"/>
    </row>
    <row r="352" spans="1:16" ht="15">
      <c r="A352" s="91">
        <v>349</v>
      </c>
      <c r="B352" s="56" t="s">
        <v>438</v>
      </c>
      <c r="C352" s="42">
        <v>39318</v>
      </c>
      <c r="D352" s="87" t="s">
        <v>42</v>
      </c>
      <c r="E352" s="87" t="s">
        <v>45</v>
      </c>
      <c r="F352" s="43">
        <v>116</v>
      </c>
      <c r="G352" s="43">
        <v>1</v>
      </c>
      <c r="H352" s="43">
        <v>48</v>
      </c>
      <c r="I352" s="345">
        <v>940</v>
      </c>
      <c r="J352" s="346">
        <v>250</v>
      </c>
      <c r="K352" s="189">
        <f t="shared" si="31"/>
        <v>250</v>
      </c>
      <c r="L352" s="190">
        <f>+I352/J352</f>
        <v>3.76</v>
      </c>
      <c r="M352" s="191">
        <v>2649328</v>
      </c>
      <c r="N352" s="189">
        <v>333754</v>
      </c>
      <c r="O352" s="215">
        <f t="shared" si="33"/>
        <v>7.937966286546378</v>
      </c>
      <c r="P352" s="232"/>
    </row>
    <row r="353" spans="1:16" ht="15">
      <c r="A353" s="91">
        <v>350</v>
      </c>
      <c r="B353" s="56" t="s">
        <v>397</v>
      </c>
      <c r="C353" s="41">
        <v>39402</v>
      </c>
      <c r="D353" s="46" t="s">
        <v>42</v>
      </c>
      <c r="E353" s="46" t="s">
        <v>217</v>
      </c>
      <c r="F353" s="43">
        <v>130</v>
      </c>
      <c r="G353" s="43">
        <v>1</v>
      </c>
      <c r="H353" s="43">
        <v>25</v>
      </c>
      <c r="I353" s="187">
        <v>925</v>
      </c>
      <c r="J353" s="188">
        <v>167</v>
      </c>
      <c r="K353" s="206">
        <f t="shared" si="31"/>
        <v>167</v>
      </c>
      <c r="L353" s="207">
        <f>+I353/J353</f>
        <v>5.538922155688622</v>
      </c>
      <c r="M353" s="191">
        <v>2099412</v>
      </c>
      <c r="N353" s="189">
        <v>266266</v>
      </c>
      <c r="O353" s="218">
        <f t="shared" si="33"/>
        <v>7.884641674115358</v>
      </c>
      <c r="P353" s="232">
        <v>1</v>
      </c>
    </row>
    <row r="354" spans="1:16" ht="15">
      <c r="A354" s="91">
        <v>351</v>
      </c>
      <c r="B354" s="55" t="s">
        <v>391</v>
      </c>
      <c r="C354" s="41">
        <v>39395</v>
      </c>
      <c r="D354" s="45" t="s">
        <v>41</v>
      </c>
      <c r="E354" s="44" t="s">
        <v>46</v>
      </c>
      <c r="F354" s="63">
        <v>56</v>
      </c>
      <c r="G354" s="63">
        <v>2</v>
      </c>
      <c r="H354" s="63">
        <v>6</v>
      </c>
      <c r="I354" s="85">
        <v>918</v>
      </c>
      <c r="J354" s="93">
        <v>162</v>
      </c>
      <c r="K354" s="143">
        <f t="shared" si="31"/>
        <v>81</v>
      </c>
      <c r="L354" s="144">
        <f>I354/J354</f>
        <v>5.666666666666667</v>
      </c>
      <c r="M354" s="145">
        <f>1295+255300+147780+51761+8278+8834+918</f>
        <v>474166</v>
      </c>
      <c r="N354" s="146">
        <f>119+28097+15891+6021+1461+2448+162</f>
        <v>54199</v>
      </c>
      <c r="O354" s="81">
        <f t="shared" si="33"/>
        <v>8.748611597999963</v>
      </c>
      <c r="P354" s="232"/>
    </row>
    <row r="355" spans="1:16" ht="15">
      <c r="A355" s="91">
        <v>352</v>
      </c>
      <c r="B355" s="55" t="s">
        <v>280</v>
      </c>
      <c r="C355" s="41">
        <v>39409</v>
      </c>
      <c r="D355" s="45" t="s">
        <v>41</v>
      </c>
      <c r="E355" s="44" t="s">
        <v>52</v>
      </c>
      <c r="F355" s="63">
        <v>69</v>
      </c>
      <c r="G355" s="63">
        <v>1</v>
      </c>
      <c r="H355" s="63">
        <v>9</v>
      </c>
      <c r="I355" s="197">
        <v>916</v>
      </c>
      <c r="J355" s="198">
        <v>479</v>
      </c>
      <c r="K355" s="206">
        <f t="shared" si="31"/>
        <v>479</v>
      </c>
      <c r="L355" s="207">
        <f>I355/J355</f>
        <v>1.9123173277661796</v>
      </c>
      <c r="M355" s="199">
        <f>387069+277494+166747+4993+4045+7291+3613+313+916</f>
        <v>852481</v>
      </c>
      <c r="N355" s="200">
        <f>37017+27892+17708+698+855+1523+696+56+479</f>
        <v>86924</v>
      </c>
      <c r="O355" s="218">
        <f t="shared" si="33"/>
        <v>9.807199392572823</v>
      </c>
      <c r="P355" s="232"/>
    </row>
    <row r="356" spans="1:16" ht="15">
      <c r="A356" s="91">
        <v>353</v>
      </c>
      <c r="B356" s="56" t="s">
        <v>361</v>
      </c>
      <c r="C356" s="41">
        <v>39353</v>
      </c>
      <c r="D356" s="46" t="s">
        <v>468</v>
      </c>
      <c r="E356" s="46" t="s">
        <v>468</v>
      </c>
      <c r="F356" s="43">
        <v>1</v>
      </c>
      <c r="G356" s="43">
        <v>1</v>
      </c>
      <c r="H356" s="43">
        <v>31</v>
      </c>
      <c r="I356" s="187">
        <v>907</v>
      </c>
      <c r="J356" s="188">
        <v>157</v>
      </c>
      <c r="K356" s="206">
        <f>+J356/G356</f>
        <v>157</v>
      </c>
      <c r="L356" s="207">
        <f>+I356/J356</f>
        <v>5.777070063694268</v>
      </c>
      <c r="M356" s="191">
        <v>35234</v>
      </c>
      <c r="N356" s="189">
        <v>3379</v>
      </c>
      <c r="O356" s="218">
        <f t="shared" si="33"/>
        <v>10.427345368452205</v>
      </c>
      <c r="P356" s="232"/>
    </row>
    <row r="357" spans="1:16" ht="15">
      <c r="A357" s="91">
        <v>354</v>
      </c>
      <c r="B357" s="372" t="s">
        <v>541</v>
      </c>
      <c r="C357" s="369">
        <v>39388</v>
      </c>
      <c r="D357" s="368" t="s">
        <v>412</v>
      </c>
      <c r="E357" s="368" t="s">
        <v>542</v>
      </c>
      <c r="F357" s="370">
        <v>70</v>
      </c>
      <c r="G357" s="371">
        <v>1</v>
      </c>
      <c r="H357" s="371">
        <v>9</v>
      </c>
      <c r="I357" s="117">
        <v>900</v>
      </c>
      <c r="J357" s="139">
        <v>300</v>
      </c>
      <c r="K357" s="140">
        <f aca="true" t="shared" si="34" ref="K357:K363">J357/G357</f>
        <v>300</v>
      </c>
      <c r="L357" s="141">
        <f>I357/J357</f>
        <v>3</v>
      </c>
      <c r="M357" s="142">
        <v>186324</v>
      </c>
      <c r="N357" s="382">
        <v>26769</v>
      </c>
      <c r="O357" s="81">
        <f t="shared" si="33"/>
        <v>6.960439314132018</v>
      </c>
      <c r="P357" s="333">
        <v>1</v>
      </c>
    </row>
    <row r="358" spans="1:16" ht="15">
      <c r="A358" s="91">
        <v>355</v>
      </c>
      <c r="B358" s="55" t="s">
        <v>213</v>
      </c>
      <c r="C358" s="41">
        <v>39087</v>
      </c>
      <c r="D358" s="45" t="s">
        <v>41</v>
      </c>
      <c r="E358" s="44" t="s">
        <v>46</v>
      </c>
      <c r="F358" s="63">
        <v>80</v>
      </c>
      <c r="G358" s="63">
        <v>1</v>
      </c>
      <c r="H358" s="63">
        <v>28</v>
      </c>
      <c r="I358" s="197">
        <v>893</v>
      </c>
      <c r="J358" s="198">
        <v>296</v>
      </c>
      <c r="K358" s="206">
        <f t="shared" si="34"/>
        <v>296</v>
      </c>
      <c r="L358" s="144">
        <f>I358/J358</f>
        <v>3.016891891891892</v>
      </c>
      <c r="M358" s="199">
        <f>1367+686114+384405+247619+146119+85619+63759-1+18934+11869+10791+11315+6907+8812+6730+2628+1465+749+1063+756+276+1198+612+510+45+1062+592+1782+205+893+893</f>
        <v>1705088</v>
      </c>
      <c r="N358" s="200">
        <f>80773+116+46317+29887+17891+10484+7685+2801+1917+1334+1333+755+1517+932+417+307+136+369+126+23+122+85+45+5+126+49+510+33+296+296</f>
        <v>206687</v>
      </c>
      <c r="O358" s="81">
        <f t="shared" si="33"/>
        <v>8.249614150865803</v>
      </c>
      <c r="P358" s="232"/>
    </row>
    <row r="359" spans="1:16" ht="15">
      <c r="A359" s="91">
        <v>356</v>
      </c>
      <c r="B359" s="55" t="s">
        <v>213</v>
      </c>
      <c r="C359" s="41">
        <v>39087</v>
      </c>
      <c r="D359" s="45" t="s">
        <v>41</v>
      </c>
      <c r="E359" s="44" t="s">
        <v>46</v>
      </c>
      <c r="F359" s="63">
        <v>80</v>
      </c>
      <c r="G359" s="63">
        <v>1</v>
      </c>
      <c r="H359" s="63">
        <v>27</v>
      </c>
      <c r="I359" s="85">
        <v>893</v>
      </c>
      <c r="J359" s="93">
        <v>296</v>
      </c>
      <c r="K359" s="143">
        <f t="shared" si="34"/>
        <v>296</v>
      </c>
      <c r="L359" s="207">
        <f>I359/J359</f>
        <v>3.016891891891892</v>
      </c>
      <c r="M359" s="145">
        <f>1367+686114+384405+247619+146119+85619+63759-1+18934+11869+10791+11315+6907+8812+6730+2628+1465+749+1063+756+276+1198+612+510+45+1062+592+1782+205+893</f>
        <v>1704195</v>
      </c>
      <c r="N359" s="146">
        <f>80773+116+46317+29887+17891+10484+7685+2801+1917+1334+1333+755+1517+932+417+307+136+369+126+23+122+85+45+5+126+49+510+33+296</f>
        <v>206391</v>
      </c>
      <c r="O359" s="218">
        <f t="shared" si="33"/>
        <v>8.257118769713795</v>
      </c>
      <c r="P359" s="333">
        <v>1</v>
      </c>
    </row>
    <row r="360" spans="1:16" ht="15">
      <c r="A360" s="91">
        <v>357</v>
      </c>
      <c r="B360" s="56" t="s">
        <v>208</v>
      </c>
      <c r="C360" s="42">
        <v>39416</v>
      </c>
      <c r="D360" s="87" t="s">
        <v>42</v>
      </c>
      <c r="E360" s="87" t="s">
        <v>226</v>
      </c>
      <c r="F360" s="43">
        <v>11</v>
      </c>
      <c r="G360" s="43">
        <v>3</v>
      </c>
      <c r="H360" s="43">
        <v>6</v>
      </c>
      <c r="I360" s="86">
        <v>893</v>
      </c>
      <c r="J360" s="95">
        <v>150</v>
      </c>
      <c r="K360" s="133">
        <f t="shared" si="34"/>
        <v>50</v>
      </c>
      <c r="L360" s="134">
        <f>+I360/J360</f>
        <v>5.953333333333333</v>
      </c>
      <c r="M360" s="135">
        <v>32259</v>
      </c>
      <c r="N360" s="133">
        <v>3764</v>
      </c>
      <c r="O360" s="155">
        <f t="shared" si="33"/>
        <v>8.570403825717323</v>
      </c>
      <c r="P360" s="232"/>
    </row>
    <row r="361" spans="1:16" ht="15">
      <c r="A361" s="91">
        <v>358</v>
      </c>
      <c r="B361" s="56" t="s">
        <v>248</v>
      </c>
      <c r="C361" s="41">
        <v>39381</v>
      </c>
      <c r="D361" s="46" t="s">
        <v>425</v>
      </c>
      <c r="E361" s="46" t="s">
        <v>289</v>
      </c>
      <c r="F361" s="43">
        <v>2</v>
      </c>
      <c r="G361" s="43">
        <v>1</v>
      </c>
      <c r="H361" s="43">
        <v>12</v>
      </c>
      <c r="I361" s="187">
        <v>891</v>
      </c>
      <c r="J361" s="188">
        <v>105</v>
      </c>
      <c r="K361" s="206">
        <f t="shared" si="34"/>
        <v>105</v>
      </c>
      <c r="L361" s="207">
        <f>I361/J361</f>
        <v>8.485714285714286</v>
      </c>
      <c r="M361" s="191">
        <v>38237.5</v>
      </c>
      <c r="N361" s="189">
        <v>5924</v>
      </c>
      <c r="O361" s="218">
        <f>M361/N361</f>
        <v>6.454675894665766</v>
      </c>
      <c r="P361" s="232"/>
    </row>
    <row r="362" spans="1:16" ht="15">
      <c r="A362" s="91">
        <v>359</v>
      </c>
      <c r="B362" s="56" t="s">
        <v>397</v>
      </c>
      <c r="C362" s="42">
        <v>39402</v>
      </c>
      <c r="D362" s="87" t="s">
        <v>42</v>
      </c>
      <c r="E362" s="87" t="s">
        <v>471</v>
      </c>
      <c r="F362" s="43">
        <v>130</v>
      </c>
      <c r="G362" s="43">
        <v>21</v>
      </c>
      <c r="H362" s="43">
        <v>9</v>
      </c>
      <c r="I362" s="187">
        <v>873</v>
      </c>
      <c r="J362" s="188">
        <v>153</v>
      </c>
      <c r="K362" s="189">
        <f t="shared" si="34"/>
        <v>7.285714285714286</v>
      </c>
      <c r="L362" s="190">
        <f>+I362/J362</f>
        <v>5.705882352941177</v>
      </c>
      <c r="M362" s="191">
        <v>2077602</v>
      </c>
      <c r="N362" s="189">
        <v>260683</v>
      </c>
      <c r="O362" s="215">
        <f>+M362/N362</f>
        <v>7.969840764453378</v>
      </c>
      <c r="P362" s="232"/>
    </row>
    <row r="363" spans="1:16" ht="15">
      <c r="A363" s="91">
        <v>360</v>
      </c>
      <c r="B363" s="55" t="s">
        <v>252</v>
      </c>
      <c r="C363" s="41">
        <v>39437</v>
      </c>
      <c r="D363" s="45" t="s">
        <v>41</v>
      </c>
      <c r="E363" s="44" t="s">
        <v>551</v>
      </c>
      <c r="F363" s="63">
        <v>49</v>
      </c>
      <c r="G363" s="63">
        <v>4</v>
      </c>
      <c r="H363" s="63">
        <v>6</v>
      </c>
      <c r="I363" s="197">
        <v>871</v>
      </c>
      <c r="J363" s="198">
        <v>163</v>
      </c>
      <c r="K363" s="206">
        <f t="shared" si="34"/>
        <v>40.75</v>
      </c>
      <c r="L363" s="207">
        <f>I363/J363</f>
        <v>5.343558282208589</v>
      </c>
      <c r="M363" s="199">
        <f>265356+150950+36636+752+2313+871</f>
        <v>456878</v>
      </c>
      <c r="N363" s="200">
        <f>28419+15898+4109+157+424+163</f>
        <v>49170</v>
      </c>
      <c r="O363" s="218">
        <f>+M363/N363</f>
        <v>9.291803945495221</v>
      </c>
      <c r="P363" s="232"/>
    </row>
    <row r="364" spans="1:16" ht="15">
      <c r="A364" s="91">
        <v>361</v>
      </c>
      <c r="B364" s="56" t="s">
        <v>292</v>
      </c>
      <c r="C364" s="41">
        <v>39339</v>
      </c>
      <c r="D364" s="46" t="s">
        <v>412</v>
      </c>
      <c r="E364" s="46" t="s">
        <v>293</v>
      </c>
      <c r="F364" s="43">
        <v>79</v>
      </c>
      <c r="G364" s="43">
        <v>2</v>
      </c>
      <c r="H364" s="43">
        <v>24</v>
      </c>
      <c r="I364" s="187">
        <v>864</v>
      </c>
      <c r="J364" s="188">
        <v>288</v>
      </c>
      <c r="K364" s="206">
        <v>7.333333333333333</v>
      </c>
      <c r="L364" s="207">
        <f>I364/J364</f>
        <v>3</v>
      </c>
      <c r="M364" s="191">
        <v>313398</v>
      </c>
      <c r="N364" s="189">
        <v>49797</v>
      </c>
      <c r="O364" s="218">
        <f>+M364/N364</f>
        <v>6.293511657328755</v>
      </c>
      <c r="P364" s="232">
        <v>1</v>
      </c>
    </row>
    <row r="365" spans="1:16" ht="15">
      <c r="A365" s="91">
        <v>362</v>
      </c>
      <c r="B365" s="57" t="s">
        <v>266</v>
      </c>
      <c r="C365" s="42">
        <v>39416</v>
      </c>
      <c r="D365" s="47" t="s">
        <v>425</v>
      </c>
      <c r="E365" s="47" t="s">
        <v>546</v>
      </c>
      <c r="F365" s="88">
        <v>4</v>
      </c>
      <c r="G365" s="89">
        <v>1</v>
      </c>
      <c r="H365" s="88">
        <v>8</v>
      </c>
      <c r="I365" s="197">
        <v>860</v>
      </c>
      <c r="J365" s="198">
        <v>172</v>
      </c>
      <c r="K365" s="206">
        <f>J365/G365</f>
        <v>172</v>
      </c>
      <c r="L365" s="207">
        <f>I365/J365</f>
        <v>5</v>
      </c>
      <c r="M365" s="199">
        <v>44160</v>
      </c>
      <c r="N365" s="200">
        <v>4797</v>
      </c>
      <c r="O365" s="218">
        <f>+M365/N365</f>
        <v>9.205753595997498</v>
      </c>
      <c r="P365" s="232"/>
    </row>
    <row r="366" spans="1:16" ht="15">
      <c r="A366" s="91">
        <v>363</v>
      </c>
      <c r="B366" s="57" t="s">
        <v>518</v>
      </c>
      <c r="C366" s="41">
        <v>39444</v>
      </c>
      <c r="D366" s="47" t="s">
        <v>468</v>
      </c>
      <c r="E366" s="47" t="s">
        <v>468</v>
      </c>
      <c r="F366" s="58">
        <v>14</v>
      </c>
      <c r="G366" s="58">
        <v>2</v>
      </c>
      <c r="H366" s="58">
        <v>5</v>
      </c>
      <c r="I366" s="197">
        <v>840</v>
      </c>
      <c r="J366" s="198">
        <v>141</v>
      </c>
      <c r="K366" s="206">
        <f>J366/G366</f>
        <v>70.5</v>
      </c>
      <c r="L366" s="207">
        <f>I366/J366</f>
        <v>5.957446808510638</v>
      </c>
      <c r="M366" s="199">
        <v>231043</v>
      </c>
      <c r="N366" s="200">
        <v>22513</v>
      </c>
      <c r="O366" s="216">
        <f>+M366/N366</f>
        <v>10.262648247679119</v>
      </c>
      <c r="P366" s="232"/>
    </row>
    <row r="367" spans="1:16" ht="15">
      <c r="A367" s="91">
        <v>364</v>
      </c>
      <c r="B367" s="56" t="s">
        <v>341</v>
      </c>
      <c r="C367" s="41">
        <v>38471</v>
      </c>
      <c r="D367" s="46" t="s">
        <v>81</v>
      </c>
      <c r="E367" s="46" t="s">
        <v>342</v>
      </c>
      <c r="F367" s="43">
        <v>27</v>
      </c>
      <c r="G367" s="43">
        <v>1</v>
      </c>
      <c r="H367" s="43">
        <v>25</v>
      </c>
      <c r="I367" s="187">
        <v>832</v>
      </c>
      <c r="J367" s="188">
        <v>166</v>
      </c>
      <c r="K367" s="206">
        <f>IF(I367&lt;&gt;0,J367/G367,"")</f>
        <v>166</v>
      </c>
      <c r="L367" s="207">
        <f>IF(I367&lt;&gt;0,I367/J367,"")</f>
        <v>5.0120481927710845</v>
      </c>
      <c r="M367" s="191">
        <f>100946.5+55963.5+28361+17286+15308+4449+3593.5+993+1211+3079+982+1260+235+50+584+2200+164+563+370+488+594+262+2376+4158+832</f>
        <v>246308.5</v>
      </c>
      <c r="N367" s="189">
        <f>12221+7275+3835+2366+2783+860+655+187+231+464+149+250+38+15+117+501+35+98+89+122+198+59+792+1386+166</f>
        <v>34892</v>
      </c>
      <c r="O367" s="218">
        <f>IF(M367&lt;&gt;0,M367/N367,"")</f>
        <v>7.059168290725668</v>
      </c>
      <c r="P367" s="232"/>
    </row>
    <row r="368" spans="1:16" ht="15">
      <c r="A368" s="91">
        <v>365</v>
      </c>
      <c r="B368" s="55" t="s">
        <v>107</v>
      </c>
      <c r="C368" s="41">
        <v>39297</v>
      </c>
      <c r="D368" s="45" t="s">
        <v>41</v>
      </c>
      <c r="E368" s="44" t="s">
        <v>46</v>
      </c>
      <c r="F368" s="63">
        <v>51</v>
      </c>
      <c r="G368" s="63">
        <v>1</v>
      </c>
      <c r="H368" s="63">
        <v>21</v>
      </c>
      <c r="I368" s="197">
        <v>831</v>
      </c>
      <c r="J368" s="198">
        <v>277</v>
      </c>
      <c r="K368" s="206">
        <f aca="true" t="shared" si="35" ref="K368:K374">J368/G368</f>
        <v>277</v>
      </c>
      <c r="L368" s="207">
        <f>I368/J368</f>
        <v>3</v>
      </c>
      <c r="M368" s="199">
        <f>281080+182131+123214+30406+27098+21662+14107+7795+5519+3816+6498+1771+4249+2936+5464+1364+837+581+150+1798+831</f>
        <v>723307</v>
      </c>
      <c r="N368" s="200">
        <f>31883+21094+14754+4546+4836+4070+2318+1360+917+566+1261+309+845+581+1094+264+153+117+22+892+277</f>
        <v>92159</v>
      </c>
      <c r="O368" s="218">
        <f>+M368/N368</f>
        <v>7.848468407860328</v>
      </c>
      <c r="P368" s="232">
        <v>1</v>
      </c>
    </row>
    <row r="369" spans="1:16" ht="15">
      <c r="A369" s="91">
        <v>366</v>
      </c>
      <c r="B369" s="55" t="s">
        <v>280</v>
      </c>
      <c r="C369" s="41">
        <v>39409</v>
      </c>
      <c r="D369" s="45" t="s">
        <v>41</v>
      </c>
      <c r="E369" s="44" t="s">
        <v>52</v>
      </c>
      <c r="F369" s="63">
        <v>69</v>
      </c>
      <c r="G369" s="63">
        <v>1</v>
      </c>
      <c r="H369" s="63">
        <v>10</v>
      </c>
      <c r="I369" s="197">
        <v>831</v>
      </c>
      <c r="J369" s="198">
        <v>146</v>
      </c>
      <c r="K369" s="206">
        <f t="shared" si="35"/>
        <v>146</v>
      </c>
      <c r="L369" s="207">
        <f>I369/J369</f>
        <v>5.691780821917808</v>
      </c>
      <c r="M369" s="199">
        <f>387069+277494+166747+4993+4045+7291+3613+313+916+831</f>
        <v>853312</v>
      </c>
      <c r="N369" s="200">
        <f>37017+27892+17708+698+855+1523+696+56+479+146</f>
        <v>87070</v>
      </c>
      <c r="O369" s="218">
        <f>+M369/N369</f>
        <v>9.800298610313542</v>
      </c>
      <c r="P369" s="232"/>
    </row>
    <row r="370" spans="1:16" ht="15">
      <c r="A370" s="91">
        <v>367</v>
      </c>
      <c r="B370" s="56" t="s">
        <v>475</v>
      </c>
      <c r="C370" s="41">
        <v>39430</v>
      </c>
      <c r="D370" s="46" t="s">
        <v>43</v>
      </c>
      <c r="E370" s="46" t="s">
        <v>44</v>
      </c>
      <c r="F370" s="43">
        <v>64</v>
      </c>
      <c r="G370" s="43">
        <v>1</v>
      </c>
      <c r="H370" s="43">
        <v>16</v>
      </c>
      <c r="I370" s="187">
        <v>830</v>
      </c>
      <c r="J370" s="188">
        <v>166</v>
      </c>
      <c r="K370" s="206">
        <f t="shared" si="35"/>
        <v>166</v>
      </c>
      <c r="L370" s="207">
        <f>I370/J370</f>
        <v>5</v>
      </c>
      <c r="M370" s="191">
        <f>183581+192120.5+67824+23763.5+5798.5+5467+22027+14042+2947+442+3097+2408.5+78+12+1060+830</f>
        <v>525498</v>
      </c>
      <c r="N370" s="189">
        <f>20071+21989+8620+4128+850+1010+3719+2499+595+78+775+602+26+4+192+166</f>
        <v>65324</v>
      </c>
      <c r="O370" s="218">
        <f>+M370/N370</f>
        <v>8.044485946972017</v>
      </c>
      <c r="P370" s="316"/>
    </row>
    <row r="371" spans="1:16" ht="15">
      <c r="A371" s="91">
        <v>368</v>
      </c>
      <c r="B371" s="56" t="s">
        <v>397</v>
      </c>
      <c r="C371" s="42">
        <v>39402</v>
      </c>
      <c r="D371" s="87" t="s">
        <v>42</v>
      </c>
      <c r="E371" s="87" t="s">
        <v>471</v>
      </c>
      <c r="F371" s="43">
        <v>130</v>
      </c>
      <c r="G371" s="43">
        <v>4</v>
      </c>
      <c r="H371" s="43">
        <v>13</v>
      </c>
      <c r="I371" s="187">
        <v>828</v>
      </c>
      <c r="J371" s="188">
        <v>162</v>
      </c>
      <c r="K371" s="206">
        <f t="shared" si="35"/>
        <v>40.5</v>
      </c>
      <c r="L371" s="134">
        <f>+I371/J371</f>
        <v>5.111111111111111</v>
      </c>
      <c r="M371" s="191">
        <v>2095480</v>
      </c>
      <c r="N371" s="189">
        <v>264931</v>
      </c>
      <c r="O371" s="81">
        <f>+M371/N371</f>
        <v>7.909531160943793</v>
      </c>
      <c r="P371" s="232"/>
    </row>
    <row r="372" spans="1:16" ht="15">
      <c r="A372" s="91">
        <v>369</v>
      </c>
      <c r="B372" s="56" t="s">
        <v>108</v>
      </c>
      <c r="C372" s="42">
        <v>39416</v>
      </c>
      <c r="D372" s="87" t="s">
        <v>42</v>
      </c>
      <c r="E372" s="87" t="s">
        <v>226</v>
      </c>
      <c r="F372" s="43">
        <v>11</v>
      </c>
      <c r="G372" s="43">
        <v>3</v>
      </c>
      <c r="H372" s="43">
        <v>7</v>
      </c>
      <c r="I372" s="187">
        <v>823</v>
      </c>
      <c r="J372" s="188">
        <v>302</v>
      </c>
      <c r="K372" s="189">
        <f t="shared" si="35"/>
        <v>100.66666666666667</v>
      </c>
      <c r="L372" s="190">
        <f>+I372/J372</f>
        <v>2.725165562913907</v>
      </c>
      <c r="M372" s="191">
        <v>33082</v>
      </c>
      <c r="N372" s="189">
        <v>4066</v>
      </c>
      <c r="O372" s="215">
        <f>+M372/N372</f>
        <v>8.136251844564683</v>
      </c>
      <c r="P372" s="232"/>
    </row>
    <row r="373" spans="1:16" ht="15">
      <c r="A373" s="91">
        <v>370</v>
      </c>
      <c r="B373" s="56" t="s">
        <v>214</v>
      </c>
      <c r="C373" s="41">
        <v>39444</v>
      </c>
      <c r="D373" s="46" t="s">
        <v>425</v>
      </c>
      <c r="E373" s="46" t="s">
        <v>513</v>
      </c>
      <c r="F373" s="43">
        <v>25</v>
      </c>
      <c r="G373" s="43">
        <v>3</v>
      </c>
      <c r="H373" s="43">
        <v>11</v>
      </c>
      <c r="I373" s="187">
        <v>811</v>
      </c>
      <c r="J373" s="188">
        <v>137</v>
      </c>
      <c r="K373" s="206">
        <f t="shared" si="35"/>
        <v>45.666666666666664</v>
      </c>
      <c r="L373" s="207">
        <f>I373/J373</f>
        <v>5.91970802919708</v>
      </c>
      <c r="M373" s="191">
        <v>264868.25</v>
      </c>
      <c r="N373" s="189">
        <v>27605</v>
      </c>
      <c r="O373" s="218">
        <f>M373/N373</f>
        <v>9.594937511320413</v>
      </c>
      <c r="P373" s="232"/>
    </row>
    <row r="374" spans="1:16" ht="18">
      <c r="A374" s="91">
        <v>371</v>
      </c>
      <c r="B374" s="55" t="s">
        <v>199</v>
      </c>
      <c r="C374" s="41">
        <v>39367</v>
      </c>
      <c r="D374" s="45" t="s">
        <v>41</v>
      </c>
      <c r="E374" s="44" t="s">
        <v>52</v>
      </c>
      <c r="F374" s="63">
        <v>65</v>
      </c>
      <c r="G374" s="63">
        <v>1</v>
      </c>
      <c r="H374" s="63">
        <v>10</v>
      </c>
      <c r="I374" s="85">
        <v>805</v>
      </c>
      <c r="J374" s="93">
        <v>199</v>
      </c>
      <c r="K374" s="143">
        <f t="shared" si="35"/>
        <v>199</v>
      </c>
      <c r="L374" s="207">
        <f>I374/J374</f>
        <v>4.045226130653266</v>
      </c>
      <c r="M374" s="145">
        <f>245364+117352+53509+12992+16676+5077+923+292+732+805</f>
        <v>453722</v>
      </c>
      <c r="N374" s="146">
        <f>25488+12615+5718+2162+3998+1488+152+73+159+199</f>
        <v>52052</v>
      </c>
      <c r="O374" s="218">
        <f>+M374/N374</f>
        <v>8.716706370552524</v>
      </c>
      <c r="P374" s="317"/>
    </row>
    <row r="375" spans="1:16" ht="15">
      <c r="A375" s="91">
        <v>372</v>
      </c>
      <c r="B375" s="56" t="s">
        <v>207</v>
      </c>
      <c r="C375" s="42">
        <v>39444</v>
      </c>
      <c r="D375" s="46" t="s">
        <v>43</v>
      </c>
      <c r="E375" s="46" t="s">
        <v>354</v>
      </c>
      <c r="F375" s="235">
        <v>10</v>
      </c>
      <c r="G375" s="43">
        <v>4</v>
      </c>
      <c r="H375" s="43">
        <v>5</v>
      </c>
      <c r="I375" s="86">
        <v>801</v>
      </c>
      <c r="J375" s="95">
        <v>164</v>
      </c>
      <c r="K375" s="136">
        <f>IF(I375&lt;&gt;0,J375/G375,"")</f>
        <v>41</v>
      </c>
      <c r="L375" s="195">
        <f>IF(I375&lt;&gt;0,I375/J375,"")</f>
        <v>4.884146341463414</v>
      </c>
      <c r="M375" s="135">
        <f>8804+1895+1013.5+219+801</f>
        <v>12732.5</v>
      </c>
      <c r="N375" s="133">
        <f>970+200+157+43+164</f>
        <v>1534</v>
      </c>
      <c r="O375" s="216">
        <f>IF(M375&lt;&gt;0,M375/N375,"")</f>
        <v>8.30019556714472</v>
      </c>
      <c r="P375" s="232"/>
    </row>
    <row r="376" spans="1:16" ht="15">
      <c r="A376" s="91">
        <v>373</v>
      </c>
      <c r="B376" s="57" t="s">
        <v>395</v>
      </c>
      <c r="C376" s="41">
        <v>39402</v>
      </c>
      <c r="D376" s="47" t="s">
        <v>81</v>
      </c>
      <c r="E376" s="47" t="s">
        <v>396</v>
      </c>
      <c r="F376" s="64">
        <v>165</v>
      </c>
      <c r="G376" s="64">
        <v>2</v>
      </c>
      <c r="H376" s="64">
        <v>32</v>
      </c>
      <c r="I376" s="85">
        <v>801</v>
      </c>
      <c r="J376" s="93">
        <v>159</v>
      </c>
      <c r="K376" s="143">
        <f>IF(I376&lt;&gt;0,J376/G376,"")</f>
        <v>79.5</v>
      </c>
      <c r="L376" s="207">
        <f>IF(I376&lt;&gt;0,I376/J376,"")</f>
        <v>5.037735849056604</v>
      </c>
      <c r="M376" s="145">
        <f>14315851.5+0+47739+12410+62922+653+801</f>
        <v>14440376.5</v>
      </c>
      <c r="N376" s="146">
        <f>1937908+0+9548+2520+12584+133+159</f>
        <v>1962852</v>
      </c>
      <c r="O376" s="218">
        <f>IF(M376&lt;&gt;0,M376/N376,"")</f>
        <v>7.356834086319295</v>
      </c>
      <c r="P376" s="232"/>
    </row>
    <row r="377" spans="1:16" ht="18">
      <c r="A377" s="91">
        <v>374</v>
      </c>
      <c r="B377" s="56" t="s">
        <v>476</v>
      </c>
      <c r="C377" s="42">
        <v>39430</v>
      </c>
      <c r="D377" s="46" t="s">
        <v>43</v>
      </c>
      <c r="E377" s="46" t="s">
        <v>434</v>
      </c>
      <c r="F377" s="235">
        <v>43</v>
      </c>
      <c r="G377" s="43">
        <v>1</v>
      </c>
      <c r="H377" s="43">
        <v>9</v>
      </c>
      <c r="I377" s="86">
        <v>796</v>
      </c>
      <c r="J377" s="95">
        <v>182</v>
      </c>
      <c r="K377" s="136">
        <f>IF(I377&lt;&gt;0,J377/G377,"")</f>
        <v>182</v>
      </c>
      <c r="L377" s="195">
        <f>IF(I377&lt;&gt;0,I377/J377,"")</f>
        <v>4.373626373626373</v>
      </c>
      <c r="M377" s="135">
        <f>43240+25728.5+5226.5+5207.5+50+1692+2247+3101.5+796</f>
        <v>87289</v>
      </c>
      <c r="N377" s="133">
        <f>5272+3593+870+1171+5+336+461+717+182</f>
        <v>12607</v>
      </c>
      <c r="O377" s="216">
        <f>IF(M377&lt;&gt;0,M377/N377,"")</f>
        <v>6.9238518283493296</v>
      </c>
      <c r="P377" s="317"/>
    </row>
    <row r="378" spans="1:16" ht="15">
      <c r="A378" s="91">
        <v>375</v>
      </c>
      <c r="B378" s="56" t="s">
        <v>382</v>
      </c>
      <c r="C378" s="41">
        <v>39437</v>
      </c>
      <c r="D378" s="46" t="s">
        <v>43</v>
      </c>
      <c r="E378" s="46" t="s">
        <v>383</v>
      </c>
      <c r="F378" s="43">
        <v>156</v>
      </c>
      <c r="G378" s="43">
        <v>1</v>
      </c>
      <c r="H378" s="43">
        <v>19</v>
      </c>
      <c r="I378" s="187">
        <v>796</v>
      </c>
      <c r="J378" s="188">
        <v>138</v>
      </c>
      <c r="K378" s="206">
        <f>+J378/G378</f>
        <v>138</v>
      </c>
      <c r="L378" s="207">
        <f>+I378/J378</f>
        <v>5.768115942028985</v>
      </c>
      <c r="M378" s="191">
        <f>1780127+1212579.5+721829.5+404706.5+230406+56484.5+45824+18497.5+10529+9795.5+1455+3484+1447+391+3673+4075.5+1032+2531+796</f>
        <v>4509663.5</v>
      </c>
      <c r="N378" s="189">
        <f>240776+165120+97288+55998+35394+10296+9476+3143+2091+2258+337+991+436+98+918+697+200+844+138</f>
        <v>626499</v>
      </c>
      <c r="O378" s="218">
        <f aca="true" t="shared" si="36" ref="O378:O399">+M378/N378</f>
        <v>7.198197443252104</v>
      </c>
      <c r="P378" s="232">
        <v>1</v>
      </c>
    </row>
    <row r="379" spans="1:16" ht="15">
      <c r="A379" s="91">
        <v>376</v>
      </c>
      <c r="B379" s="56" t="s">
        <v>329</v>
      </c>
      <c r="C379" s="41">
        <v>39388</v>
      </c>
      <c r="D379" s="46" t="s">
        <v>41</v>
      </c>
      <c r="E379" s="46" t="s">
        <v>46</v>
      </c>
      <c r="F379" s="43">
        <v>4</v>
      </c>
      <c r="G379" s="43">
        <v>2</v>
      </c>
      <c r="H379" s="43">
        <v>7</v>
      </c>
      <c r="I379" s="187">
        <v>784</v>
      </c>
      <c r="J379" s="188">
        <v>248</v>
      </c>
      <c r="K379" s="206">
        <f aca="true" t="shared" si="37" ref="K379:K387">J379/G379</f>
        <v>124</v>
      </c>
      <c r="L379" s="207">
        <f aca="true" t="shared" si="38" ref="L379:L387">I379/J379</f>
        <v>3.161290322580645</v>
      </c>
      <c r="M379" s="191">
        <f>2870+17781+10585+2582+1127+468+1181+1667+784</f>
        <v>39045</v>
      </c>
      <c r="N379" s="189">
        <f>287+1390+821+373+155+85+210+556+248</f>
        <v>4125</v>
      </c>
      <c r="O379" s="218">
        <f t="shared" si="36"/>
        <v>9.465454545454545</v>
      </c>
      <c r="P379" s="232"/>
    </row>
    <row r="380" spans="1:16" ht="15">
      <c r="A380" s="91">
        <v>377</v>
      </c>
      <c r="B380" s="57" t="s">
        <v>214</v>
      </c>
      <c r="C380" s="42">
        <v>39444</v>
      </c>
      <c r="D380" s="47" t="s">
        <v>425</v>
      </c>
      <c r="E380" s="47" t="s">
        <v>513</v>
      </c>
      <c r="F380" s="88">
        <v>25</v>
      </c>
      <c r="G380" s="89">
        <v>3</v>
      </c>
      <c r="H380" s="88">
        <v>13</v>
      </c>
      <c r="I380" s="197">
        <v>772</v>
      </c>
      <c r="J380" s="198">
        <v>116</v>
      </c>
      <c r="K380" s="206">
        <f t="shared" si="37"/>
        <v>38.666666666666664</v>
      </c>
      <c r="L380" s="207">
        <f t="shared" si="38"/>
        <v>6.655172413793103</v>
      </c>
      <c r="M380" s="199">
        <v>266039.25</v>
      </c>
      <c r="N380" s="200">
        <v>27795</v>
      </c>
      <c r="O380" s="331">
        <f t="shared" si="36"/>
        <v>9.571478683216405</v>
      </c>
      <c r="P380" s="316"/>
    </row>
    <row r="381" spans="1:16" ht="15">
      <c r="A381" s="91">
        <v>378</v>
      </c>
      <c r="B381" s="55" t="s">
        <v>109</v>
      </c>
      <c r="C381" s="41">
        <v>39437</v>
      </c>
      <c r="D381" s="45" t="s">
        <v>41</v>
      </c>
      <c r="E381" s="44" t="s">
        <v>551</v>
      </c>
      <c r="F381" s="63">
        <v>49</v>
      </c>
      <c r="G381" s="63">
        <v>3</v>
      </c>
      <c r="H381" s="63">
        <v>4</v>
      </c>
      <c r="I381" s="197">
        <v>752</v>
      </c>
      <c r="J381" s="198">
        <v>157</v>
      </c>
      <c r="K381" s="206">
        <f t="shared" si="37"/>
        <v>52.333333333333336</v>
      </c>
      <c r="L381" s="207">
        <f t="shared" si="38"/>
        <v>4.789808917197452</v>
      </c>
      <c r="M381" s="199">
        <f>265356+150950+36636+752</f>
        <v>453694</v>
      </c>
      <c r="N381" s="200">
        <f>28419+15898+4109+157</f>
        <v>48583</v>
      </c>
      <c r="O381" s="218">
        <f t="shared" si="36"/>
        <v>9.338534055122162</v>
      </c>
      <c r="P381" s="232"/>
    </row>
    <row r="382" spans="1:16" ht="15">
      <c r="A382" s="91">
        <v>379</v>
      </c>
      <c r="B382" s="56" t="s">
        <v>398</v>
      </c>
      <c r="C382" s="42">
        <v>39402</v>
      </c>
      <c r="D382" s="46" t="s">
        <v>43</v>
      </c>
      <c r="E382" s="46" t="s">
        <v>467</v>
      </c>
      <c r="F382" s="235">
        <v>125</v>
      </c>
      <c r="G382" s="43">
        <v>1</v>
      </c>
      <c r="H382" s="43">
        <v>14</v>
      </c>
      <c r="I382" s="187">
        <v>748</v>
      </c>
      <c r="J382" s="188">
        <v>187</v>
      </c>
      <c r="K382" s="206">
        <f t="shared" si="37"/>
        <v>187</v>
      </c>
      <c r="L382" s="144">
        <f t="shared" si="38"/>
        <v>4</v>
      </c>
      <c r="M382" s="191">
        <f>676439.5+554539.5+408532.5+265092+4+63975.5-30+36417+32233.5+29355.5+9292+4684+3839.75+6311.5+292.5+748</f>
        <v>2091726.75</v>
      </c>
      <c r="N382" s="189">
        <f>91933+76364+57186+39863+2+10711+6714+6020+5300+2353+1269+898+1545+86+187</f>
        <v>300431</v>
      </c>
      <c r="O382" s="81">
        <f t="shared" si="36"/>
        <v>6.962419823520209</v>
      </c>
      <c r="P382" s="333"/>
    </row>
    <row r="383" spans="1:16" ht="15">
      <c r="A383" s="91">
        <v>380</v>
      </c>
      <c r="B383" s="56" t="s">
        <v>252</v>
      </c>
      <c r="C383" s="41">
        <v>39437</v>
      </c>
      <c r="D383" s="299" t="s">
        <v>41</v>
      </c>
      <c r="E383" s="299" t="s">
        <v>551</v>
      </c>
      <c r="F383" s="43">
        <v>49</v>
      </c>
      <c r="G383" s="43">
        <v>1</v>
      </c>
      <c r="H383" s="43">
        <v>13</v>
      </c>
      <c r="I383" s="187">
        <v>748</v>
      </c>
      <c r="J383" s="188">
        <v>161</v>
      </c>
      <c r="K383" s="206">
        <f t="shared" si="37"/>
        <v>161</v>
      </c>
      <c r="L383" s="207">
        <f t="shared" si="38"/>
        <v>4.645962732919255</v>
      </c>
      <c r="M383" s="191">
        <f>265356+150950+36636+752+2313+871+2481+84+743+187+110+488+748</f>
        <v>461719</v>
      </c>
      <c r="N383" s="189">
        <f>28419+15898+4109+157+424+163+412+14+140+31+21+106+161</f>
        <v>50055</v>
      </c>
      <c r="O383" s="218">
        <f t="shared" si="36"/>
        <v>9.224233343322345</v>
      </c>
      <c r="P383" s="333">
        <v>1</v>
      </c>
    </row>
    <row r="384" spans="1:16" ht="15">
      <c r="A384" s="91">
        <v>381</v>
      </c>
      <c r="B384" s="55" t="s">
        <v>252</v>
      </c>
      <c r="C384" s="41">
        <v>39437</v>
      </c>
      <c r="D384" s="45" t="s">
        <v>41</v>
      </c>
      <c r="E384" s="44" t="s">
        <v>551</v>
      </c>
      <c r="F384" s="63">
        <v>49</v>
      </c>
      <c r="G384" s="63">
        <v>2</v>
      </c>
      <c r="H384" s="63">
        <v>9</v>
      </c>
      <c r="I384" s="197">
        <v>743</v>
      </c>
      <c r="J384" s="198">
        <v>140</v>
      </c>
      <c r="K384" s="206">
        <f t="shared" si="37"/>
        <v>70</v>
      </c>
      <c r="L384" s="144">
        <f t="shared" si="38"/>
        <v>5.307142857142857</v>
      </c>
      <c r="M384" s="199">
        <f>265356+150950+36636+752+2313+871+2481+84+743</f>
        <v>460186</v>
      </c>
      <c r="N384" s="200">
        <f>28419+15898+4109+157+424+163+412+14+140</f>
        <v>49736</v>
      </c>
      <c r="O384" s="81">
        <f t="shared" si="36"/>
        <v>9.25257358854753</v>
      </c>
      <c r="P384" s="232">
        <v>1</v>
      </c>
    </row>
    <row r="385" spans="1:16" ht="15">
      <c r="A385" s="91">
        <v>382</v>
      </c>
      <c r="B385" s="56" t="s">
        <v>510</v>
      </c>
      <c r="C385" s="41">
        <v>39402</v>
      </c>
      <c r="D385" s="46" t="s">
        <v>41</v>
      </c>
      <c r="E385" s="46" t="s">
        <v>52</v>
      </c>
      <c r="F385" s="43">
        <v>64</v>
      </c>
      <c r="G385" s="43">
        <v>1</v>
      </c>
      <c r="H385" s="43">
        <v>14</v>
      </c>
      <c r="I385" s="86">
        <v>734</v>
      </c>
      <c r="J385" s="95">
        <v>125</v>
      </c>
      <c r="K385" s="143">
        <f t="shared" si="37"/>
        <v>125</v>
      </c>
      <c r="L385" s="144">
        <f t="shared" si="38"/>
        <v>5.872</v>
      </c>
      <c r="M385" s="135">
        <f>299858+213967+97347+22667+8568+16509+4053+3337+284+4988+2264+2342+1487+734</f>
        <v>678405</v>
      </c>
      <c r="N385" s="133">
        <f>33225+24189+12517+4002+2479+2973+867+358+35+802+375+456+362+125</f>
        <v>82765</v>
      </c>
      <c r="O385" s="81">
        <f t="shared" si="36"/>
        <v>8.196761916268954</v>
      </c>
      <c r="P385" s="232"/>
    </row>
    <row r="386" spans="1:16" ht="15">
      <c r="A386" s="91">
        <v>383</v>
      </c>
      <c r="B386" s="57" t="s">
        <v>505</v>
      </c>
      <c r="C386" s="41">
        <v>39269</v>
      </c>
      <c r="D386" s="44" t="s">
        <v>223</v>
      </c>
      <c r="E386" s="44" t="s">
        <v>223</v>
      </c>
      <c r="F386" s="64" t="s">
        <v>430</v>
      </c>
      <c r="G386" s="64" t="s">
        <v>424</v>
      </c>
      <c r="H386" s="64" t="s">
        <v>579</v>
      </c>
      <c r="I386" s="85">
        <v>734</v>
      </c>
      <c r="J386" s="93">
        <v>120</v>
      </c>
      <c r="K386" s="143">
        <f t="shared" si="37"/>
        <v>120</v>
      </c>
      <c r="L386" s="144">
        <f t="shared" si="38"/>
        <v>6.116666666666666</v>
      </c>
      <c r="M386" s="145">
        <v>206084.19</v>
      </c>
      <c r="N386" s="146">
        <v>30794</v>
      </c>
      <c r="O386" s="81">
        <f t="shared" si="36"/>
        <v>6.692348834188478</v>
      </c>
      <c r="P386" s="232"/>
    </row>
    <row r="387" spans="1:16" ht="15">
      <c r="A387" s="91">
        <v>384</v>
      </c>
      <c r="B387" s="56" t="s">
        <v>398</v>
      </c>
      <c r="C387" s="41">
        <v>39402</v>
      </c>
      <c r="D387" s="46" t="s">
        <v>43</v>
      </c>
      <c r="E387" s="46" t="s">
        <v>467</v>
      </c>
      <c r="F387" s="43">
        <v>125</v>
      </c>
      <c r="G387" s="43">
        <v>1</v>
      </c>
      <c r="H387" s="43">
        <v>19</v>
      </c>
      <c r="I387" s="187">
        <v>730</v>
      </c>
      <c r="J387" s="188">
        <v>183</v>
      </c>
      <c r="K387" s="206">
        <f t="shared" si="37"/>
        <v>183</v>
      </c>
      <c r="L387" s="207">
        <f t="shared" si="38"/>
        <v>3.989071038251366</v>
      </c>
      <c r="M387" s="191">
        <f>676439.5+554539.5+408532.5+265092+4+63975.5-30+36417+32233.5+29355.5+9292+4684+3839.75+6311.5+292.5+748+464+444+276+606+730</f>
        <v>2094246.75</v>
      </c>
      <c r="N387" s="189">
        <f>91933+76364+57186+39863+2+10711+6714+6020+5300+2353+1269+898+1545+86+187+116+111+69+120+183</f>
        <v>301030</v>
      </c>
      <c r="O387" s="218">
        <f t="shared" si="36"/>
        <v>6.956937016244228</v>
      </c>
      <c r="P387" s="232"/>
    </row>
    <row r="388" spans="1:16" ht="15">
      <c r="A388" s="91">
        <v>385</v>
      </c>
      <c r="B388" s="56" t="s">
        <v>398</v>
      </c>
      <c r="C388" s="41">
        <v>39402</v>
      </c>
      <c r="D388" s="46" t="s">
        <v>43</v>
      </c>
      <c r="E388" s="46" t="s">
        <v>467</v>
      </c>
      <c r="F388" s="43">
        <v>125</v>
      </c>
      <c r="G388" s="43">
        <v>1</v>
      </c>
      <c r="H388" s="43">
        <v>19</v>
      </c>
      <c r="I388" s="86">
        <v>730</v>
      </c>
      <c r="J388" s="95">
        <v>183</v>
      </c>
      <c r="K388" s="143">
        <f>+J388/G388</f>
        <v>183</v>
      </c>
      <c r="L388" s="144">
        <f>+I388/J388</f>
        <v>3.989071038251366</v>
      </c>
      <c r="M388" s="135">
        <f>676439.5+554539.5+408532.5+265092+4+63975.5-30+36417+32233.5+29355.5+9292+4684+3839.75+6311.5+292.5+748+464+444+276+606+730</f>
        <v>2094246.75</v>
      </c>
      <c r="N388" s="133">
        <f>91933+76364+57186+39863+2+10711+6714+6020+5300+2353+1269+898+1545+86+187+116+111+69+120+183</f>
        <v>301030</v>
      </c>
      <c r="O388" s="81">
        <f t="shared" si="36"/>
        <v>6.956937016244228</v>
      </c>
      <c r="P388" s="232"/>
    </row>
    <row r="389" spans="1:16" ht="15">
      <c r="A389" s="91">
        <v>386</v>
      </c>
      <c r="B389" s="57" t="s">
        <v>505</v>
      </c>
      <c r="C389" s="41">
        <v>39269</v>
      </c>
      <c r="D389" s="44" t="s">
        <v>223</v>
      </c>
      <c r="E389" s="44" t="s">
        <v>223</v>
      </c>
      <c r="F389" s="64" t="s">
        <v>430</v>
      </c>
      <c r="G389" s="64" t="s">
        <v>424</v>
      </c>
      <c r="H389" s="64" t="s">
        <v>4</v>
      </c>
      <c r="I389" s="145">
        <v>722</v>
      </c>
      <c r="J389" s="200">
        <v>123</v>
      </c>
      <c r="K389" s="206">
        <f aca="true" t="shared" si="39" ref="K389:K399">J389/G389</f>
        <v>123</v>
      </c>
      <c r="L389" s="144">
        <f aca="true" t="shared" si="40" ref="L389:L399">I389/J389</f>
        <v>5.869918699186992</v>
      </c>
      <c r="M389" s="145">
        <v>205350.19</v>
      </c>
      <c r="N389" s="200">
        <v>30674</v>
      </c>
      <c r="O389" s="81">
        <f t="shared" si="36"/>
        <v>6.694600964986634</v>
      </c>
      <c r="P389" s="232"/>
    </row>
    <row r="390" spans="1:16" ht="15">
      <c r="A390" s="91">
        <v>387</v>
      </c>
      <c r="B390" s="57" t="s">
        <v>214</v>
      </c>
      <c r="C390" s="42">
        <v>39444</v>
      </c>
      <c r="D390" s="47" t="s">
        <v>425</v>
      </c>
      <c r="E390" s="47" t="s">
        <v>513</v>
      </c>
      <c r="F390" s="88">
        <v>25</v>
      </c>
      <c r="G390" s="89">
        <v>1</v>
      </c>
      <c r="H390" s="88">
        <v>6</v>
      </c>
      <c r="I390" s="85">
        <v>712</v>
      </c>
      <c r="J390" s="93">
        <v>178</v>
      </c>
      <c r="K390" s="143">
        <f t="shared" si="39"/>
        <v>178</v>
      </c>
      <c r="L390" s="207">
        <f t="shared" si="40"/>
        <v>4</v>
      </c>
      <c r="M390" s="145">
        <v>257288</v>
      </c>
      <c r="N390" s="146">
        <v>26005</v>
      </c>
      <c r="O390" s="218">
        <f t="shared" si="36"/>
        <v>9.893789655835416</v>
      </c>
      <c r="P390" s="232"/>
    </row>
    <row r="391" spans="1:16" ht="15">
      <c r="A391" s="91">
        <v>388</v>
      </c>
      <c r="B391" s="56" t="s">
        <v>17</v>
      </c>
      <c r="C391" s="41">
        <v>39339</v>
      </c>
      <c r="D391" s="299" t="s">
        <v>48</v>
      </c>
      <c r="E391" s="299" t="s">
        <v>18</v>
      </c>
      <c r="F391" s="43">
        <v>25</v>
      </c>
      <c r="G391" s="43">
        <v>1</v>
      </c>
      <c r="H391" s="43">
        <v>1</v>
      </c>
      <c r="I391" s="187">
        <v>695</v>
      </c>
      <c r="J391" s="188">
        <v>139</v>
      </c>
      <c r="K391" s="206">
        <f t="shared" si="39"/>
        <v>139</v>
      </c>
      <c r="L391" s="207">
        <f t="shared" si="40"/>
        <v>5</v>
      </c>
      <c r="M391" s="191">
        <v>281514</v>
      </c>
      <c r="N391" s="189">
        <v>29431</v>
      </c>
      <c r="O391" s="218">
        <f t="shared" si="36"/>
        <v>9.565220345893785</v>
      </c>
      <c r="P391" s="232"/>
    </row>
    <row r="392" spans="1:16" ht="15">
      <c r="A392" s="91">
        <v>389</v>
      </c>
      <c r="B392" s="56" t="s">
        <v>213</v>
      </c>
      <c r="C392" s="41">
        <v>39087</v>
      </c>
      <c r="D392" s="46" t="s">
        <v>41</v>
      </c>
      <c r="E392" s="46" t="s">
        <v>46</v>
      </c>
      <c r="F392" s="43">
        <v>80</v>
      </c>
      <c r="G392" s="43">
        <v>1</v>
      </c>
      <c r="H392" s="43">
        <v>30</v>
      </c>
      <c r="I392" s="86">
        <v>691</v>
      </c>
      <c r="J392" s="188">
        <v>68</v>
      </c>
      <c r="K392" s="206">
        <f t="shared" si="39"/>
        <v>68</v>
      </c>
      <c r="L392" s="207">
        <f t="shared" si="40"/>
        <v>10.161764705882353</v>
      </c>
      <c r="M392" s="135">
        <f>1367+686114+384405+247619+146119+85619+63759-1+18934+11869+10791+11315+6907+8812+6730+2628+1465+749+1063+756+276+1198+612+510+45+1062+592+1782+205+893+893+2490+691</f>
        <v>1708269</v>
      </c>
      <c r="N392" s="189">
        <f>80773+116+46317+29887+17891+10484+7685+2801+1917+1334+1333+755+1517+932+417+307+136+369+126+23+122+85+45+5+126+49+510+33+296+296+415+68</f>
        <v>207170</v>
      </c>
      <c r="O392" s="218">
        <f t="shared" si="36"/>
        <v>8.245735386397644</v>
      </c>
      <c r="P392" s="232">
        <v>1</v>
      </c>
    </row>
    <row r="393" spans="1:16" ht="15">
      <c r="A393" s="91">
        <v>390</v>
      </c>
      <c r="B393" s="330" t="s">
        <v>470</v>
      </c>
      <c r="C393" s="323">
        <v>39430</v>
      </c>
      <c r="D393" s="322" t="s">
        <v>42</v>
      </c>
      <c r="E393" s="322" t="s">
        <v>66</v>
      </c>
      <c r="F393" s="324">
        <v>242</v>
      </c>
      <c r="G393" s="324">
        <v>2</v>
      </c>
      <c r="H393" s="324">
        <v>27</v>
      </c>
      <c r="I393" s="325">
        <v>685</v>
      </c>
      <c r="J393" s="326">
        <v>314</v>
      </c>
      <c r="K393" s="327">
        <f t="shared" si="39"/>
        <v>157</v>
      </c>
      <c r="L393" s="328">
        <f t="shared" si="40"/>
        <v>2.1815286624203822</v>
      </c>
      <c r="M393" s="329">
        <v>15282935</v>
      </c>
      <c r="N393" s="327">
        <v>1985768</v>
      </c>
      <c r="O393" s="331">
        <f t="shared" si="36"/>
        <v>7.696233900435499</v>
      </c>
      <c r="P393" s="232">
        <v>1</v>
      </c>
    </row>
    <row r="394" spans="1:16" ht="15">
      <c r="A394" s="91">
        <v>391</v>
      </c>
      <c r="B394" s="56" t="s">
        <v>300</v>
      </c>
      <c r="C394" s="41">
        <v>39437</v>
      </c>
      <c r="D394" s="46" t="s">
        <v>425</v>
      </c>
      <c r="E394" s="46" t="s">
        <v>289</v>
      </c>
      <c r="F394" s="43">
        <v>7</v>
      </c>
      <c r="G394" s="43">
        <v>2</v>
      </c>
      <c r="H394" s="43">
        <v>14</v>
      </c>
      <c r="I394" s="187">
        <v>682</v>
      </c>
      <c r="J394" s="188">
        <v>134</v>
      </c>
      <c r="K394" s="206">
        <f t="shared" si="39"/>
        <v>67</v>
      </c>
      <c r="L394" s="207">
        <f t="shared" si="40"/>
        <v>5.08955223880597</v>
      </c>
      <c r="M394" s="191">
        <v>50600.7</v>
      </c>
      <c r="N394" s="189">
        <v>7085</v>
      </c>
      <c r="O394" s="218">
        <f t="shared" si="36"/>
        <v>7.141947776993648</v>
      </c>
      <c r="P394" s="232">
        <v>1</v>
      </c>
    </row>
    <row r="395" spans="1:16" ht="15">
      <c r="A395" s="91">
        <v>392</v>
      </c>
      <c r="B395" s="55" t="s">
        <v>281</v>
      </c>
      <c r="C395" s="41">
        <v>39416</v>
      </c>
      <c r="D395" s="45" t="s">
        <v>41</v>
      </c>
      <c r="E395" s="44" t="s">
        <v>140</v>
      </c>
      <c r="F395" s="63">
        <v>123</v>
      </c>
      <c r="G395" s="63">
        <v>3</v>
      </c>
      <c r="H395" s="63">
        <v>13</v>
      </c>
      <c r="I395" s="197">
        <v>682</v>
      </c>
      <c r="J395" s="198">
        <v>107</v>
      </c>
      <c r="K395" s="206">
        <f t="shared" si="39"/>
        <v>35.666666666666664</v>
      </c>
      <c r="L395" s="207">
        <f t="shared" si="40"/>
        <v>6.373831775700935</v>
      </c>
      <c r="M395" s="199">
        <f>155416+1136619+622980+528056+225392+174199+84508+58425+34257+3403+1276+1707+633+682</f>
        <v>3027553</v>
      </c>
      <c r="N395" s="200">
        <f>12079+122083+66530+52286+18245+17821+7913+4333+2998+686+289+388+102+107</f>
        <v>305860</v>
      </c>
      <c r="O395" s="218">
        <f t="shared" si="36"/>
        <v>9.89849277447198</v>
      </c>
      <c r="P395" s="232"/>
    </row>
    <row r="396" spans="1:16" ht="15">
      <c r="A396" s="91">
        <v>393</v>
      </c>
      <c r="B396" s="62" t="s">
        <v>518</v>
      </c>
      <c r="C396" s="41">
        <v>39444</v>
      </c>
      <c r="D396" s="47" t="s">
        <v>468</v>
      </c>
      <c r="E396" s="47" t="s">
        <v>468</v>
      </c>
      <c r="F396" s="58">
        <v>14</v>
      </c>
      <c r="G396" s="58">
        <v>2</v>
      </c>
      <c r="H396" s="58">
        <v>10</v>
      </c>
      <c r="I396" s="85">
        <v>680</v>
      </c>
      <c r="J396" s="93">
        <v>198</v>
      </c>
      <c r="K396" s="143">
        <f t="shared" si="39"/>
        <v>99</v>
      </c>
      <c r="L396" s="207">
        <f t="shared" si="40"/>
        <v>3.4343434343434343</v>
      </c>
      <c r="M396" s="145">
        <v>237830</v>
      </c>
      <c r="N396" s="146">
        <v>23879</v>
      </c>
      <c r="O396" s="218">
        <f t="shared" si="36"/>
        <v>9.959797311445202</v>
      </c>
      <c r="P396" s="232"/>
    </row>
    <row r="397" spans="1:16" ht="15">
      <c r="A397" s="91">
        <v>394</v>
      </c>
      <c r="B397" s="56" t="s">
        <v>2</v>
      </c>
      <c r="C397" s="42">
        <v>38982</v>
      </c>
      <c r="D397" s="46" t="s">
        <v>43</v>
      </c>
      <c r="E397" s="46" t="s">
        <v>580</v>
      </c>
      <c r="F397" s="43">
        <v>22</v>
      </c>
      <c r="G397" s="43">
        <v>1</v>
      </c>
      <c r="H397" s="43">
        <v>21</v>
      </c>
      <c r="I397" s="86">
        <v>670</v>
      </c>
      <c r="J397" s="95">
        <v>134</v>
      </c>
      <c r="K397" s="143">
        <f t="shared" si="39"/>
        <v>134</v>
      </c>
      <c r="L397" s="144">
        <f t="shared" si="40"/>
        <v>5</v>
      </c>
      <c r="M397" s="135">
        <f>3328+88936+72443+39965+18882.5+6077.5+5686+14+3018.5+3786.5+1139+330+3589+2376+1782-5190.5+2376+1510.5+184+1901+2376+2376+670</f>
        <v>257556</v>
      </c>
      <c r="N397" s="133">
        <f>378+10550+8764+4872+2835+1083+1168+2+689+746+279+66+705+446+165+475+302+23+475+594+594+134</f>
        <v>35345</v>
      </c>
      <c r="O397" s="81">
        <f t="shared" si="36"/>
        <v>7.286914697977083</v>
      </c>
      <c r="P397" s="232">
        <v>1</v>
      </c>
    </row>
    <row r="398" spans="1:16" ht="15">
      <c r="A398" s="91">
        <v>395</v>
      </c>
      <c r="B398" s="57" t="s">
        <v>386</v>
      </c>
      <c r="C398" s="41">
        <v>39437</v>
      </c>
      <c r="D398" s="47" t="s">
        <v>223</v>
      </c>
      <c r="E398" s="47" t="s">
        <v>550</v>
      </c>
      <c r="F398" s="64" t="s">
        <v>387</v>
      </c>
      <c r="G398" s="64" t="s">
        <v>436</v>
      </c>
      <c r="H398" s="64" t="s">
        <v>428</v>
      </c>
      <c r="I398" s="197">
        <v>665</v>
      </c>
      <c r="J398" s="198">
        <v>135</v>
      </c>
      <c r="K398" s="206">
        <f t="shared" si="39"/>
        <v>33.75</v>
      </c>
      <c r="L398" s="207">
        <f t="shared" si="40"/>
        <v>4.925925925925926</v>
      </c>
      <c r="M398" s="199">
        <v>77917.5</v>
      </c>
      <c r="N398" s="200">
        <v>8195</v>
      </c>
      <c r="O398" s="218">
        <f t="shared" si="36"/>
        <v>9.507931665649787</v>
      </c>
      <c r="P398" s="232"/>
    </row>
    <row r="399" spans="1:16" ht="15">
      <c r="A399" s="91">
        <v>396</v>
      </c>
      <c r="B399" s="56" t="s">
        <v>411</v>
      </c>
      <c r="C399" s="41">
        <v>39220</v>
      </c>
      <c r="D399" s="46" t="s">
        <v>425</v>
      </c>
      <c r="E399" s="46" t="s">
        <v>50</v>
      </c>
      <c r="F399" s="43">
        <v>88</v>
      </c>
      <c r="G399" s="43">
        <v>1</v>
      </c>
      <c r="H399" s="43">
        <v>41</v>
      </c>
      <c r="I399" s="187">
        <v>657</v>
      </c>
      <c r="J399" s="188">
        <v>131</v>
      </c>
      <c r="K399" s="206">
        <f t="shared" si="39"/>
        <v>131</v>
      </c>
      <c r="L399" s="207">
        <f t="shared" si="40"/>
        <v>5.015267175572519</v>
      </c>
      <c r="M399" s="191">
        <v>592271</v>
      </c>
      <c r="N399" s="189">
        <v>87558</v>
      </c>
      <c r="O399" s="218">
        <f t="shared" si="36"/>
        <v>6.764327645674867</v>
      </c>
      <c r="P399" s="232"/>
    </row>
    <row r="400" spans="1:16" ht="15">
      <c r="A400" s="91">
        <v>397</v>
      </c>
      <c r="B400" s="77" t="s">
        <v>275</v>
      </c>
      <c r="C400" s="61">
        <v>39416</v>
      </c>
      <c r="D400" s="80" t="s">
        <v>412</v>
      </c>
      <c r="E400" s="80" t="s">
        <v>293</v>
      </c>
      <c r="F400" s="78">
        <v>45</v>
      </c>
      <c r="G400" s="79">
        <v>2</v>
      </c>
      <c r="H400" s="79">
        <v>8</v>
      </c>
      <c r="I400" s="201">
        <v>654</v>
      </c>
      <c r="J400" s="202">
        <v>109</v>
      </c>
      <c r="K400" s="203">
        <v>92.17647058823529</v>
      </c>
      <c r="L400" s="204">
        <v>5.0644543714103385</v>
      </c>
      <c r="M400" s="205">
        <v>172737.5</v>
      </c>
      <c r="N400" s="214">
        <v>25144</v>
      </c>
      <c r="O400" s="217">
        <f>M400/N400</f>
        <v>6.869929207763284</v>
      </c>
      <c r="P400" s="232"/>
    </row>
    <row r="401" spans="1:16" ht="15">
      <c r="A401" s="91">
        <v>398</v>
      </c>
      <c r="B401" s="330" t="s">
        <v>395</v>
      </c>
      <c r="C401" s="323">
        <v>39402</v>
      </c>
      <c r="D401" s="322" t="s">
        <v>81</v>
      </c>
      <c r="E401" s="322" t="s">
        <v>396</v>
      </c>
      <c r="F401" s="324">
        <v>165</v>
      </c>
      <c r="G401" s="324">
        <v>5</v>
      </c>
      <c r="H401" s="324">
        <v>31</v>
      </c>
      <c r="I401" s="325">
        <v>653</v>
      </c>
      <c r="J401" s="326">
        <v>133</v>
      </c>
      <c r="K401" s="327">
        <v>26.6</v>
      </c>
      <c r="L401" s="328">
        <v>4.909774436090226</v>
      </c>
      <c r="M401" s="329">
        <v>14439575.5</v>
      </c>
      <c r="N401" s="327">
        <v>1962693</v>
      </c>
      <c r="O401" s="331">
        <v>7.357021959114339</v>
      </c>
      <c r="P401" s="232">
        <v>1</v>
      </c>
    </row>
    <row r="402" spans="1:16" ht="15">
      <c r="A402" s="91">
        <v>399</v>
      </c>
      <c r="B402" s="56" t="s">
        <v>301</v>
      </c>
      <c r="C402" s="41">
        <v>39437</v>
      </c>
      <c r="D402" s="46" t="s">
        <v>42</v>
      </c>
      <c r="E402" s="46" t="s">
        <v>298</v>
      </c>
      <c r="F402" s="43">
        <v>137</v>
      </c>
      <c r="G402" s="43">
        <v>1</v>
      </c>
      <c r="H402" s="43">
        <v>16</v>
      </c>
      <c r="I402" s="187">
        <v>651</v>
      </c>
      <c r="J402" s="188">
        <v>119</v>
      </c>
      <c r="K402" s="206">
        <f>J402/G402</f>
        <v>119</v>
      </c>
      <c r="L402" s="207">
        <f>I402/J402</f>
        <v>5.470588235294118</v>
      </c>
      <c r="M402" s="191">
        <v>2787548</v>
      </c>
      <c r="N402" s="189">
        <v>336559</v>
      </c>
      <c r="O402" s="218">
        <f>+M402/N402</f>
        <v>8.282494302633417</v>
      </c>
      <c r="P402" s="316"/>
    </row>
    <row r="403" spans="1:16" ht="15">
      <c r="A403" s="91">
        <v>400</v>
      </c>
      <c r="B403" s="57" t="s">
        <v>353</v>
      </c>
      <c r="C403" s="41">
        <v>39444</v>
      </c>
      <c r="D403" s="47" t="s">
        <v>432</v>
      </c>
      <c r="E403" s="47" t="s">
        <v>98</v>
      </c>
      <c r="F403" s="64" t="s">
        <v>515</v>
      </c>
      <c r="G403" s="64" t="s">
        <v>424</v>
      </c>
      <c r="H403" s="64" t="s">
        <v>106</v>
      </c>
      <c r="I403" s="85">
        <v>650</v>
      </c>
      <c r="J403" s="93">
        <v>130</v>
      </c>
      <c r="K403" s="143">
        <f>J403/G403</f>
        <v>130</v>
      </c>
      <c r="L403" s="207">
        <f>I403/J403</f>
        <v>5</v>
      </c>
      <c r="M403" s="145">
        <v>21730.5</v>
      </c>
      <c r="N403" s="146">
        <v>2871</v>
      </c>
      <c r="O403" s="216">
        <f>+M403/N403</f>
        <v>7.568965517241379</v>
      </c>
      <c r="P403" s="232"/>
    </row>
    <row r="404" spans="1:16" ht="15">
      <c r="A404" s="91">
        <v>401</v>
      </c>
      <c r="B404" s="56" t="s">
        <v>215</v>
      </c>
      <c r="C404" s="42">
        <v>39374</v>
      </c>
      <c r="D404" s="46" t="s">
        <v>43</v>
      </c>
      <c r="E404" s="46" t="s">
        <v>414</v>
      </c>
      <c r="F404" s="88">
        <v>39</v>
      </c>
      <c r="G404" s="43">
        <v>1</v>
      </c>
      <c r="H404" s="43">
        <v>10</v>
      </c>
      <c r="I404" s="86">
        <v>641</v>
      </c>
      <c r="J404" s="95">
        <v>79</v>
      </c>
      <c r="K404" s="136">
        <f>IF(I404&lt;&gt;0,J404/G404,"")</f>
        <v>79</v>
      </c>
      <c r="L404" s="195">
        <f>IF(I404&lt;&gt;0,I404/J404,"")</f>
        <v>8.113924050632912</v>
      </c>
      <c r="M404" s="135">
        <f>193896+140010.5+57324.5+26118.5+5412+1745+373+987+278+641</f>
        <v>426785.5</v>
      </c>
      <c r="N404" s="133">
        <f>18661+13413+6688+4184+739+267+43+233+57+79</f>
        <v>44364</v>
      </c>
      <c r="O404" s="216">
        <f>IF(M404&lt;&gt;0,M404/N404,"")</f>
        <v>9.620086105851591</v>
      </c>
      <c r="P404" s="232"/>
    </row>
    <row r="405" spans="1:16" ht="15">
      <c r="A405" s="91">
        <v>402</v>
      </c>
      <c r="B405" s="56" t="s">
        <v>411</v>
      </c>
      <c r="C405" s="41">
        <v>39220</v>
      </c>
      <c r="D405" s="46" t="s">
        <v>425</v>
      </c>
      <c r="E405" s="46" t="s">
        <v>50</v>
      </c>
      <c r="F405" s="43">
        <v>88</v>
      </c>
      <c r="G405" s="43">
        <v>1</v>
      </c>
      <c r="H405" s="43">
        <v>40</v>
      </c>
      <c r="I405" s="354">
        <v>639</v>
      </c>
      <c r="J405" s="355">
        <v>118</v>
      </c>
      <c r="K405" s="143">
        <f>J405/G405</f>
        <v>118</v>
      </c>
      <c r="L405" s="144">
        <f>I405/J405</f>
        <v>5.415254237288136</v>
      </c>
      <c r="M405" s="135">
        <v>591614</v>
      </c>
      <c r="N405" s="133">
        <v>87427</v>
      </c>
      <c r="O405" s="81">
        <f>+M405/N405</f>
        <v>6.766948425543596</v>
      </c>
      <c r="P405" s="232"/>
    </row>
    <row r="406" spans="1:16" ht="15">
      <c r="A406" s="91">
        <v>403</v>
      </c>
      <c r="B406" s="55" t="s">
        <v>281</v>
      </c>
      <c r="C406" s="41">
        <v>39416</v>
      </c>
      <c r="D406" s="45" t="s">
        <v>41</v>
      </c>
      <c r="E406" s="44" t="s">
        <v>140</v>
      </c>
      <c r="F406" s="63">
        <v>123</v>
      </c>
      <c r="G406" s="63">
        <v>3</v>
      </c>
      <c r="H406" s="63">
        <v>12</v>
      </c>
      <c r="I406" s="197">
        <v>633</v>
      </c>
      <c r="J406" s="198">
        <v>102</v>
      </c>
      <c r="K406" s="206">
        <f>J406/G406</f>
        <v>34</v>
      </c>
      <c r="L406" s="144">
        <f>I406/J406</f>
        <v>6.205882352941177</v>
      </c>
      <c r="M406" s="199">
        <f>155416+1136619+622980+528056+225392+174199+84508+58425+34257+3403+1276+1707+633</f>
        <v>3026871</v>
      </c>
      <c r="N406" s="200">
        <f>12079+122083+66530+52286+18245+17821+7913+4333+2998+686+289+388+102</f>
        <v>305753</v>
      </c>
      <c r="O406" s="81">
        <f>+M406/N406</f>
        <v>9.89972624961979</v>
      </c>
      <c r="P406" s="232">
        <v>1</v>
      </c>
    </row>
    <row r="407" spans="1:16" ht="15">
      <c r="A407" s="91">
        <v>404</v>
      </c>
      <c r="B407" s="56" t="s">
        <v>397</v>
      </c>
      <c r="C407" s="41">
        <v>39402</v>
      </c>
      <c r="D407" s="46" t="s">
        <v>42</v>
      </c>
      <c r="E407" s="46" t="s">
        <v>217</v>
      </c>
      <c r="F407" s="43">
        <v>130</v>
      </c>
      <c r="G407" s="43">
        <v>2</v>
      </c>
      <c r="H407" s="43">
        <v>22</v>
      </c>
      <c r="I407" s="86">
        <v>631</v>
      </c>
      <c r="J407" s="95">
        <v>144</v>
      </c>
      <c r="K407" s="143">
        <f>J407/G407</f>
        <v>72</v>
      </c>
      <c r="L407" s="144">
        <f>+I407/J407</f>
        <v>4.381944444444445</v>
      </c>
      <c r="M407" s="135">
        <v>2097755</v>
      </c>
      <c r="N407" s="133">
        <v>265950</v>
      </c>
      <c r="O407" s="81">
        <f>+M407/N407</f>
        <v>7.88777965783042</v>
      </c>
      <c r="P407" s="232"/>
    </row>
    <row r="408" spans="1:16" ht="15">
      <c r="A408" s="91">
        <v>405</v>
      </c>
      <c r="B408" s="77" t="s">
        <v>292</v>
      </c>
      <c r="C408" s="61">
        <v>39339</v>
      </c>
      <c r="D408" s="80" t="s">
        <v>412</v>
      </c>
      <c r="E408" s="80" t="s">
        <v>293</v>
      </c>
      <c r="F408" s="78">
        <v>79</v>
      </c>
      <c r="G408" s="79">
        <v>2</v>
      </c>
      <c r="H408" s="79">
        <v>18</v>
      </c>
      <c r="I408" s="201">
        <v>628</v>
      </c>
      <c r="J408" s="202">
        <v>190</v>
      </c>
      <c r="K408" s="203">
        <v>7.333333333333333</v>
      </c>
      <c r="L408" s="204">
        <v>6.363636363636363</v>
      </c>
      <c r="M408" s="205">
        <v>308527</v>
      </c>
      <c r="N408" s="206">
        <v>48739</v>
      </c>
      <c r="O408" s="217">
        <f>M408/N408</f>
        <v>6.330187324319334</v>
      </c>
      <c r="P408" s="232"/>
    </row>
    <row r="409" spans="1:16" ht="15">
      <c r="A409" s="91">
        <v>406</v>
      </c>
      <c r="B409" s="62" t="s">
        <v>319</v>
      </c>
      <c r="C409" s="41">
        <v>39423</v>
      </c>
      <c r="D409" s="47" t="s">
        <v>468</v>
      </c>
      <c r="E409" s="47" t="s">
        <v>504</v>
      </c>
      <c r="F409" s="58">
        <v>1</v>
      </c>
      <c r="G409" s="58">
        <v>1</v>
      </c>
      <c r="H409" s="58">
        <v>36</v>
      </c>
      <c r="I409" s="197">
        <v>623</v>
      </c>
      <c r="J409" s="198">
        <v>178</v>
      </c>
      <c r="K409" s="194">
        <f>+J409/G409</f>
        <v>178</v>
      </c>
      <c r="L409" s="195">
        <f>+I409/J409</f>
        <v>3.5</v>
      </c>
      <c r="M409" s="199">
        <v>32027</v>
      </c>
      <c r="N409" s="200">
        <v>3394</v>
      </c>
      <c r="O409" s="216">
        <f>+M409/N409</f>
        <v>9.43635827931644</v>
      </c>
      <c r="P409" s="333"/>
    </row>
    <row r="410" spans="1:16" ht="15">
      <c r="A410" s="91">
        <v>407</v>
      </c>
      <c r="B410" s="55" t="s">
        <v>395</v>
      </c>
      <c r="C410" s="41">
        <v>39402</v>
      </c>
      <c r="D410" s="44" t="s">
        <v>81</v>
      </c>
      <c r="E410" s="44" t="s">
        <v>396</v>
      </c>
      <c r="F410" s="63">
        <v>165</v>
      </c>
      <c r="G410" s="63">
        <v>2</v>
      </c>
      <c r="H410" s="63">
        <v>37</v>
      </c>
      <c r="I410" s="192">
        <v>621</v>
      </c>
      <c r="J410" s="193">
        <v>127</v>
      </c>
      <c r="K410" s="194">
        <f>IF(I410&lt;&gt;0,J410/G410,"")</f>
        <v>63.5</v>
      </c>
      <c r="L410" s="195">
        <f>IF(I410&lt;&gt;0,I410/J410,"")</f>
        <v>4.889763779527559</v>
      </c>
      <c r="M410" s="196">
        <f>14579887.5+621</f>
        <v>14580508.5</v>
      </c>
      <c r="N410" s="189">
        <f>2008972+127</f>
        <v>2009099</v>
      </c>
      <c r="O410" s="216">
        <f>IF(M410&lt;&gt;0,M410/N410,"")</f>
        <v>7.257237448229281</v>
      </c>
      <c r="P410" s="333"/>
    </row>
    <row r="411" spans="1:16" ht="15">
      <c r="A411" s="91">
        <v>408</v>
      </c>
      <c r="B411" s="56" t="s">
        <v>144</v>
      </c>
      <c r="C411" s="41">
        <v>39381</v>
      </c>
      <c r="D411" s="46" t="s">
        <v>425</v>
      </c>
      <c r="E411" s="46" t="s">
        <v>355</v>
      </c>
      <c r="F411" s="43">
        <v>10</v>
      </c>
      <c r="G411" s="43">
        <v>1</v>
      </c>
      <c r="H411" s="43">
        <v>14</v>
      </c>
      <c r="I411" s="187">
        <v>620</v>
      </c>
      <c r="J411" s="188">
        <v>124</v>
      </c>
      <c r="K411" s="206">
        <f>J411/G411</f>
        <v>124</v>
      </c>
      <c r="L411" s="207">
        <f>I411/J411</f>
        <v>5</v>
      </c>
      <c r="M411" s="191">
        <v>221972.7</v>
      </c>
      <c r="N411" s="189">
        <v>25114</v>
      </c>
      <c r="O411" s="218">
        <f aca="true" t="shared" si="41" ref="O411:O417">+M411/N411</f>
        <v>8.838603965915427</v>
      </c>
      <c r="P411" s="232">
        <v>1</v>
      </c>
    </row>
    <row r="412" spans="1:16" ht="18">
      <c r="A412" s="91">
        <v>409</v>
      </c>
      <c r="B412" s="57" t="s">
        <v>505</v>
      </c>
      <c r="C412" s="41">
        <v>39269</v>
      </c>
      <c r="D412" s="44" t="s">
        <v>223</v>
      </c>
      <c r="E412" s="44" t="s">
        <v>223</v>
      </c>
      <c r="F412" s="64" t="s">
        <v>430</v>
      </c>
      <c r="G412" s="64" t="s">
        <v>424</v>
      </c>
      <c r="H412" s="64" t="s">
        <v>387</v>
      </c>
      <c r="I412" s="197">
        <v>617</v>
      </c>
      <c r="J412" s="198">
        <v>107</v>
      </c>
      <c r="K412" s="194">
        <f>+J412/G412</f>
        <v>107</v>
      </c>
      <c r="L412" s="195">
        <f>+I412/J412</f>
        <v>5.766355140186916</v>
      </c>
      <c r="M412" s="199">
        <v>204628.19</v>
      </c>
      <c r="N412" s="200">
        <v>30551</v>
      </c>
      <c r="O412" s="218">
        <f t="shared" si="41"/>
        <v>6.697921180976073</v>
      </c>
      <c r="P412" s="317"/>
    </row>
    <row r="413" spans="1:16" ht="15">
      <c r="A413" s="91">
        <v>410</v>
      </c>
      <c r="B413" s="55" t="s">
        <v>142</v>
      </c>
      <c r="C413" s="41">
        <v>39381</v>
      </c>
      <c r="D413" s="45" t="s">
        <v>41</v>
      </c>
      <c r="E413" s="44" t="s">
        <v>52</v>
      </c>
      <c r="F413" s="63">
        <v>144</v>
      </c>
      <c r="G413" s="63">
        <v>1</v>
      </c>
      <c r="H413" s="63">
        <v>11</v>
      </c>
      <c r="I413" s="85">
        <v>616</v>
      </c>
      <c r="J413" s="93">
        <v>90</v>
      </c>
      <c r="K413" s="143">
        <f aca="true" t="shared" si="42" ref="K413:K445">J413/G413</f>
        <v>90</v>
      </c>
      <c r="L413" s="144">
        <f>I413/J413</f>
        <v>6.844444444444444</v>
      </c>
      <c r="M413" s="145">
        <f>2013361+924282+612528+224314+161621+67993+19442+6068+2170+613+616</f>
        <v>4033008</v>
      </c>
      <c r="N413" s="146">
        <f>250162+117111+77738+30679+29851+12478+4485+1923+349+89+90</f>
        <v>524955</v>
      </c>
      <c r="O413" s="81">
        <f t="shared" si="41"/>
        <v>7.682578506729148</v>
      </c>
      <c r="P413" s="232"/>
    </row>
    <row r="414" spans="1:16" ht="15">
      <c r="A414" s="91">
        <v>411</v>
      </c>
      <c r="B414" s="56" t="s">
        <v>319</v>
      </c>
      <c r="C414" s="41">
        <v>39423</v>
      </c>
      <c r="D414" s="46" t="s">
        <v>468</v>
      </c>
      <c r="E414" s="46" t="s">
        <v>468</v>
      </c>
      <c r="F414" s="43">
        <v>1</v>
      </c>
      <c r="G414" s="43">
        <v>1</v>
      </c>
      <c r="H414" s="43">
        <v>31</v>
      </c>
      <c r="I414" s="86">
        <v>616</v>
      </c>
      <c r="J414" s="95">
        <v>67</v>
      </c>
      <c r="K414" s="133">
        <f t="shared" si="42"/>
        <v>67</v>
      </c>
      <c r="L414" s="190">
        <f>I414/J414</f>
        <v>9.194029850746269</v>
      </c>
      <c r="M414" s="135">
        <v>27666</v>
      </c>
      <c r="N414" s="133">
        <v>2539</v>
      </c>
      <c r="O414" s="215">
        <f t="shared" si="41"/>
        <v>10.89641591177629</v>
      </c>
      <c r="P414" s="232"/>
    </row>
    <row r="415" spans="1:16" ht="15">
      <c r="A415" s="91">
        <v>412</v>
      </c>
      <c r="B415" s="57" t="s">
        <v>393</v>
      </c>
      <c r="C415" s="41">
        <v>39395</v>
      </c>
      <c r="D415" s="47" t="s">
        <v>223</v>
      </c>
      <c r="E415" s="47" t="s">
        <v>294</v>
      </c>
      <c r="F415" s="64" t="s">
        <v>549</v>
      </c>
      <c r="G415" s="64" t="s">
        <v>424</v>
      </c>
      <c r="H415" s="64" t="s">
        <v>515</v>
      </c>
      <c r="I415" s="85">
        <v>611</v>
      </c>
      <c r="J415" s="93">
        <v>178</v>
      </c>
      <c r="K415" s="143">
        <f t="shared" si="42"/>
        <v>178</v>
      </c>
      <c r="L415" s="144">
        <f>I415/J415</f>
        <v>3.432584269662921</v>
      </c>
      <c r="M415" s="145">
        <v>138360.98</v>
      </c>
      <c r="N415" s="146">
        <v>22412</v>
      </c>
      <c r="O415" s="81">
        <f t="shared" si="41"/>
        <v>6.173522220239158</v>
      </c>
      <c r="P415" s="232"/>
    </row>
    <row r="416" spans="1:16" ht="15">
      <c r="A416" s="91">
        <v>413</v>
      </c>
      <c r="B416" s="57" t="s">
        <v>386</v>
      </c>
      <c r="C416" s="41">
        <v>39437</v>
      </c>
      <c r="D416" s="47" t="s">
        <v>223</v>
      </c>
      <c r="E416" s="47" t="s">
        <v>550</v>
      </c>
      <c r="F416" s="64" t="s">
        <v>387</v>
      </c>
      <c r="G416" s="64" t="s">
        <v>516</v>
      </c>
      <c r="H416" s="64" t="s">
        <v>436</v>
      </c>
      <c r="I416" s="197">
        <v>610</v>
      </c>
      <c r="J416" s="198">
        <v>115</v>
      </c>
      <c r="K416" s="206">
        <f t="shared" si="42"/>
        <v>19.166666666666668</v>
      </c>
      <c r="L416" s="207">
        <f>I416/J416</f>
        <v>5.304347826086956</v>
      </c>
      <c r="M416" s="199">
        <v>77252.5</v>
      </c>
      <c r="N416" s="200">
        <v>8060</v>
      </c>
      <c r="O416" s="218">
        <f t="shared" si="41"/>
        <v>9.584677419354838</v>
      </c>
      <c r="P416" s="232">
        <v>1</v>
      </c>
    </row>
    <row r="417" spans="1:16" ht="15">
      <c r="A417" s="91">
        <v>414</v>
      </c>
      <c r="B417" s="56" t="s">
        <v>398</v>
      </c>
      <c r="C417" s="41">
        <v>39402</v>
      </c>
      <c r="D417" s="46" t="s">
        <v>43</v>
      </c>
      <c r="E417" s="46" t="s">
        <v>467</v>
      </c>
      <c r="F417" s="43">
        <v>125</v>
      </c>
      <c r="G417" s="43">
        <v>1</v>
      </c>
      <c r="H417" s="43">
        <v>18</v>
      </c>
      <c r="I417" s="187">
        <v>606</v>
      </c>
      <c r="J417" s="188">
        <v>120</v>
      </c>
      <c r="K417" s="206">
        <f t="shared" si="42"/>
        <v>120</v>
      </c>
      <c r="L417" s="207">
        <f>+I417/J417</f>
        <v>5.05</v>
      </c>
      <c r="M417" s="191">
        <f>676439.5+554539.5+408532.5+265092+4+63975.5-30+36417+32233.5+29355.5+9292+4684+3839.75+6311.5+292.5+748+464+444+276+606</f>
        <v>2093516.75</v>
      </c>
      <c r="N417" s="189">
        <f>91933+76364+57186+39863+2+10711+6714+6020+5300+2353+1269+898+1545+86+187+116+111+69+120</f>
        <v>300847</v>
      </c>
      <c r="O417" s="218">
        <f t="shared" si="41"/>
        <v>6.958742317523526</v>
      </c>
      <c r="P417" s="333"/>
    </row>
    <row r="418" spans="1:16" ht="15">
      <c r="A418" s="91">
        <v>415</v>
      </c>
      <c r="B418" s="330" t="s">
        <v>275</v>
      </c>
      <c r="C418" s="323">
        <v>39416</v>
      </c>
      <c r="D418" s="322" t="s">
        <v>412</v>
      </c>
      <c r="E418" s="322" t="s">
        <v>293</v>
      </c>
      <c r="F418" s="324">
        <v>45</v>
      </c>
      <c r="G418" s="324">
        <v>1</v>
      </c>
      <c r="H418" s="324">
        <v>18</v>
      </c>
      <c r="I418" s="325">
        <v>604.5</v>
      </c>
      <c r="J418" s="326">
        <v>210</v>
      </c>
      <c r="K418" s="327">
        <f t="shared" si="42"/>
        <v>210</v>
      </c>
      <c r="L418" s="328">
        <f>I418/J418</f>
        <v>2.8785714285714286</v>
      </c>
      <c r="M418" s="329">
        <v>185635</v>
      </c>
      <c r="N418" s="327">
        <v>28232</v>
      </c>
      <c r="O418" s="331">
        <f>M418/N418</f>
        <v>6.575340039671295</v>
      </c>
      <c r="P418" s="232">
        <v>1</v>
      </c>
    </row>
    <row r="419" spans="1:16" ht="15">
      <c r="A419" s="91">
        <v>416</v>
      </c>
      <c r="B419" s="56" t="s">
        <v>275</v>
      </c>
      <c r="C419" s="41">
        <v>39416</v>
      </c>
      <c r="D419" s="46" t="s">
        <v>412</v>
      </c>
      <c r="E419" s="46" t="s">
        <v>293</v>
      </c>
      <c r="F419" s="43">
        <v>45</v>
      </c>
      <c r="G419" s="43">
        <v>1</v>
      </c>
      <c r="H419" s="43">
        <v>16</v>
      </c>
      <c r="I419" s="187">
        <v>604</v>
      </c>
      <c r="J419" s="188">
        <v>199</v>
      </c>
      <c r="K419" s="206">
        <f t="shared" si="42"/>
        <v>199</v>
      </c>
      <c r="L419" s="207">
        <f>I419/J419</f>
        <v>3.0351758793969847</v>
      </c>
      <c r="M419" s="191">
        <v>185030.5</v>
      </c>
      <c r="N419" s="189">
        <v>28022</v>
      </c>
      <c r="O419" s="218">
        <f>+M419/N419</f>
        <v>6.603044036828207</v>
      </c>
      <c r="P419" s="316"/>
    </row>
    <row r="420" spans="1:16" ht="15">
      <c r="A420" s="91">
        <v>417</v>
      </c>
      <c r="B420" s="56" t="s">
        <v>449</v>
      </c>
      <c r="C420" s="42">
        <v>39416</v>
      </c>
      <c r="D420" s="87" t="s">
        <v>42</v>
      </c>
      <c r="E420" s="87" t="s">
        <v>226</v>
      </c>
      <c r="F420" s="43">
        <v>11</v>
      </c>
      <c r="G420" s="43">
        <v>3</v>
      </c>
      <c r="H420" s="43">
        <v>9</v>
      </c>
      <c r="I420" s="187">
        <v>603</v>
      </c>
      <c r="J420" s="188">
        <v>109</v>
      </c>
      <c r="K420" s="189">
        <f t="shared" si="42"/>
        <v>36.333333333333336</v>
      </c>
      <c r="L420" s="190">
        <f>+I420/J420</f>
        <v>5.532110091743119</v>
      </c>
      <c r="M420" s="191">
        <v>33685</v>
      </c>
      <c r="N420" s="189">
        <v>4175</v>
      </c>
      <c r="O420" s="218">
        <f>+M420/N420</f>
        <v>8.068263473053893</v>
      </c>
      <c r="P420" s="232"/>
    </row>
    <row r="421" spans="1:16" ht="15">
      <c r="A421" s="91">
        <v>418</v>
      </c>
      <c r="B421" s="330" t="s">
        <v>213</v>
      </c>
      <c r="C421" s="323">
        <v>39087</v>
      </c>
      <c r="D421" s="322" t="s">
        <v>41</v>
      </c>
      <c r="E421" s="322" t="s">
        <v>46</v>
      </c>
      <c r="F421" s="324">
        <v>80</v>
      </c>
      <c r="G421" s="324">
        <v>1</v>
      </c>
      <c r="H421" s="324">
        <v>41</v>
      </c>
      <c r="I421" s="325">
        <v>600</v>
      </c>
      <c r="J421" s="326">
        <v>125</v>
      </c>
      <c r="K421" s="327">
        <f t="shared" si="42"/>
        <v>125</v>
      </c>
      <c r="L421" s="328">
        <f>I421/J421</f>
        <v>4.8</v>
      </c>
      <c r="M421" s="329">
        <f>1367+686114+384405+247619+146119+85619+63759-1+18934+11869+10791+11315+6907+8812+6730+2628+1465+749+1063+756+276+1198+612+510+45+1062+592+1782+205+893+893+2490+691+2542+60+12+1977+1181+455+192+233+12+15+515+600</f>
        <v>1716063</v>
      </c>
      <c r="N421" s="327">
        <f>80773+116+46317+29887+17891+10484+7685+2801+1917+1334+1333+755+1517+932+417+307+136+369+126+23+122+85+45+5+126+49+510+33+296+296+415+68+356+20+4+312+121+50+20+26+4+3+103+125</f>
        <v>208314</v>
      </c>
      <c r="O421" s="331">
        <f>+M421/N421</f>
        <v>8.237866874045912</v>
      </c>
      <c r="P421" s="316">
        <v>1</v>
      </c>
    </row>
    <row r="422" spans="1:16" ht="15">
      <c r="A422" s="91">
        <v>419</v>
      </c>
      <c r="B422" s="57" t="s">
        <v>144</v>
      </c>
      <c r="C422" s="42">
        <v>39381</v>
      </c>
      <c r="D422" s="47" t="s">
        <v>425</v>
      </c>
      <c r="E422" s="47" t="s">
        <v>145</v>
      </c>
      <c r="F422" s="88">
        <v>11</v>
      </c>
      <c r="G422" s="89">
        <v>1</v>
      </c>
      <c r="H422" s="88">
        <v>13</v>
      </c>
      <c r="I422" s="197">
        <v>594</v>
      </c>
      <c r="J422" s="198">
        <v>149</v>
      </c>
      <c r="K422" s="206">
        <f t="shared" si="42"/>
        <v>149</v>
      </c>
      <c r="L422" s="207">
        <f>I422/J422</f>
        <v>3.9865771812080535</v>
      </c>
      <c r="M422" s="199">
        <v>221352.7</v>
      </c>
      <c r="N422" s="200">
        <v>24990</v>
      </c>
      <c r="O422" s="218">
        <f>+M422/N422</f>
        <v>8.85765106042417</v>
      </c>
      <c r="P422" s="316"/>
    </row>
    <row r="423" spans="1:16" ht="15">
      <c r="A423" s="91">
        <v>420</v>
      </c>
      <c r="B423" s="56" t="s">
        <v>470</v>
      </c>
      <c r="C423" s="41">
        <v>39430</v>
      </c>
      <c r="D423" s="46" t="s">
        <v>42</v>
      </c>
      <c r="E423" s="46" t="s">
        <v>66</v>
      </c>
      <c r="F423" s="43">
        <v>242</v>
      </c>
      <c r="G423" s="43">
        <v>1</v>
      </c>
      <c r="H423" s="43">
        <v>22</v>
      </c>
      <c r="I423" s="187">
        <v>593</v>
      </c>
      <c r="J423" s="188">
        <v>203</v>
      </c>
      <c r="K423" s="206">
        <f t="shared" si="42"/>
        <v>203</v>
      </c>
      <c r="L423" s="207">
        <f>+I423/J423</f>
        <v>2.9211822660098523</v>
      </c>
      <c r="M423" s="191">
        <v>15282250</v>
      </c>
      <c r="N423" s="189">
        <v>1985454</v>
      </c>
      <c r="O423" s="218">
        <f>+M423/N423</f>
        <v>7.697106052318513</v>
      </c>
      <c r="P423" s="232"/>
    </row>
    <row r="424" spans="1:16" ht="15">
      <c r="A424" s="91">
        <v>421</v>
      </c>
      <c r="B424" s="56" t="s">
        <v>24</v>
      </c>
      <c r="C424" s="41">
        <v>39206</v>
      </c>
      <c r="D424" s="46" t="s">
        <v>412</v>
      </c>
      <c r="E424" s="46" t="s">
        <v>25</v>
      </c>
      <c r="F424" s="43">
        <v>81</v>
      </c>
      <c r="G424" s="43">
        <v>1</v>
      </c>
      <c r="H424" s="43">
        <v>31</v>
      </c>
      <c r="I424" s="86">
        <v>592</v>
      </c>
      <c r="J424" s="95">
        <v>114</v>
      </c>
      <c r="K424" s="143">
        <f t="shared" si="42"/>
        <v>114</v>
      </c>
      <c r="L424" s="144">
        <f>I424/J424</f>
        <v>5.192982456140351</v>
      </c>
      <c r="M424" s="135">
        <v>318242</v>
      </c>
      <c r="N424" s="133">
        <v>53745.666666666664</v>
      </c>
      <c r="O424" s="81">
        <f>M424/N424</f>
        <v>5.92125876814875</v>
      </c>
      <c r="P424" s="232"/>
    </row>
    <row r="425" spans="1:16" ht="15">
      <c r="A425" s="91">
        <v>422</v>
      </c>
      <c r="B425" s="56" t="s">
        <v>397</v>
      </c>
      <c r="C425" s="41">
        <v>39402</v>
      </c>
      <c r="D425" s="46" t="s">
        <v>42</v>
      </c>
      <c r="E425" s="46" t="s">
        <v>217</v>
      </c>
      <c r="F425" s="43">
        <v>130</v>
      </c>
      <c r="G425" s="43">
        <v>1</v>
      </c>
      <c r="H425" s="43">
        <v>18</v>
      </c>
      <c r="I425" s="187">
        <v>590</v>
      </c>
      <c r="J425" s="188">
        <v>350</v>
      </c>
      <c r="K425" s="206">
        <f t="shared" si="42"/>
        <v>350</v>
      </c>
      <c r="L425" s="207">
        <f>+I425/J425</f>
        <v>1.6857142857142857</v>
      </c>
      <c r="M425" s="191">
        <v>2096239</v>
      </c>
      <c r="N425" s="189">
        <v>265308</v>
      </c>
      <c r="O425" s="218">
        <f aca="true" t="shared" si="43" ref="O425:O436">+M425/N425</f>
        <v>7.9011526226122095</v>
      </c>
      <c r="P425" s="232"/>
    </row>
    <row r="426" spans="1:16" ht="15">
      <c r="A426" s="91">
        <v>423</v>
      </c>
      <c r="B426" s="56" t="s">
        <v>27</v>
      </c>
      <c r="C426" s="41">
        <v>39339</v>
      </c>
      <c r="D426" s="46" t="s">
        <v>41</v>
      </c>
      <c r="E426" s="46" t="s">
        <v>140</v>
      </c>
      <c r="F426" s="43">
        <v>45</v>
      </c>
      <c r="G426" s="43">
        <v>1</v>
      </c>
      <c r="H426" s="43">
        <v>16</v>
      </c>
      <c r="I426" s="187">
        <v>587</v>
      </c>
      <c r="J426" s="188">
        <v>96</v>
      </c>
      <c r="K426" s="206">
        <f t="shared" si="42"/>
        <v>96</v>
      </c>
      <c r="L426" s="207">
        <f aca="true" t="shared" si="44" ref="L426:L434">I426/J426</f>
        <v>6.114583333333333</v>
      </c>
      <c r="M426" s="191">
        <f>234558+153934+87159+20869+12631+2511+8333+4939+2684+2926+228+120+78+264+143+587</f>
        <v>531964</v>
      </c>
      <c r="N426" s="189">
        <f>23186+15470+9409+3005+2107+513+1253+1051+401+744+38+20+13+44+24+96</f>
        <v>57374</v>
      </c>
      <c r="O426" s="218">
        <f t="shared" si="43"/>
        <v>9.271865304841915</v>
      </c>
      <c r="P426" s="232"/>
    </row>
    <row r="427" spans="1:16" ht="15">
      <c r="A427" s="91">
        <v>424</v>
      </c>
      <c r="B427" s="56" t="s">
        <v>281</v>
      </c>
      <c r="C427" s="41">
        <v>39416</v>
      </c>
      <c r="D427" s="46" t="s">
        <v>41</v>
      </c>
      <c r="E427" s="46" t="s">
        <v>140</v>
      </c>
      <c r="F427" s="43">
        <v>123</v>
      </c>
      <c r="G427" s="43">
        <v>1</v>
      </c>
      <c r="H427" s="43">
        <v>20</v>
      </c>
      <c r="I427" s="187">
        <v>582</v>
      </c>
      <c r="J427" s="188">
        <v>87</v>
      </c>
      <c r="K427" s="206">
        <f t="shared" si="42"/>
        <v>87</v>
      </c>
      <c r="L427" s="207">
        <f t="shared" si="44"/>
        <v>6.689655172413793</v>
      </c>
      <c r="M427" s="191">
        <f>155416+1136619+622980+528056+225392+174199+84508+58425+34257+3403+1276+1707+633+682+568+405+2714+1817+1614+2337+582</f>
        <v>3037590</v>
      </c>
      <c r="N427" s="189">
        <f>12079+122083+66530+52286+18245+17821+7913+4333+2998+686+289+388+102+107+93+66+258+224+149+221+87</f>
        <v>306958</v>
      </c>
      <c r="O427" s="218">
        <f t="shared" si="43"/>
        <v>9.895783788010085</v>
      </c>
      <c r="P427" s="232"/>
    </row>
    <row r="428" spans="1:16" ht="15">
      <c r="A428" s="91">
        <v>425</v>
      </c>
      <c r="B428" s="56" t="s">
        <v>382</v>
      </c>
      <c r="C428" s="41">
        <v>39437</v>
      </c>
      <c r="D428" s="46" t="s">
        <v>43</v>
      </c>
      <c r="E428" s="46" t="s">
        <v>383</v>
      </c>
      <c r="F428" s="43">
        <v>156</v>
      </c>
      <c r="G428" s="43">
        <v>2</v>
      </c>
      <c r="H428" s="43">
        <v>20</v>
      </c>
      <c r="I428" s="187">
        <v>580</v>
      </c>
      <c r="J428" s="188">
        <v>103</v>
      </c>
      <c r="K428" s="206">
        <f t="shared" si="42"/>
        <v>51.5</v>
      </c>
      <c r="L428" s="207">
        <f t="shared" si="44"/>
        <v>5.631067961165049</v>
      </c>
      <c r="M428" s="191">
        <f>1780127+1212579.5+721829.5+404706.5+230406+56484.5+45824+18497.5+10529+9795.5+1455+3484+1447+391+3673+4075.5+1032+2531+796+580</f>
        <v>4510243.5</v>
      </c>
      <c r="N428" s="189">
        <f>240776+165120+97288+55998+35394+10296+9476+3143+2091+2258+337+991+436+98+918+697+200+844+138+103</f>
        <v>626602</v>
      </c>
      <c r="O428" s="218">
        <f t="shared" si="43"/>
        <v>7.197939840600573</v>
      </c>
      <c r="P428" s="232">
        <v>1</v>
      </c>
    </row>
    <row r="429" spans="1:16" ht="15">
      <c r="A429" s="91">
        <v>426</v>
      </c>
      <c r="B429" s="57" t="s">
        <v>547</v>
      </c>
      <c r="C429" s="42">
        <v>39094</v>
      </c>
      <c r="D429" s="47" t="s">
        <v>425</v>
      </c>
      <c r="E429" s="47" t="s">
        <v>50</v>
      </c>
      <c r="F429" s="88">
        <v>42</v>
      </c>
      <c r="G429" s="89">
        <v>2</v>
      </c>
      <c r="H429" s="88">
        <v>37</v>
      </c>
      <c r="I429" s="85">
        <v>576</v>
      </c>
      <c r="J429" s="93">
        <v>130</v>
      </c>
      <c r="K429" s="143">
        <f t="shared" si="42"/>
        <v>65</v>
      </c>
      <c r="L429" s="144">
        <f t="shared" si="44"/>
        <v>4.430769230769231</v>
      </c>
      <c r="M429" s="145">
        <v>450428.5</v>
      </c>
      <c r="N429" s="146">
        <v>69310</v>
      </c>
      <c r="O429" s="81">
        <f t="shared" si="43"/>
        <v>6.498751983840716</v>
      </c>
      <c r="P429" s="316"/>
    </row>
    <row r="430" spans="1:16" ht="15">
      <c r="A430" s="91">
        <v>427</v>
      </c>
      <c r="B430" s="56" t="s">
        <v>470</v>
      </c>
      <c r="C430" s="41">
        <v>39430</v>
      </c>
      <c r="D430" s="46" t="s">
        <v>42</v>
      </c>
      <c r="E430" s="46" t="s">
        <v>66</v>
      </c>
      <c r="F430" s="43">
        <v>242</v>
      </c>
      <c r="G430" s="43">
        <v>2</v>
      </c>
      <c r="H430" s="43">
        <v>19</v>
      </c>
      <c r="I430" s="187">
        <v>574</v>
      </c>
      <c r="J430" s="188">
        <v>371</v>
      </c>
      <c r="K430" s="206">
        <f t="shared" si="42"/>
        <v>185.5</v>
      </c>
      <c r="L430" s="207">
        <f t="shared" si="44"/>
        <v>1.5471698113207548</v>
      </c>
      <c r="M430" s="191">
        <v>15281496</v>
      </c>
      <c r="N430" s="189">
        <v>1985220</v>
      </c>
      <c r="O430" s="218">
        <f t="shared" si="43"/>
        <v>7.697633511651102</v>
      </c>
      <c r="P430" s="232"/>
    </row>
    <row r="431" spans="1:16" ht="15">
      <c r="A431" s="91">
        <v>428</v>
      </c>
      <c r="B431" s="57" t="s">
        <v>300</v>
      </c>
      <c r="C431" s="42">
        <v>39437</v>
      </c>
      <c r="D431" s="47" t="s">
        <v>425</v>
      </c>
      <c r="E431" s="47" t="s">
        <v>388</v>
      </c>
      <c r="F431" s="88">
        <v>7</v>
      </c>
      <c r="G431" s="89">
        <v>1</v>
      </c>
      <c r="H431" s="88">
        <v>7</v>
      </c>
      <c r="I431" s="85">
        <v>569</v>
      </c>
      <c r="J431" s="93">
        <v>109</v>
      </c>
      <c r="K431" s="143">
        <f t="shared" si="42"/>
        <v>109</v>
      </c>
      <c r="L431" s="207">
        <f t="shared" si="44"/>
        <v>5.220183486238532</v>
      </c>
      <c r="M431" s="145">
        <v>42943</v>
      </c>
      <c r="N431" s="146">
        <v>5792</v>
      </c>
      <c r="O431" s="218">
        <f t="shared" si="43"/>
        <v>7.414191988950276</v>
      </c>
      <c r="P431" s="333"/>
    </row>
    <row r="432" spans="1:16" ht="15">
      <c r="A432" s="91">
        <v>429</v>
      </c>
      <c r="B432" s="55" t="s">
        <v>281</v>
      </c>
      <c r="C432" s="41">
        <v>39416</v>
      </c>
      <c r="D432" s="45" t="s">
        <v>41</v>
      </c>
      <c r="E432" s="44" t="s">
        <v>140</v>
      </c>
      <c r="F432" s="63">
        <v>123</v>
      </c>
      <c r="G432" s="63">
        <v>3</v>
      </c>
      <c r="H432" s="63">
        <v>14</v>
      </c>
      <c r="I432" s="85">
        <v>568</v>
      </c>
      <c r="J432" s="93">
        <v>93</v>
      </c>
      <c r="K432" s="143">
        <f t="shared" si="42"/>
        <v>31</v>
      </c>
      <c r="L432" s="207">
        <f t="shared" si="44"/>
        <v>6.10752688172043</v>
      </c>
      <c r="M432" s="145">
        <f>155416+1136619+622980+528056+225392+174199+84508+58425+34257+3403+1276+1707+633+682+568</f>
        <v>3028121</v>
      </c>
      <c r="N432" s="146">
        <f>12079+122083+66530+52286+18245+17821+7913+4333+2998+686+289+388+102+107+93</f>
        <v>305953</v>
      </c>
      <c r="O432" s="218">
        <f t="shared" si="43"/>
        <v>9.897340441178875</v>
      </c>
      <c r="P432" s="316"/>
    </row>
    <row r="433" spans="1:16" ht="15">
      <c r="A433" s="91">
        <v>430</v>
      </c>
      <c r="B433" s="234" t="s">
        <v>186</v>
      </c>
      <c r="C433" s="41">
        <v>39409</v>
      </c>
      <c r="D433" s="80" t="s">
        <v>48</v>
      </c>
      <c r="E433" s="48" t="s">
        <v>426</v>
      </c>
      <c r="F433" s="76">
        <v>13</v>
      </c>
      <c r="G433" s="76">
        <v>1</v>
      </c>
      <c r="H433" s="76">
        <v>6</v>
      </c>
      <c r="I433" s="187">
        <v>565</v>
      </c>
      <c r="J433" s="188">
        <v>113</v>
      </c>
      <c r="K433" s="206">
        <f t="shared" si="42"/>
        <v>113</v>
      </c>
      <c r="L433" s="207">
        <f t="shared" si="44"/>
        <v>5</v>
      </c>
      <c r="M433" s="191">
        <v>51773</v>
      </c>
      <c r="N433" s="189">
        <v>5151</v>
      </c>
      <c r="O433" s="218">
        <f t="shared" si="43"/>
        <v>10.051058046981169</v>
      </c>
      <c r="P433" s="232">
        <v>1</v>
      </c>
    </row>
    <row r="434" spans="1:16" ht="15">
      <c r="A434" s="91">
        <v>431</v>
      </c>
      <c r="B434" s="234" t="s">
        <v>385</v>
      </c>
      <c r="C434" s="41">
        <v>39437</v>
      </c>
      <c r="D434" s="80" t="s">
        <v>48</v>
      </c>
      <c r="E434" s="48" t="s">
        <v>426</v>
      </c>
      <c r="F434" s="76">
        <v>17</v>
      </c>
      <c r="G434" s="76">
        <v>2</v>
      </c>
      <c r="H434" s="76">
        <v>7</v>
      </c>
      <c r="I434" s="96">
        <v>563</v>
      </c>
      <c r="J434" s="97">
        <v>87</v>
      </c>
      <c r="K434" s="147">
        <f t="shared" si="42"/>
        <v>43.5</v>
      </c>
      <c r="L434" s="212">
        <f t="shared" si="44"/>
        <v>6.471264367816092</v>
      </c>
      <c r="M434" s="149">
        <v>275707</v>
      </c>
      <c r="N434" s="147">
        <v>26107</v>
      </c>
      <c r="O434" s="216">
        <f t="shared" si="43"/>
        <v>10.560654230666104</v>
      </c>
      <c r="P434" s="232"/>
    </row>
    <row r="435" spans="1:16" ht="15">
      <c r="A435" s="91">
        <v>432</v>
      </c>
      <c r="B435" s="56" t="s">
        <v>438</v>
      </c>
      <c r="C435" s="41">
        <v>39318</v>
      </c>
      <c r="D435" s="46" t="s">
        <v>42</v>
      </c>
      <c r="E435" s="46" t="s">
        <v>45</v>
      </c>
      <c r="F435" s="43">
        <v>116</v>
      </c>
      <c r="G435" s="43">
        <v>1</v>
      </c>
      <c r="H435" s="43">
        <v>31</v>
      </c>
      <c r="I435" s="187">
        <v>560</v>
      </c>
      <c r="J435" s="188">
        <v>350</v>
      </c>
      <c r="K435" s="206">
        <f t="shared" si="42"/>
        <v>350</v>
      </c>
      <c r="L435" s="207">
        <f>+I435/J435</f>
        <v>1.6</v>
      </c>
      <c r="M435" s="191">
        <v>2648368</v>
      </c>
      <c r="N435" s="189">
        <v>333502</v>
      </c>
      <c r="O435" s="218">
        <f t="shared" si="43"/>
        <v>7.941085810579847</v>
      </c>
      <c r="P435" s="316"/>
    </row>
    <row r="436" spans="1:16" ht="15">
      <c r="A436" s="91">
        <v>433</v>
      </c>
      <c r="B436" s="56" t="s">
        <v>343</v>
      </c>
      <c r="C436" s="41">
        <v>39437</v>
      </c>
      <c r="D436" s="46" t="s">
        <v>425</v>
      </c>
      <c r="E436" s="46" t="s">
        <v>289</v>
      </c>
      <c r="F436" s="43">
        <v>7</v>
      </c>
      <c r="G436" s="43">
        <v>1</v>
      </c>
      <c r="H436" s="43">
        <v>8</v>
      </c>
      <c r="I436" s="187">
        <v>559</v>
      </c>
      <c r="J436" s="188">
        <v>99</v>
      </c>
      <c r="K436" s="206">
        <f t="shared" si="42"/>
        <v>99</v>
      </c>
      <c r="L436" s="207">
        <f>I436/J436</f>
        <v>5.646464646464646</v>
      </c>
      <c r="M436" s="191">
        <v>43502.2</v>
      </c>
      <c r="N436" s="189">
        <v>5891</v>
      </c>
      <c r="O436" s="218">
        <f t="shared" si="43"/>
        <v>7.384518757426583</v>
      </c>
      <c r="P436" s="333"/>
    </row>
    <row r="437" spans="1:16" ht="15">
      <c r="A437" s="91">
        <v>434</v>
      </c>
      <c r="B437" s="57" t="s">
        <v>295</v>
      </c>
      <c r="C437" s="42">
        <v>39444</v>
      </c>
      <c r="D437" s="47" t="s">
        <v>425</v>
      </c>
      <c r="E437" s="47" t="s">
        <v>513</v>
      </c>
      <c r="F437" s="88">
        <v>25</v>
      </c>
      <c r="G437" s="89">
        <v>2</v>
      </c>
      <c r="H437" s="88">
        <v>15</v>
      </c>
      <c r="I437" s="343">
        <v>546</v>
      </c>
      <c r="J437" s="344">
        <v>85</v>
      </c>
      <c r="K437" s="206">
        <f t="shared" si="42"/>
        <v>42.5</v>
      </c>
      <c r="L437" s="207">
        <f>I437/J437</f>
        <v>6.423529411764706</v>
      </c>
      <c r="M437" s="199">
        <v>267679.25</v>
      </c>
      <c r="N437" s="200">
        <v>28070</v>
      </c>
      <c r="O437" s="218">
        <f>M437/N437</f>
        <v>9.536132882080514</v>
      </c>
      <c r="P437" s="232"/>
    </row>
    <row r="438" spans="1:16" ht="15">
      <c r="A438" s="91">
        <v>435</v>
      </c>
      <c r="B438" s="56" t="s">
        <v>470</v>
      </c>
      <c r="C438" s="41">
        <v>39430</v>
      </c>
      <c r="D438" s="46" t="s">
        <v>42</v>
      </c>
      <c r="E438" s="46" t="s">
        <v>66</v>
      </c>
      <c r="F438" s="43">
        <v>242</v>
      </c>
      <c r="G438" s="43">
        <v>2</v>
      </c>
      <c r="H438" s="43">
        <v>20</v>
      </c>
      <c r="I438" s="187">
        <v>539</v>
      </c>
      <c r="J438" s="188">
        <v>369</v>
      </c>
      <c r="K438" s="206">
        <f t="shared" si="42"/>
        <v>184.5</v>
      </c>
      <c r="L438" s="207">
        <f>+I438/J438</f>
        <v>1.4607046070460705</v>
      </c>
      <c r="M438" s="191">
        <v>15282038</v>
      </c>
      <c r="N438" s="189">
        <v>1985589</v>
      </c>
      <c r="O438" s="218">
        <f aca="true" t="shared" si="45" ref="O438:O445">+M438/N438</f>
        <v>7.6964759575118515</v>
      </c>
      <c r="P438" s="232"/>
    </row>
    <row r="439" spans="1:16" ht="15">
      <c r="A439" s="91">
        <v>436</v>
      </c>
      <c r="B439" s="56" t="s">
        <v>466</v>
      </c>
      <c r="C439" s="42">
        <v>39423</v>
      </c>
      <c r="D439" s="46" t="s">
        <v>43</v>
      </c>
      <c r="E439" s="46" t="s">
        <v>44</v>
      </c>
      <c r="F439" s="43">
        <v>40</v>
      </c>
      <c r="G439" s="43">
        <v>1</v>
      </c>
      <c r="H439" s="43">
        <v>10</v>
      </c>
      <c r="I439" s="187">
        <v>524</v>
      </c>
      <c r="J439" s="188">
        <v>129</v>
      </c>
      <c r="K439" s="206">
        <f t="shared" si="42"/>
        <v>129</v>
      </c>
      <c r="L439" s="144">
        <f aca="true" t="shared" si="46" ref="L439:L445">I439/J439</f>
        <v>4.062015503875969</v>
      </c>
      <c r="M439" s="191">
        <f>337397.5+246059+95618.5+43492.5+31631.5+2705+4609+1105+2653+524</f>
        <v>765795</v>
      </c>
      <c r="N439" s="189">
        <f>35596+24953+11024+7059+5745+543+908+221+467+129</f>
        <v>86645</v>
      </c>
      <c r="O439" s="81">
        <f t="shared" si="45"/>
        <v>8.838305730278723</v>
      </c>
      <c r="P439" s="232">
        <v>1</v>
      </c>
    </row>
    <row r="440" spans="1:16" ht="15">
      <c r="A440" s="91">
        <v>437</v>
      </c>
      <c r="B440" s="57" t="s">
        <v>110</v>
      </c>
      <c r="C440" s="42">
        <v>39395</v>
      </c>
      <c r="D440" s="47" t="s">
        <v>425</v>
      </c>
      <c r="E440" s="47" t="s">
        <v>335</v>
      </c>
      <c r="F440" s="88">
        <v>5</v>
      </c>
      <c r="G440" s="89">
        <v>2</v>
      </c>
      <c r="H440" s="88">
        <v>4</v>
      </c>
      <c r="I440" s="197">
        <v>522</v>
      </c>
      <c r="J440" s="198">
        <v>257</v>
      </c>
      <c r="K440" s="206">
        <f t="shared" si="42"/>
        <v>128.5</v>
      </c>
      <c r="L440" s="207">
        <f t="shared" si="46"/>
        <v>2.0311284046692606</v>
      </c>
      <c r="M440" s="199">
        <v>3590.5</v>
      </c>
      <c r="N440" s="200">
        <v>641</v>
      </c>
      <c r="O440" s="218">
        <f t="shared" si="45"/>
        <v>5.601404056162247</v>
      </c>
      <c r="P440" s="232">
        <v>1</v>
      </c>
    </row>
    <row r="441" spans="1:16" ht="15">
      <c r="A441" s="91">
        <v>438</v>
      </c>
      <c r="B441" s="56" t="s">
        <v>411</v>
      </c>
      <c r="C441" s="41">
        <v>39220</v>
      </c>
      <c r="D441" s="46" t="s">
        <v>425</v>
      </c>
      <c r="E441" s="46" t="s">
        <v>50</v>
      </c>
      <c r="F441" s="43">
        <v>88</v>
      </c>
      <c r="G441" s="43">
        <v>1</v>
      </c>
      <c r="H441" s="43">
        <v>39</v>
      </c>
      <c r="I441" s="86">
        <v>520</v>
      </c>
      <c r="J441" s="95">
        <v>89</v>
      </c>
      <c r="K441" s="143">
        <f t="shared" si="42"/>
        <v>89</v>
      </c>
      <c r="L441" s="144">
        <f t="shared" si="46"/>
        <v>5.842696629213483</v>
      </c>
      <c r="M441" s="135">
        <v>590975</v>
      </c>
      <c r="N441" s="133">
        <v>87309</v>
      </c>
      <c r="O441" s="81">
        <f t="shared" si="45"/>
        <v>6.768775269445303</v>
      </c>
      <c r="P441" s="232">
        <v>1</v>
      </c>
    </row>
    <row r="442" spans="1:16" ht="15">
      <c r="A442" s="91">
        <v>439</v>
      </c>
      <c r="B442" s="56" t="s">
        <v>202</v>
      </c>
      <c r="C442" s="41">
        <v>39381</v>
      </c>
      <c r="D442" s="46" t="s">
        <v>425</v>
      </c>
      <c r="E442" s="46" t="s">
        <v>225</v>
      </c>
      <c r="F442" s="43">
        <v>1</v>
      </c>
      <c r="G442" s="43">
        <v>1</v>
      </c>
      <c r="H442" s="43">
        <v>10</v>
      </c>
      <c r="I442" s="86">
        <v>517</v>
      </c>
      <c r="J442" s="95">
        <v>75</v>
      </c>
      <c r="K442" s="143">
        <f t="shared" si="42"/>
        <v>75</v>
      </c>
      <c r="L442" s="144">
        <f t="shared" si="46"/>
        <v>6.8933333333333335</v>
      </c>
      <c r="M442" s="135">
        <v>16212.5</v>
      </c>
      <c r="N442" s="133">
        <v>2842</v>
      </c>
      <c r="O442" s="81">
        <f t="shared" si="45"/>
        <v>5.7046094299788885</v>
      </c>
      <c r="P442" s="232"/>
    </row>
    <row r="443" spans="1:16" ht="15">
      <c r="A443" s="91">
        <v>440</v>
      </c>
      <c r="B443" s="330" t="s">
        <v>213</v>
      </c>
      <c r="C443" s="323">
        <v>39087</v>
      </c>
      <c r="D443" s="322" t="s">
        <v>41</v>
      </c>
      <c r="E443" s="322" t="s">
        <v>46</v>
      </c>
      <c r="F443" s="324">
        <v>80</v>
      </c>
      <c r="G443" s="324">
        <v>1</v>
      </c>
      <c r="H443" s="324">
        <v>40</v>
      </c>
      <c r="I443" s="325">
        <v>515</v>
      </c>
      <c r="J443" s="326">
        <v>103</v>
      </c>
      <c r="K443" s="327">
        <f t="shared" si="42"/>
        <v>103</v>
      </c>
      <c r="L443" s="328">
        <f t="shared" si="46"/>
        <v>5</v>
      </c>
      <c r="M443" s="329">
        <f>1367+686114+384405+247619+146119+85619+63759-1+18934+11869+10791+11315+6907+8812+6730+2628+1465+749+1063+756+276+1198+612+510+45+1062+592+1782+205+893+893+2490+691+2542+60+12+1977+1181+455+192+233+12+15+515</f>
        <v>1715463</v>
      </c>
      <c r="N443" s="327">
        <f>80773+116+46317+29887+17891+10484+7685+2801+1917+1334+1333+755+1517+932+417+307+136+369+126+23+122+85+45+5+126+49+510+33+296+296+415+68+356+20+4+312+121+50+20+26+4+3+103</f>
        <v>208189</v>
      </c>
      <c r="O443" s="331">
        <f t="shared" si="45"/>
        <v>8.239931024213575</v>
      </c>
      <c r="P443" s="232"/>
    </row>
    <row r="444" spans="1:16" ht="15">
      <c r="A444" s="91">
        <v>441</v>
      </c>
      <c r="B444" s="330" t="s">
        <v>273</v>
      </c>
      <c r="C444" s="323">
        <v>39416</v>
      </c>
      <c r="D444" s="322" t="s">
        <v>223</v>
      </c>
      <c r="E444" s="322" t="s">
        <v>550</v>
      </c>
      <c r="F444" s="324" t="s">
        <v>274</v>
      </c>
      <c r="G444" s="324" t="s">
        <v>424</v>
      </c>
      <c r="H444" s="324" t="s">
        <v>430</v>
      </c>
      <c r="I444" s="366">
        <v>513</v>
      </c>
      <c r="J444" s="367">
        <v>76</v>
      </c>
      <c r="K444" s="327">
        <f t="shared" si="42"/>
        <v>76</v>
      </c>
      <c r="L444" s="328">
        <f t="shared" si="46"/>
        <v>6.75</v>
      </c>
      <c r="M444" s="329">
        <v>261102.99</v>
      </c>
      <c r="N444" s="327">
        <v>27960</v>
      </c>
      <c r="O444" s="331">
        <f t="shared" si="45"/>
        <v>9.338447424892703</v>
      </c>
      <c r="P444" s="232"/>
    </row>
    <row r="445" spans="1:16" ht="15">
      <c r="A445" s="91">
        <v>442</v>
      </c>
      <c r="B445" s="234" t="s">
        <v>473</v>
      </c>
      <c r="C445" s="41">
        <v>39430</v>
      </c>
      <c r="D445" s="48" t="s">
        <v>432</v>
      </c>
      <c r="E445" s="48" t="s">
        <v>519</v>
      </c>
      <c r="F445" s="64" t="s">
        <v>474</v>
      </c>
      <c r="G445" s="64" t="s">
        <v>424</v>
      </c>
      <c r="H445" s="64" t="s">
        <v>430</v>
      </c>
      <c r="I445" s="85">
        <v>490</v>
      </c>
      <c r="J445" s="93">
        <v>98</v>
      </c>
      <c r="K445" s="143">
        <f t="shared" si="42"/>
        <v>98</v>
      </c>
      <c r="L445" s="207">
        <f t="shared" si="46"/>
        <v>5</v>
      </c>
      <c r="M445" s="145">
        <v>1230617.44</v>
      </c>
      <c r="N445" s="146">
        <v>157436</v>
      </c>
      <c r="O445" s="218">
        <f t="shared" si="45"/>
        <v>7.816620340963947</v>
      </c>
      <c r="P445" s="232"/>
    </row>
    <row r="446" spans="1:16" ht="15">
      <c r="A446" s="91">
        <v>443</v>
      </c>
      <c r="B446" s="56" t="s">
        <v>469</v>
      </c>
      <c r="C446" s="41">
        <v>39423</v>
      </c>
      <c r="D446" s="46" t="s">
        <v>81</v>
      </c>
      <c r="E446" s="46" t="s">
        <v>290</v>
      </c>
      <c r="F446" s="43">
        <v>164</v>
      </c>
      <c r="G446" s="43">
        <v>1</v>
      </c>
      <c r="H446" s="43">
        <v>18</v>
      </c>
      <c r="I446" s="86">
        <v>489</v>
      </c>
      <c r="J446" s="95">
        <v>95</v>
      </c>
      <c r="K446" s="143">
        <f>IF(I446&lt;&gt;0,J446/G446,"")</f>
        <v>95</v>
      </c>
      <c r="L446" s="144">
        <f>IF(I446&lt;&gt;0,I446/J446,"")</f>
        <v>5.147368421052631</v>
      </c>
      <c r="M446" s="135">
        <f>3555848+0</f>
        <v>3555848</v>
      </c>
      <c r="N446" s="133">
        <f>438530+0</f>
        <v>438530</v>
      </c>
      <c r="O446" s="81">
        <f>IF(M446&lt;&gt;0,M446/N446,"")</f>
        <v>8.108562698105032</v>
      </c>
      <c r="P446" s="316"/>
    </row>
    <row r="447" spans="1:16" ht="15">
      <c r="A447" s="91">
        <v>444</v>
      </c>
      <c r="B447" s="56" t="s">
        <v>252</v>
      </c>
      <c r="C447" s="41">
        <v>39437</v>
      </c>
      <c r="D447" s="46" t="s">
        <v>41</v>
      </c>
      <c r="E447" s="46" t="s">
        <v>551</v>
      </c>
      <c r="F447" s="43">
        <v>49</v>
      </c>
      <c r="G447" s="43">
        <v>2</v>
      </c>
      <c r="H447" s="43">
        <v>12</v>
      </c>
      <c r="I447" s="187">
        <v>488</v>
      </c>
      <c r="J447" s="188">
        <v>106</v>
      </c>
      <c r="K447" s="206">
        <f>J447/G447</f>
        <v>53</v>
      </c>
      <c r="L447" s="207">
        <f>I447/J447</f>
        <v>4.60377358490566</v>
      </c>
      <c r="M447" s="191">
        <f>265356+150950+36636+752+2313+871+2481+84+743+187+110+488</f>
        <v>460971</v>
      </c>
      <c r="N447" s="189">
        <f>28419+15898+4109+157+424+163+412+14+140+31+21+106</f>
        <v>49894</v>
      </c>
      <c r="O447" s="218">
        <f>+M447/N447</f>
        <v>9.239006694191687</v>
      </c>
      <c r="P447" s="232">
        <v>1</v>
      </c>
    </row>
    <row r="448" spans="1:16" ht="15">
      <c r="A448" s="91">
        <v>445</v>
      </c>
      <c r="B448" s="55" t="s">
        <v>395</v>
      </c>
      <c r="C448" s="41">
        <v>39402</v>
      </c>
      <c r="D448" s="44" t="s">
        <v>81</v>
      </c>
      <c r="E448" s="44" t="s">
        <v>396</v>
      </c>
      <c r="F448" s="63">
        <v>165</v>
      </c>
      <c r="G448" s="63">
        <v>2</v>
      </c>
      <c r="H448" s="63">
        <v>40</v>
      </c>
      <c r="I448" s="94">
        <v>485</v>
      </c>
      <c r="J448" s="193">
        <v>97</v>
      </c>
      <c r="K448" s="194">
        <f>IF(I448&lt;&gt;0,J448/G448,"")</f>
        <v>48.5</v>
      </c>
      <c r="L448" s="195">
        <f>IF(I448&lt;&gt;0,I448/J448,"")</f>
        <v>5</v>
      </c>
      <c r="M448" s="138">
        <f>14579887.5+621+5940+11880+485</f>
        <v>14598813.5</v>
      </c>
      <c r="N448" s="189">
        <f>2008972+127+1980+3960+97</f>
        <v>2015136</v>
      </c>
      <c r="O448" s="216">
        <f>IF(M448&lt;&gt;0,M448/N448,"")</f>
        <v>7.244579770298381</v>
      </c>
      <c r="P448" s="402">
        <v>1</v>
      </c>
    </row>
    <row r="449" spans="1:16" ht="15">
      <c r="A449" s="91">
        <v>446</v>
      </c>
      <c r="B449" s="62" t="s">
        <v>361</v>
      </c>
      <c r="C449" s="41">
        <v>39353</v>
      </c>
      <c r="D449" s="47" t="s">
        <v>468</v>
      </c>
      <c r="E449" s="47" t="s">
        <v>468</v>
      </c>
      <c r="F449" s="58">
        <v>1</v>
      </c>
      <c r="G449" s="58">
        <v>1</v>
      </c>
      <c r="H449" s="58">
        <v>14</v>
      </c>
      <c r="I449" s="197">
        <v>479</v>
      </c>
      <c r="J449" s="198">
        <v>77</v>
      </c>
      <c r="K449" s="206">
        <f>J449/G449</f>
        <v>77</v>
      </c>
      <c r="L449" s="207">
        <f>I449/J449</f>
        <v>6.220779220779221</v>
      </c>
      <c r="M449" s="199">
        <v>33953</v>
      </c>
      <c r="N449" s="200">
        <v>3159</v>
      </c>
      <c r="O449" s="216">
        <f>+M449/N449</f>
        <v>10.748021525799304</v>
      </c>
      <c r="P449" s="232"/>
    </row>
    <row r="450" spans="1:16" ht="15">
      <c r="A450" s="91">
        <v>447</v>
      </c>
      <c r="B450" s="56" t="s">
        <v>301</v>
      </c>
      <c r="C450" s="41">
        <v>39437</v>
      </c>
      <c r="D450" s="46" t="s">
        <v>42</v>
      </c>
      <c r="E450" s="46" t="s">
        <v>298</v>
      </c>
      <c r="F450" s="43">
        <v>137</v>
      </c>
      <c r="G450" s="43">
        <v>1</v>
      </c>
      <c r="H450" s="43">
        <v>18</v>
      </c>
      <c r="I450" s="187">
        <v>478</v>
      </c>
      <c r="J450" s="188">
        <v>220</v>
      </c>
      <c r="K450" s="206">
        <f>J450/G450</f>
        <v>220</v>
      </c>
      <c r="L450" s="207">
        <f>I450/J450</f>
        <v>2.172727272727273</v>
      </c>
      <c r="M450" s="191">
        <v>2788026</v>
      </c>
      <c r="N450" s="189">
        <v>336779</v>
      </c>
      <c r="O450" s="218">
        <f>+M450/N450</f>
        <v>8.278503113317635</v>
      </c>
      <c r="P450" s="232"/>
    </row>
    <row r="451" spans="1:16" ht="15">
      <c r="A451" s="91">
        <v>448</v>
      </c>
      <c r="B451" s="56" t="s">
        <v>411</v>
      </c>
      <c r="C451" s="41">
        <v>39220</v>
      </c>
      <c r="D451" s="46" t="s">
        <v>425</v>
      </c>
      <c r="E451" s="46" t="s">
        <v>50</v>
      </c>
      <c r="F451" s="43">
        <v>88</v>
      </c>
      <c r="G451" s="43">
        <v>1</v>
      </c>
      <c r="H451" s="43">
        <v>38</v>
      </c>
      <c r="I451" s="187">
        <v>476</v>
      </c>
      <c r="J451" s="188">
        <v>68</v>
      </c>
      <c r="K451" s="206">
        <f>J451/G451</f>
        <v>68</v>
      </c>
      <c r="L451" s="207">
        <f>I451/J451</f>
        <v>7</v>
      </c>
      <c r="M451" s="191">
        <v>590455</v>
      </c>
      <c r="N451" s="189">
        <v>87220</v>
      </c>
      <c r="O451" s="218">
        <f>+M451/N451</f>
        <v>6.769720247649621</v>
      </c>
      <c r="P451" s="232"/>
    </row>
    <row r="452" spans="1:16" ht="15">
      <c r="A452" s="91">
        <v>449</v>
      </c>
      <c r="B452" s="56" t="s">
        <v>395</v>
      </c>
      <c r="C452" s="41">
        <v>39402</v>
      </c>
      <c r="D452" s="46" t="s">
        <v>81</v>
      </c>
      <c r="E452" s="46" t="s">
        <v>396</v>
      </c>
      <c r="F452" s="43">
        <v>165</v>
      </c>
      <c r="G452" s="43">
        <v>2</v>
      </c>
      <c r="H452" s="43">
        <v>21</v>
      </c>
      <c r="I452" s="86">
        <v>472</v>
      </c>
      <c r="J452" s="95">
        <v>102</v>
      </c>
      <c r="K452" s="143">
        <v>51</v>
      </c>
      <c r="L452" s="144">
        <v>4.63</v>
      </c>
      <c r="M452" s="135">
        <v>14274944</v>
      </c>
      <c r="N452" s="133">
        <v>1929962</v>
      </c>
      <c r="O452" s="81">
        <v>7.4</v>
      </c>
      <c r="P452" s="232">
        <v>1</v>
      </c>
    </row>
    <row r="453" spans="1:16" ht="15">
      <c r="A453" s="91">
        <v>450</v>
      </c>
      <c r="B453" s="57" t="s">
        <v>505</v>
      </c>
      <c r="C453" s="41">
        <v>39269</v>
      </c>
      <c r="D453" s="44" t="s">
        <v>223</v>
      </c>
      <c r="E453" s="44" t="s">
        <v>223</v>
      </c>
      <c r="F453" s="64" t="s">
        <v>430</v>
      </c>
      <c r="G453" s="64" t="s">
        <v>424</v>
      </c>
      <c r="H453" s="64" t="s">
        <v>601</v>
      </c>
      <c r="I453" s="85">
        <v>470</v>
      </c>
      <c r="J453" s="198">
        <v>75</v>
      </c>
      <c r="K453" s="206">
        <f aca="true" t="shared" si="47" ref="K453:K458">J453/G453</f>
        <v>75</v>
      </c>
      <c r="L453" s="207">
        <f aca="true" t="shared" si="48" ref="L453:L458">I453/J453</f>
        <v>6.266666666666667</v>
      </c>
      <c r="M453" s="145">
        <v>206554.19</v>
      </c>
      <c r="N453" s="200">
        <v>30869</v>
      </c>
      <c r="O453" s="218">
        <f aca="true" t="shared" si="49" ref="O453:O459">+M453/N453</f>
        <v>6.691314587450193</v>
      </c>
      <c r="P453" s="402"/>
    </row>
    <row r="454" spans="1:16" ht="15">
      <c r="A454" s="91">
        <v>451</v>
      </c>
      <c r="B454" s="55" t="s">
        <v>329</v>
      </c>
      <c r="C454" s="41">
        <v>39388</v>
      </c>
      <c r="D454" s="45" t="s">
        <v>41</v>
      </c>
      <c r="E454" s="44" t="s">
        <v>46</v>
      </c>
      <c r="F454" s="63">
        <v>4</v>
      </c>
      <c r="G454" s="63">
        <v>1</v>
      </c>
      <c r="H454" s="63">
        <v>5</v>
      </c>
      <c r="I454" s="197">
        <v>468</v>
      </c>
      <c r="J454" s="198">
        <v>85</v>
      </c>
      <c r="K454" s="206">
        <f t="shared" si="47"/>
        <v>85</v>
      </c>
      <c r="L454" s="144">
        <f t="shared" si="48"/>
        <v>5.5058823529411764</v>
      </c>
      <c r="M454" s="199">
        <f>2870+17781+10585+2582+1127+468</f>
        <v>35413</v>
      </c>
      <c r="N454" s="200">
        <f>287+1390+821+373+155+85</f>
        <v>3111</v>
      </c>
      <c r="O454" s="81">
        <f t="shared" si="49"/>
        <v>11.383156541305047</v>
      </c>
      <c r="P454" s="232"/>
    </row>
    <row r="455" spans="1:16" ht="15">
      <c r="A455" s="91">
        <v>452</v>
      </c>
      <c r="B455" s="56" t="s">
        <v>343</v>
      </c>
      <c r="C455" s="41">
        <v>39437</v>
      </c>
      <c r="D455" s="299" t="s">
        <v>425</v>
      </c>
      <c r="E455" s="299" t="s">
        <v>289</v>
      </c>
      <c r="F455" s="43">
        <v>7</v>
      </c>
      <c r="G455" s="43">
        <v>2</v>
      </c>
      <c r="H455" s="43">
        <v>9</v>
      </c>
      <c r="I455" s="187">
        <v>465</v>
      </c>
      <c r="J455" s="188">
        <v>80</v>
      </c>
      <c r="K455" s="206">
        <f t="shared" si="47"/>
        <v>40</v>
      </c>
      <c r="L455" s="207">
        <f t="shared" si="48"/>
        <v>5.8125</v>
      </c>
      <c r="M455" s="191">
        <v>43967.2</v>
      </c>
      <c r="N455" s="189">
        <v>5971</v>
      </c>
      <c r="O455" s="218">
        <f t="shared" si="49"/>
        <v>7.363456707419192</v>
      </c>
      <c r="P455" s="232"/>
    </row>
    <row r="456" spans="1:16" ht="15">
      <c r="A456" s="91">
        <v>453</v>
      </c>
      <c r="B456" s="57" t="s">
        <v>295</v>
      </c>
      <c r="C456" s="42">
        <v>39444</v>
      </c>
      <c r="D456" s="47" t="s">
        <v>425</v>
      </c>
      <c r="E456" s="47" t="s">
        <v>513</v>
      </c>
      <c r="F456" s="88">
        <v>25</v>
      </c>
      <c r="G456" s="89">
        <v>2</v>
      </c>
      <c r="H456" s="88">
        <v>7</v>
      </c>
      <c r="I456" s="197">
        <v>464.5</v>
      </c>
      <c r="J456" s="198">
        <v>119</v>
      </c>
      <c r="K456" s="206">
        <f t="shared" si="47"/>
        <v>59.5</v>
      </c>
      <c r="L456" s="144">
        <f t="shared" si="48"/>
        <v>3.903361344537815</v>
      </c>
      <c r="M456" s="199">
        <v>257752.25</v>
      </c>
      <c r="N456" s="200">
        <v>26124</v>
      </c>
      <c r="O456" s="81">
        <f t="shared" si="49"/>
        <v>9.866492497320472</v>
      </c>
      <c r="P456" s="232">
        <v>1</v>
      </c>
    </row>
    <row r="457" spans="1:16" ht="15">
      <c r="A457" s="91">
        <v>454</v>
      </c>
      <c r="B457" s="56" t="s">
        <v>398</v>
      </c>
      <c r="C457" s="42">
        <v>39402</v>
      </c>
      <c r="D457" s="46" t="s">
        <v>43</v>
      </c>
      <c r="E457" s="46" t="s">
        <v>467</v>
      </c>
      <c r="F457" s="235">
        <v>125</v>
      </c>
      <c r="G457" s="43">
        <v>1</v>
      </c>
      <c r="H457" s="43">
        <v>15</v>
      </c>
      <c r="I457" s="187">
        <v>464</v>
      </c>
      <c r="J457" s="188">
        <v>116</v>
      </c>
      <c r="K457" s="206">
        <f t="shared" si="47"/>
        <v>116</v>
      </c>
      <c r="L457" s="207">
        <f t="shared" si="48"/>
        <v>4</v>
      </c>
      <c r="M457" s="191">
        <f>676439.5+554539.5+408532.5+265092+4+63975.5-30+36417+32233.5+29355.5+9292+4684+3839.75+6311.5+292.5+748+464</f>
        <v>2092190.75</v>
      </c>
      <c r="N457" s="189">
        <f>91933+76364+57186+39863+2+10711+6714+6020+5300+2353+1269+898+1545+86+187+116</f>
        <v>300547</v>
      </c>
      <c r="O457" s="218">
        <f t="shared" si="49"/>
        <v>6.961276439292357</v>
      </c>
      <c r="P457" s="232"/>
    </row>
    <row r="458" spans="1:16" ht="15">
      <c r="A458" s="91">
        <v>455</v>
      </c>
      <c r="B458" s="57" t="s">
        <v>187</v>
      </c>
      <c r="C458" s="41">
        <v>39395</v>
      </c>
      <c r="D458" s="47" t="s">
        <v>223</v>
      </c>
      <c r="E458" s="47" t="s">
        <v>294</v>
      </c>
      <c r="F458" s="64" t="s">
        <v>549</v>
      </c>
      <c r="G458" s="64" t="s">
        <v>424</v>
      </c>
      <c r="H458" s="64" t="s">
        <v>188</v>
      </c>
      <c r="I458" s="197">
        <v>462</v>
      </c>
      <c r="J458" s="198">
        <v>66</v>
      </c>
      <c r="K458" s="206">
        <f t="shared" si="47"/>
        <v>66</v>
      </c>
      <c r="L458" s="207">
        <f t="shared" si="48"/>
        <v>7</v>
      </c>
      <c r="M458" s="199">
        <v>147732.96</v>
      </c>
      <c r="N458" s="200">
        <v>24263</v>
      </c>
      <c r="O458" s="218">
        <f t="shared" si="49"/>
        <v>6.088816716811606</v>
      </c>
      <c r="P458" s="232"/>
    </row>
    <row r="459" spans="1:16" ht="15">
      <c r="A459" s="91">
        <v>456</v>
      </c>
      <c r="B459" s="56" t="s">
        <v>518</v>
      </c>
      <c r="C459" s="41">
        <v>39444</v>
      </c>
      <c r="D459" s="46" t="s">
        <v>468</v>
      </c>
      <c r="E459" s="46" t="s">
        <v>468</v>
      </c>
      <c r="F459" s="43">
        <v>14</v>
      </c>
      <c r="G459" s="43">
        <v>2</v>
      </c>
      <c r="H459" s="43">
        <v>14</v>
      </c>
      <c r="I459" s="86">
        <v>460</v>
      </c>
      <c r="J459" s="95">
        <v>88</v>
      </c>
      <c r="K459" s="143">
        <f>+J459/G459</f>
        <v>44</v>
      </c>
      <c r="L459" s="144">
        <f>+I459/J459</f>
        <v>5.2272727272727275</v>
      </c>
      <c r="M459" s="135">
        <v>238887</v>
      </c>
      <c r="N459" s="133">
        <v>24097</v>
      </c>
      <c r="O459" s="81">
        <f t="shared" si="49"/>
        <v>9.91355770427854</v>
      </c>
      <c r="P459" s="232"/>
    </row>
    <row r="460" spans="1:16" ht="15">
      <c r="A460" s="91">
        <v>457</v>
      </c>
      <c r="B460" s="77" t="s">
        <v>275</v>
      </c>
      <c r="C460" s="61">
        <v>39416</v>
      </c>
      <c r="D460" s="80" t="s">
        <v>412</v>
      </c>
      <c r="E460" s="80" t="s">
        <v>293</v>
      </c>
      <c r="F460" s="78">
        <v>45</v>
      </c>
      <c r="G460" s="79">
        <v>2</v>
      </c>
      <c r="H460" s="79">
        <v>7</v>
      </c>
      <c r="I460" s="201">
        <v>455</v>
      </c>
      <c r="J460" s="202">
        <v>73</v>
      </c>
      <c r="K460" s="203">
        <v>92.17647058823529</v>
      </c>
      <c r="L460" s="204">
        <v>5.0644543714103385</v>
      </c>
      <c r="M460" s="205">
        <v>172083.5</v>
      </c>
      <c r="N460" s="214">
        <v>25035</v>
      </c>
      <c r="O460" s="217">
        <f>M460/N460</f>
        <v>6.8737167964849215</v>
      </c>
      <c r="P460" s="232"/>
    </row>
    <row r="461" spans="1:16" ht="15">
      <c r="A461" s="91">
        <v>458</v>
      </c>
      <c r="B461" s="56" t="s">
        <v>213</v>
      </c>
      <c r="C461" s="41">
        <v>39087</v>
      </c>
      <c r="D461" s="46" t="s">
        <v>41</v>
      </c>
      <c r="E461" s="46" t="s">
        <v>46</v>
      </c>
      <c r="F461" s="43">
        <v>80</v>
      </c>
      <c r="G461" s="43">
        <v>2</v>
      </c>
      <c r="H461" s="43">
        <v>36</v>
      </c>
      <c r="I461" s="354">
        <v>455</v>
      </c>
      <c r="J461" s="355">
        <v>50</v>
      </c>
      <c r="K461" s="143">
        <f aca="true" t="shared" si="50" ref="K461:K484">J461/G461</f>
        <v>25</v>
      </c>
      <c r="L461" s="144">
        <f>I461/J461</f>
        <v>9.1</v>
      </c>
      <c r="M461" s="135">
        <f>1367+686114+384405+247619+146119+85619+63759-1+18934+11869+10791+11315+6907+8812+6730+2628+1465+749+1063+756+276+1198+612+510+45+1062+592+1782+205+893+893+2490+691+2542+60+12+1977+1181+455</f>
        <v>1714496</v>
      </c>
      <c r="N461" s="133">
        <f>80773+116+46317+29887+17891+10484+7685+2801+1917+1334+1333+755+1517+932+417+307+136+369+126+23+122+85+45+5+126+49+510+33+296+296+415+68+356+20+4+312+121+50</f>
        <v>208033</v>
      </c>
      <c r="O461" s="81">
        <f>+M461/N461</f>
        <v>8.241461691173997</v>
      </c>
      <c r="P461" s="232"/>
    </row>
    <row r="462" spans="1:16" ht="15">
      <c r="A462" s="91">
        <v>459</v>
      </c>
      <c r="B462" s="57" t="s">
        <v>353</v>
      </c>
      <c r="C462" s="41">
        <v>39444</v>
      </c>
      <c r="D462" s="47" t="s">
        <v>432</v>
      </c>
      <c r="E462" s="47" t="s">
        <v>98</v>
      </c>
      <c r="F462" s="64" t="s">
        <v>515</v>
      </c>
      <c r="G462" s="64" t="s">
        <v>431</v>
      </c>
      <c r="H462" s="64" t="s">
        <v>436</v>
      </c>
      <c r="I462" s="197">
        <v>451</v>
      </c>
      <c r="J462" s="198">
        <v>80</v>
      </c>
      <c r="K462" s="206">
        <f t="shared" si="50"/>
        <v>40</v>
      </c>
      <c r="L462" s="207">
        <f>I462/J462</f>
        <v>5.6375</v>
      </c>
      <c r="M462" s="199">
        <v>20743.5</v>
      </c>
      <c r="N462" s="200">
        <v>2685</v>
      </c>
      <c r="O462" s="218">
        <f>+M462/N462</f>
        <v>7.725698324022346</v>
      </c>
      <c r="P462" s="232"/>
    </row>
    <row r="463" spans="1:16" ht="15">
      <c r="A463" s="91">
        <v>460</v>
      </c>
      <c r="B463" s="56" t="s">
        <v>384</v>
      </c>
      <c r="C463" s="42">
        <v>39437</v>
      </c>
      <c r="D463" s="87" t="s">
        <v>42</v>
      </c>
      <c r="E463" s="87" t="s">
        <v>298</v>
      </c>
      <c r="F463" s="43">
        <v>105</v>
      </c>
      <c r="G463" s="43">
        <v>1</v>
      </c>
      <c r="H463" s="43">
        <v>9</v>
      </c>
      <c r="I463" s="187">
        <v>448</v>
      </c>
      <c r="J463" s="188">
        <v>84</v>
      </c>
      <c r="K463" s="206">
        <f t="shared" si="50"/>
        <v>84</v>
      </c>
      <c r="L463" s="134">
        <f>+I463/J463</f>
        <v>5.333333333333333</v>
      </c>
      <c r="M463" s="191">
        <v>716759</v>
      </c>
      <c r="N463" s="189">
        <v>82547</v>
      </c>
      <c r="O463" s="81">
        <f>+M463/N463</f>
        <v>8.683041176541849</v>
      </c>
      <c r="P463" s="316"/>
    </row>
    <row r="464" spans="1:16" ht="15">
      <c r="A464" s="91">
        <v>461</v>
      </c>
      <c r="B464" s="57" t="s">
        <v>295</v>
      </c>
      <c r="C464" s="42">
        <v>39444</v>
      </c>
      <c r="D464" s="47" t="s">
        <v>425</v>
      </c>
      <c r="E464" s="47" t="s">
        <v>513</v>
      </c>
      <c r="F464" s="88">
        <v>25</v>
      </c>
      <c r="G464" s="89">
        <v>3</v>
      </c>
      <c r="H464" s="88">
        <v>18</v>
      </c>
      <c r="I464" s="197">
        <v>447</v>
      </c>
      <c r="J464" s="198">
        <v>88</v>
      </c>
      <c r="K464" s="206">
        <f t="shared" si="50"/>
        <v>29.333333333333332</v>
      </c>
      <c r="L464" s="207">
        <f>I464/J464</f>
        <v>5.079545454545454</v>
      </c>
      <c r="M464" s="199">
        <v>269387.25</v>
      </c>
      <c r="N464" s="200">
        <v>28450</v>
      </c>
      <c r="O464" s="218">
        <f>M464/N464</f>
        <v>9.468796133567663</v>
      </c>
      <c r="P464" s="232"/>
    </row>
    <row r="465" spans="1:16" ht="15">
      <c r="A465" s="91">
        <v>462</v>
      </c>
      <c r="B465" s="56" t="s">
        <v>397</v>
      </c>
      <c r="C465" s="41">
        <v>39402</v>
      </c>
      <c r="D465" s="46" t="s">
        <v>42</v>
      </c>
      <c r="E465" s="46" t="s">
        <v>217</v>
      </c>
      <c r="F465" s="43">
        <v>130</v>
      </c>
      <c r="G465" s="43">
        <v>1</v>
      </c>
      <c r="H465" s="43">
        <v>21</v>
      </c>
      <c r="I465" s="187">
        <v>444</v>
      </c>
      <c r="J465" s="188">
        <v>148</v>
      </c>
      <c r="K465" s="206">
        <f t="shared" si="50"/>
        <v>148</v>
      </c>
      <c r="L465" s="207">
        <f>I465/J465</f>
        <v>3</v>
      </c>
      <c r="M465" s="191">
        <v>2097124</v>
      </c>
      <c r="N465" s="189">
        <v>265806</v>
      </c>
      <c r="O465" s="218">
        <f>+M465/N465</f>
        <v>7.889678938774896</v>
      </c>
      <c r="P465" s="232"/>
    </row>
    <row r="466" spans="1:16" ht="15">
      <c r="A466" s="91">
        <v>463</v>
      </c>
      <c r="B466" s="56" t="s">
        <v>398</v>
      </c>
      <c r="C466" s="42">
        <v>39402</v>
      </c>
      <c r="D466" s="46" t="s">
        <v>43</v>
      </c>
      <c r="E466" s="46" t="s">
        <v>467</v>
      </c>
      <c r="F466" s="235">
        <v>125</v>
      </c>
      <c r="G466" s="43">
        <v>1</v>
      </c>
      <c r="H466" s="43">
        <v>16</v>
      </c>
      <c r="I466" s="86">
        <v>444</v>
      </c>
      <c r="J466" s="95">
        <v>111</v>
      </c>
      <c r="K466" s="143">
        <f t="shared" si="50"/>
        <v>111</v>
      </c>
      <c r="L466" s="207">
        <f>I466/J466</f>
        <v>4</v>
      </c>
      <c r="M466" s="135">
        <f>676439.5+554539.5+408532.5+265092+4+63975.5-30+36417+32233.5+29355.5+9292+4684+3839.75+6311.5+292.5+748+464+444</f>
        <v>2092634.75</v>
      </c>
      <c r="N466" s="133">
        <f>91933+76364+57186+39863+2+10711+6714+6020+5300+2353+1269+898+1545+86+187+116+111</f>
        <v>300658</v>
      </c>
      <c r="O466" s="218">
        <f>+M466/N466</f>
        <v>6.960183164924931</v>
      </c>
      <c r="P466" s="232"/>
    </row>
    <row r="467" spans="1:16" ht="15">
      <c r="A467" s="91">
        <v>464</v>
      </c>
      <c r="B467" s="56" t="s">
        <v>475</v>
      </c>
      <c r="C467" s="42">
        <v>39430</v>
      </c>
      <c r="D467" s="46" t="s">
        <v>43</v>
      </c>
      <c r="E467" s="46" t="s">
        <v>44</v>
      </c>
      <c r="F467" s="63">
        <v>64</v>
      </c>
      <c r="G467" s="43">
        <v>2</v>
      </c>
      <c r="H467" s="43">
        <v>10</v>
      </c>
      <c r="I467" s="187">
        <v>442</v>
      </c>
      <c r="J467" s="188">
        <v>78</v>
      </c>
      <c r="K467" s="206">
        <f t="shared" si="50"/>
        <v>39</v>
      </c>
      <c r="L467" s="144">
        <f>I467/J467</f>
        <v>5.666666666666667</v>
      </c>
      <c r="M467" s="191">
        <f>183581+192120.5+67824+23763.5+5798.5+5467+22027+14042+2947+442</f>
        <v>518012.5</v>
      </c>
      <c r="N467" s="189">
        <f>20071+21989+8620+4128+850+1010+3719+2499+595+78</f>
        <v>63559</v>
      </c>
      <c r="O467" s="81">
        <f>+M467/N467</f>
        <v>8.150104627196777</v>
      </c>
      <c r="P467" s="232"/>
    </row>
    <row r="468" spans="1:16" ht="15">
      <c r="A468" s="91">
        <v>465</v>
      </c>
      <c r="B468" s="56" t="s">
        <v>397</v>
      </c>
      <c r="C468" s="41">
        <v>39402</v>
      </c>
      <c r="D468" s="299" t="s">
        <v>42</v>
      </c>
      <c r="E468" s="299" t="s">
        <v>217</v>
      </c>
      <c r="F468" s="43">
        <v>130</v>
      </c>
      <c r="G468" s="43">
        <v>1</v>
      </c>
      <c r="H468" s="43">
        <v>2</v>
      </c>
      <c r="I468" s="187">
        <v>441</v>
      </c>
      <c r="J468" s="188">
        <v>350</v>
      </c>
      <c r="K468" s="206">
        <f t="shared" si="50"/>
        <v>350</v>
      </c>
      <c r="L468" s="207">
        <f>+I468/J468</f>
        <v>1.26</v>
      </c>
      <c r="M468" s="191">
        <v>2096680</v>
      </c>
      <c r="N468" s="189">
        <v>265658</v>
      </c>
      <c r="O468" s="218">
        <f>+M468/N468</f>
        <v>7.8924030144019754</v>
      </c>
      <c r="P468" s="232"/>
    </row>
    <row r="469" spans="1:16" ht="15">
      <c r="A469" s="91">
        <v>466</v>
      </c>
      <c r="B469" s="56" t="s">
        <v>397</v>
      </c>
      <c r="C469" s="41">
        <v>39402</v>
      </c>
      <c r="D469" s="46" t="s">
        <v>42</v>
      </c>
      <c r="E469" s="46" t="s">
        <v>217</v>
      </c>
      <c r="F469" s="43">
        <v>130</v>
      </c>
      <c r="G469" s="43">
        <v>1</v>
      </c>
      <c r="H469" s="43">
        <v>24</v>
      </c>
      <c r="I469" s="187">
        <v>432</v>
      </c>
      <c r="J469" s="188">
        <v>87</v>
      </c>
      <c r="K469" s="206">
        <f t="shared" si="50"/>
        <v>87</v>
      </c>
      <c r="L469" s="207">
        <f aca="true" t="shared" si="51" ref="L469:L477">I469/J469</f>
        <v>4.9655172413793105</v>
      </c>
      <c r="M469" s="191">
        <v>2098487</v>
      </c>
      <c r="N469" s="189">
        <v>266099</v>
      </c>
      <c r="O469" s="218">
        <f>+M469/N469</f>
        <v>7.8861138147832195</v>
      </c>
      <c r="P469" s="232"/>
    </row>
    <row r="470" spans="1:16" ht="15">
      <c r="A470" s="91">
        <v>467</v>
      </c>
      <c r="B470" s="56" t="s">
        <v>514</v>
      </c>
      <c r="C470" s="41">
        <v>39437</v>
      </c>
      <c r="D470" s="46" t="s">
        <v>425</v>
      </c>
      <c r="E470" s="46" t="s">
        <v>289</v>
      </c>
      <c r="F470" s="43">
        <v>1</v>
      </c>
      <c r="G470" s="43">
        <v>1</v>
      </c>
      <c r="H470" s="43">
        <v>9</v>
      </c>
      <c r="I470" s="187">
        <v>414</v>
      </c>
      <c r="J470" s="188">
        <v>50</v>
      </c>
      <c r="K470" s="206">
        <f t="shared" si="50"/>
        <v>50</v>
      </c>
      <c r="L470" s="207">
        <f t="shared" si="51"/>
        <v>8.28</v>
      </c>
      <c r="M470" s="191">
        <v>30245.5</v>
      </c>
      <c r="N470" s="189">
        <v>4916</v>
      </c>
      <c r="O470" s="218">
        <f>M470/N470</f>
        <v>6.1524613506916195</v>
      </c>
      <c r="P470" s="232">
        <v>1</v>
      </c>
    </row>
    <row r="471" spans="1:16" ht="15">
      <c r="A471" s="91">
        <v>468</v>
      </c>
      <c r="B471" s="56" t="s">
        <v>207</v>
      </c>
      <c r="C471" s="42">
        <v>39444</v>
      </c>
      <c r="D471" s="46" t="s">
        <v>43</v>
      </c>
      <c r="E471" s="46" t="s">
        <v>354</v>
      </c>
      <c r="F471" s="63">
        <v>10</v>
      </c>
      <c r="G471" s="43">
        <v>2</v>
      </c>
      <c r="H471" s="43">
        <v>6</v>
      </c>
      <c r="I471" s="187">
        <v>408</v>
      </c>
      <c r="J471" s="188">
        <v>70</v>
      </c>
      <c r="K471" s="206">
        <f t="shared" si="50"/>
        <v>35</v>
      </c>
      <c r="L471" s="144">
        <f t="shared" si="51"/>
        <v>5.828571428571428</v>
      </c>
      <c r="M471" s="191">
        <f>8804+1895+1013.5+219+801+408</f>
        <v>13140.5</v>
      </c>
      <c r="N471" s="189">
        <f>970+200+157+43+164+70</f>
        <v>1604</v>
      </c>
      <c r="O471" s="81">
        <f>+M471/N471</f>
        <v>8.192331670822943</v>
      </c>
      <c r="P471" s="232"/>
    </row>
    <row r="472" spans="1:16" ht="15">
      <c r="A472" s="91">
        <v>469</v>
      </c>
      <c r="B472" s="56" t="s">
        <v>281</v>
      </c>
      <c r="C472" s="41">
        <v>39416</v>
      </c>
      <c r="D472" s="46" t="s">
        <v>41</v>
      </c>
      <c r="E472" s="46" t="s">
        <v>140</v>
      </c>
      <c r="F472" s="43">
        <v>123</v>
      </c>
      <c r="G472" s="43">
        <v>3</v>
      </c>
      <c r="H472" s="43">
        <v>15</v>
      </c>
      <c r="I472" s="187">
        <v>405</v>
      </c>
      <c r="J472" s="188">
        <v>66</v>
      </c>
      <c r="K472" s="206">
        <f t="shared" si="50"/>
        <v>22</v>
      </c>
      <c r="L472" s="207">
        <f t="shared" si="51"/>
        <v>6.136363636363637</v>
      </c>
      <c r="M472" s="191">
        <f>155416+1136619+622980+528056+225392+174199+84508+58425+34257+3403+1276+1707+633+682+568+405</f>
        <v>3028526</v>
      </c>
      <c r="N472" s="189">
        <f>12079+122083+66530+52286+18245+17821+7913+4333+2998+686+289+388+102+107+93+66</f>
        <v>306019</v>
      </c>
      <c r="O472" s="218">
        <f>+M472/N472</f>
        <v>9.896529300468272</v>
      </c>
      <c r="P472" s="316">
        <v>1</v>
      </c>
    </row>
    <row r="473" spans="1:16" ht="15">
      <c r="A473" s="91">
        <v>470</v>
      </c>
      <c r="B473" s="57" t="s">
        <v>411</v>
      </c>
      <c r="C473" s="42">
        <v>39220</v>
      </c>
      <c r="D473" s="47" t="s">
        <v>425</v>
      </c>
      <c r="E473" s="47" t="s">
        <v>50</v>
      </c>
      <c r="F473" s="88">
        <v>88</v>
      </c>
      <c r="G473" s="89">
        <v>2</v>
      </c>
      <c r="H473" s="88">
        <v>37</v>
      </c>
      <c r="I473" s="197">
        <v>404</v>
      </c>
      <c r="J473" s="198">
        <v>98</v>
      </c>
      <c r="K473" s="206">
        <f t="shared" si="50"/>
        <v>49</v>
      </c>
      <c r="L473" s="144">
        <f t="shared" si="51"/>
        <v>4.122448979591836</v>
      </c>
      <c r="M473" s="199">
        <v>589979</v>
      </c>
      <c r="N473" s="200">
        <v>87152</v>
      </c>
      <c r="O473" s="81">
        <f>+M473/N473</f>
        <v>6.769540572792363</v>
      </c>
      <c r="P473" s="232">
        <v>1</v>
      </c>
    </row>
    <row r="474" spans="1:16" ht="15">
      <c r="A474" s="91">
        <v>471</v>
      </c>
      <c r="B474" s="350" t="s">
        <v>470</v>
      </c>
      <c r="C474" s="42">
        <v>39430</v>
      </c>
      <c r="D474" s="87" t="s">
        <v>42</v>
      </c>
      <c r="E474" s="87" t="s">
        <v>66</v>
      </c>
      <c r="F474" s="43">
        <v>242</v>
      </c>
      <c r="G474" s="43">
        <v>1</v>
      </c>
      <c r="H474" s="43">
        <v>34</v>
      </c>
      <c r="I474" s="191">
        <v>400</v>
      </c>
      <c r="J474" s="189">
        <v>100</v>
      </c>
      <c r="K474" s="206">
        <f t="shared" si="50"/>
        <v>100</v>
      </c>
      <c r="L474" s="207">
        <f t="shared" si="51"/>
        <v>4</v>
      </c>
      <c r="M474" s="191">
        <v>15322921</v>
      </c>
      <c r="N474" s="189">
        <v>1999010</v>
      </c>
      <c r="O474" s="215">
        <f>+M474/N474</f>
        <v>7.665254801126558</v>
      </c>
      <c r="P474" s="232">
        <v>1</v>
      </c>
    </row>
    <row r="475" spans="1:16" ht="15">
      <c r="A475" s="91">
        <v>472</v>
      </c>
      <c r="B475" s="330" t="s">
        <v>214</v>
      </c>
      <c r="C475" s="323">
        <v>39444</v>
      </c>
      <c r="D475" s="322" t="s">
        <v>425</v>
      </c>
      <c r="E475" s="322" t="s">
        <v>513</v>
      </c>
      <c r="F475" s="324">
        <v>25</v>
      </c>
      <c r="G475" s="324">
        <v>3</v>
      </c>
      <c r="H475" s="324">
        <v>12</v>
      </c>
      <c r="I475" s="366">
        <v>399</v>
      </c>
      <c r="J475" s="367">
        <v>74</v>
      </c>
      <c r="K475" s="327">
        <f t="shared" si="50"/>
        <v>24.666666666666668</v>
      </c>
      <c r="L475" s="328">
        <f t="shared" si="51"/>
        <v>5.391891891891892</v>
      </c>
      <c r="M475" s="329">
        <v>265267.25</v>
      </c>
      <c r="N475" s="327">
        <v>27679</v>
      </c>
      <c r="O475" s="331">
        <f>M475/N475</f>
        <v>9.58370063947397</v>
      </c>
      <c r="P475" s="316"/>
    </row>
    <row r="476" spans="1:16" ht="15">
      <c r="A476" s="91">
        <v>473</v>
      </c>
      <c r="B476" s="56" t="s">
        <v>275</v>
      </c>
      <c r="C476" s="41">
        <v>39416</v>
      </c>
      <c r="D476" s="46" t="s">
        <v>412</v>
      </c>
      <c r="E476" s="46" t="s">
        <v>293</v>
      </c>
      <c r="F476" s="43">
        <v>45</v>
      </c>
      <c r="G476" s="43">
        <v>1</v>
      </c>
      <c r="H476" s="43">
        <v>17</v>
      </c>
      <c r="I476" s="187">
        <v>394</v>
      </c>
      <c r="J476" s="188">
        <v>157</v>
      </c>
      <c r="K476" s="206">
        <f t="shared" si="50"/>
        <v>157</v>
      </c>
      <c r="L476" s="207">
        <f t="shared" si="51"/>
        <v>2.5095541401273884</v>
      </c>
      <c r="M476" s="191">
        <v>185030.5</v>
      </c>
      <c r="N476" s="189">
        <v>28022</v>
      </c>
      <c r="O476" s="218">
        <f aca="true" t="shared" si="52" ref="O476:O485">+M476/N476</f>
        <v>6.603044036828207</v>
      </c>
      <c r="P476" s="232"/>
    </row>
    <row r="477" spans="1:16" ht="15">
      <c r="A477" s="91">
        <v>474</v>
      </c>
      <c r="B477" s="330" t="s">
        <v>252</v>
      </c>
      <c r="C477" s="323">
        <v>39437</v>
      </c>
      <c r="D477" s="322" t="s">
        <v>41</v>
      </c>
      <c r="E477" s="322" t="s">
        <v>551</v>
      </c>
      <c r="F477" s="324">
        <v>49</v>
      </c>
      <c r="G477" s="324">
        <v>1</v>
      </c>
      <c r="H477" s="324">
        <v>19</v>
      </c>
      <c r="I477" s="325">
        <v>393</v>
      </c>
      <c r="J477" s="326">
        <v>53</v>
      </c>
      <c r="K477" s="327">
        <f t="shared" si="50"/>
        <v>53</v>
      </c>
      <c r="L477" s="328">
        <f t="shared" si="51"/>
        <v>7.415094339622642</v>
      </c>
      <c r="M477" s="329">
        <f>265356+150950+36636+752+2313+871+2481+84+743+187+110+488+748+1242+50+240+1190+1190+393</f>
        <v>466024</v>
      </c>
      <c r="N477" s="327">
        <f>28419+15898+4109+157+424+163+412+14+140+31+21+106+161+211+8+46+119+119+53</f>
        <v>50611</v>
      </c>
      <c r="O477" s="331">
        <f t="shared" si="52"/>
        <v>9.207958744146529</v>
      </c>
      <c r="P477" s="232">
        <v>1</v>
      </c>
    </row>
    <row r="478" spans="1:16" ht="15">
      <c r="A478" s="91">
        <v>475</v>
      </c>
      <c r="B478" s="56" t="s">
        <v>382</v>
      </c>
      <c r="C478" s="41">
        <v>39437</v>
      </c>
      <c r="D478" s="46" t="s">
        <v>43</v>
      </c>
      <c r="E478" s="46" t="s">
        <v>383</v>
      </c>
      <c r="F478" s="43">
        <v>156</v>
      </c>
      <c r="G478" s="43">
        <v>1</v>
      </c>
      <c r="H478" s="43">
        <v>14</v>
      </c>
      <c r="I478" s="187">
        <v>391</v>
      </c>
      <c r="J478" s="188">
        <v>98</v>
      </c>
      <c r="K478" s="206">
        <f t="shared" si="50"/>
        <v>98</v>
      </c>
      <c r="L478" s="207">
        <f>+I478/J478</f>
        <v>3.989795918367347</v>
      </c>
      <c r="M478" s="191">
        <f>1780127+1212579.5+721829.5+404706.5+230406+56484.5+45824+18497.5+10529+9795.5+1455+3484+1447+391</f>
        <v>4497556</v>
      </c>
      <c r="N478" s="189">
        <f>240776+165120+97288+55998+35394+10296+9476+3143+2091+2258+337+991+436+98</f>
        <v>623702</v>
      </c>
      <c r="O478" s="218">
        <f t="shared" si="52"/>
        <v>7.211065540915373</v>
      </c>
      <c r="P478" s="232"/>
    </row>
    <row r="479" spans="1:16" ht="15">
      <c r="A479" s="91">
        <v>476</v>
      </c>
      <c r="B479" s="56" t="s">
        <v>262</v>
      </c>
      <c r="C479" s="41">
        <v>39395</v>
      </c>
      <c r="D479" s="46" t="s">
        <v>432</v>
      </c>
      <c r="E479" s="46" t="s">
        <v>263</v>
      </c>
      <c r="F479" s="43" t="s">
        <v>264</v>
      </c>
      <c r="G479" s="43" t="s">
        <v>435</v>
      </c>
      <c r="H479" s="43" t="s">
        <v>92</v>
      </c>
      <c r="I479" s="187">
        <v>388.5</v>
      </c>
      <c r="J479" s="188">
        <v>61</v>
      </c>
      <c r="K479" s="206">
        <f t="shared" si="50"/>
        <v>20.333333333333332</v>
      </c>
      <c r="L479" s="207">
        <f aca="true" t="shared" si="53" ref="L479:L484">I479/J479</f>
        <v>6.368852459016393</v>
      </c>
      <c r="M479" s="191">
        <v>278108.5</v>
      </c>
      <c r="N479" s="189">
        <v>34896</v>
      </c>
      <c r="O479" s="218">
        <f t="shared" si="52"/>
        <v>7.9696383539660705</v>
      </c>
      <c r="P479" s="232"/>
    </row>
    <row r="480" spans="1:16" ht="15">
      <c r="A480" s="91">
        <v>477</v>
      </c>
      <c r="B480" s="56" t="s">
        <v>353</v>
      </c>
      <c r="C480" s="41">
        <v>39444</v>
      </c>
      <c r="D480" s="46" t="s">
        <v>432</v>
      </c>
      <c r="E480" s="46" t="s">
        <v>452</v>
      </c>
      <c r="F480" s="43" t="s">
        <v>515</v>
      </c>
      <c r="G480" s="43" t="s">
        <v>424</v>
      </c>
      <c r="H480" s="43" t="s">
        <v>515</v>
      </c>
      <c r="I480" s="187">
        <v>385</v>
      </c>
      <c r="J480" s="188">
        <v>77</v>
      </c>
      <c r="K480" s="206">
        <f t="shared" si="50"/>
        <v>77</v>
      </c>
      <c r="L480" s="207">
        <f t="shared" si="53"/>
        <v>5</v>
      </c>
      <c r="M480" s="191">
        <v>22165.5</v>
      </c>
      <c r="N480" s="189">
        <v>2958</v>
      </c>
      <c r="O480" s="218">
        <f t="shared" si="52"/>
        <v>7.493407707910751</v>
      </c>
      <c r="P480" s="333"/>
    </row>
    <row r="481" spans="1:16" ht="15">
      <c r="A481" s="91">
        <v>478</v>
      </c>
      <c r="B481" s="62" t="s">
        <v>319</v>
      </c>
      <c r="C481" s="41">
        <v>39423</v>
      </c>
      <c r="D481" s="47" t="s">
        <v>468</v>
      </c>
      <c r="E481" s="47" t="s">
        <v>468</v>
      </c>
      <c r="F481" s="58">
        <v>1</v>
      </c>
      <c r="G481" s="58">
        <v>1</v>
      </c>
      <c r="H481" s="58">
        <v>32</v>
      </c>
      <c r="I481" s="343">
        <v>385</v>
      </c>
      <c r="J481" s="344">
        <v>57</v>
      </c>
      <c r="K481" s="206">
        <f t="shared" si="50"/>
        <v>57</v>
      </c>
      <c r="L481" s="207">
        <f t="shared" si="53"/>
        <v>6.754385964912281</v>
      </c>
      <c r="M481" s="199">
        <v>28051</v>
      </c>
      <c r="N481" s="200">
        <v>2596</v>
      </c>
      <c r="O481" s="218">
        <f t="shared" si="52"/>
        <v>10.805469953775038</v>
      </c>
      <c r="P481" s="232"/>
    </row>
    <row r="482" spans="1:16" ht="15">
      <c r="A482" s="91">
        <v>479</v>
      </c>
      <c r="B482" s="330" t="s">
        <v>445</v>
      </c>
      <c r="C482" s="323">
        <v>39038</v>
      </c>
      <c r="D482" s="322" t="s">
        <v>43</v>
      </c>
      <c r="E482" s="322" t="s">
        <v>446</v>
      </c>
      <c r="F482" s="43">
        <v>40</v>
      </c>
      <c r="G482" s="43">
        <v>1</v>
      </c>
      <c r="H482" s="43">
        <v>26</v>
      </c>
      <c r="I482" s="325">
        <v>380</v>
      </c>
      <c r="J482" s="326">
        <v>76</v>
      </c>
      <c r="K482" s="327">
        <f t="shared" si="50"/>
        <v>76</v>
      </c>
      <c r="L482" s="328">
        <f t="shared" si="53"/>
        <v>5</v>
      </c>
      <c r="M482" s="329">
        <f>85423.5+40609.5+16428+10894.5+3106.5+2427+2630+460+1511+1189+1802+286+188+1782+2376+2230+1880+1432+216+1901+710+24+29+1510.5+2376+380</f>
        <v>183801.5</v>
      </c>
      <c r="N482" s="327">
        <f>10842+5203+2181+1838+640+457+494+92+303+238+212+63+42+446+475+446+376+205+25+475+4+142+5+378+594+76</f>
        <v>26252</v>
      </c>
      <c r="O482" s="331">
        <f t="shared" si="52"/>
        <v>7.001428462593326</v>
      </c>
      <c r="P482" s="232">
        <v>1</v>
      </c>
    </row>
    <row r="483" spans="1:16" ht="15">
      <c r="A483" s="91">
        <v>480</v>
      </c>
      <c r="B483" s="56" t="s">
        <v>517</v>
      </c>
      <c r="C483" s="41">
        <v>39444</v>
      </c>
      <c r="D483" s="46" t="s">
        <v>41</v>
      </c>
      <c r="E483" s="46" t="s">
        <v>52</v>
      </c>
      <c r="F483" s="43">
        <v>60</v>
      </c>
      <c r="G483" s="43">
        <v>1</v>
      </c>
      <c r="H483" s="43">
        <v>7</v>
      </c>
      <c r="I483" s="187">
        <v>375</v>
      </c>
      <c r="J483" s="188">
        <v>81</v>
      </c>
      <c r="K483" s="206">
        <f t="shared" si="50"/>
        <v>81</v>
      </c>
      <c r="L483" s="207">
        <f t="shared" si="53"/>
        <v>4.62962962962963</v>
      </c>
      <c r="M483" s="191">
        <f>211429+90759+13033+2807+2520+52+375</f>
        <v>320975</v>
      </c>
      <c r="N483" s="189">
        <f>22982+9879+1560+450+434+13+81</f>
        <v>35399</v>
      </c>
      <c r="O483" s="218">
        <f t="shared" si="52"/>
        <v>9.06734653521286</v>
      </c>
      <c r="P483" s="232"/>
    </row>
    <row r="484" spans="1:16" ht="15">
      <c r="A484" s="91">
        <v>481</v>
      </c>
      <c r="B484" s="57" t="s">
        <v>581</v>
      </c>
      <c r="C484" s="42">
        <v>39416</v>
      </c>
      <c r="D484" s="47" t="s">
        <v>425</v>
      </c>
      <c r="E484" s="47" t="s">
        <v>546</v>
      </c>
      <c r="F484" s="88">
        <v>4</v>
      </c>
      <c r="G484" s="89">
        <v>1</v>
      </c>
      <c r="H484" s="88">
        <v>12</v>
      </c>
      <c r="I484" s="85">
        <v>375</v>
      </c>
      <c r="J484" s="93">
        <v>53</v>
      </c>
      <c r="K484" s="143">
        <f t="shared" si="50"/>
        <v>53</v>
      </c>
      <c r="L484" s="144">
        <f t="shared" si="53"/>
        <v>7.0754716981132075</v>
      </c>
      <c r="M484" s="145">
        <v>48085</v>
      </c>
      <c r="N484" s="146">
        <v>5695</v>
      </c>
      <c r="O484" s="81">
        <f t="shared" si="52"/>
        <v>8.443371378402107</v>
      </c>
      <c r="P484" s="333"/>
    </row>
    <row r="485" spans="1:16" ht="15">
      <c r="A485" s="91">
        <v>482</v>
      </c>
      <c r="B485" s="56" t="s">
        <v>361</v>
      </c>
      <c r="C485" s="41">
        <v>39353</v>
      </c>
      <c r="D485" s="46" t="s">
        <v>468</v>
      </c>
      <c r="E485" s="46" t="s">
        <v>468</v>
      </c>
      <c r="F485" s="43">
        <v>1</v>
      </c>
      <c r="G485" s="43">
        <v>1</v>
      </c>
      <c r="H485" s="43">
        <v>30</v>
      </c>
      <c r="I485" s="354">
        <v>374</v>
      </c>
      <c r="J485" s="355">
        <v>63</v>
      </c>
      <c r="K485" s="143">
        <f>+J485/G485</f>
        <v>63</v>
      </c>
      <c r="L485" s="144">
        <f>+I485/J485</f>
        <v>5.936507936507937</v>
      </c>
      <c r="M485" s="135">
        <v>34327</v>
      </c>
      <c r="N485" s="133">
        <v>3222</v>
      </c>
      <c r="O485" s="81">
        <f t="shared" si="52"/>
        <v>10.653941651148354</v>
      </c>
      <c r="P485" s="232"/>
    </row>
    <row r="486" spans="1:16" ht="15">
      <c r="A486" s="91">
        <v>483</v>
      </c>
      <c r="B486" s="56" t="s">
        <v>282</v>
      </c>
      <c r="C486" s="42">
        <v>39409</v>
      </c>
      <c r="D486" s="47" t="s">
        <v>43</v>
      </c>
      <c r="E486" s="46" t="s">
        <v>362</v>
      </c>
      <c r="F486" s="88">
        <v>13</v>
      </c>
      <c r="G486" s="43">
        <v>1</v>
      </c>
      <c r="H486" s="43">
        <v>8</v>
      </c>
      <c r="I486" s="187">
        <v>373</v>
      </c>
      <c r="J486" s="188">
        <v>86</v>
      </c>
      <c r="K486" s="206">
        <f>J486/G486</f>
        <v>86</v>
      </c>
      <c r="L486" s="207">
        <f>I486/J486</f>
        <v>4.337209302325581</v>
      </c>
      <c r="M486" s="191">
        <f>12464+5333-100+2072+1025+199+193+373</f>
        <v>21559</v>
      </c>
      <c r="N486" s="189">
        <f>1407+644-8+342+204+38+38+86</f>
        <v>2751</v>
      </c>
      <c r="O486" s="217">
        <f>M486/N486</f>
        <v>7.836786623046165</v>
      </c>
      <c r="P486" s="232"/>
    </row>
    <row r="487" spans="1:16" ht="15">
      <c r="A487" s="91">
        <v>484</v>
      </c>
      <c r="B487" s="56" t="s">
        <v>472</v>
      </c>
      <c r="C487" s="41">
        <v>39430</v>
      </c>
      <c r="D487" s="46" t="s">
        <v>42</v>
      </c>
      <c r="E487" s="46" t="s">
        <v>38</v>
      </c>
      <c r="F487" s="43">
        <v>137</v>
      </c>
      <c r="G487" s="43">
        <v>1</v>
      </c>
      <c r="H487" s="43">
        <v>19</v>
      </c>
      <c r="I487" s="354">
        <v>367</v>
      </c>
      <c r="J487" s="355">
        <v>72</v>
      </c>
      <c r="K487" s="143">
        <f>J487/G487</f>
        <v>72</v>
      </c>
      <c r="L487" s="144">
        <f>+I487/J487</f>
        <v>5.097222222222222</v>
      </c>
      <c r="M487" s="135">
        <v>3566264</v>
      </c>
      <c r="N487" s="133">
        <v>463154</v>
      </c>
      <c r="O487" s="81">
        <f>+M487/N487</f>
        <v>7.699952931422378</v>
      </c>
      <c r="P487" s="232"/>
    </row>
    <row r="488" spans="1:16" ht="15">
      <c r="A488" s="91">
        <v>485</v>
      </c>
      <c r="B488" s="56" t="s">
        <v>301</v>
      </c>
      <c r="C488" s="42">
        <v>39437</v>
      </c>
      <c r="D488" s="87" t="s">
        <v>42</v>
      </c>
      <c r="E488" s="87" t="s">
        <v>298</v>
      </c>
      <c r="F488" s="43">
        <v>137</v>
      </c>
      <c r="G488" s="43">
        <v>1</v>
      </c>
      <c r="H488" s="43">
        <v>32</v>
      </c>
      <c r="I488" s="191">
        <v>366</v>
      </c>
      <c r="J488" s="189">
        <v>122</v>
      </c>
      <c r="K488" s="211">
        <f>J488/G488</f>
        <v>122</v>
      </c>
      <c r="L488" s="212">
        <f>I488/J488</f>
        <v>3</v>
      </c>
      <c r="M488" s="191">
        <v>2789547</v>
      </c>
      <c r="N488" s="189">
        <v>337251</v>
      </c>
      <c r="O488" s="215">
        <f>+M488/N488</f>
        <v>8.271426919416102</v>
      </c>
      <c r="P488" s="232"/>
    </row>
    <row r="489" spans="1:16" ht="15">
      <c r="A489" s="91">
        <v>486</v>
      </c>
      <c r="B489" s="56" t="s">
        <v>469</v>
      </c>
      <c r="C489" s="41">
        <v>39423</v>
      </c>
      <c r="D489" s="46" t="s">
        <v>81</v>
      </c>
      <c r="E489" s="46" t="s">
        <v>290</v>
      </c>
      <c r="F489" s="43">
        <v>164</v>
      </c>
      <c r="G489" s="43">
        <v>2</v>
      </c>
      <c r="H489" s="43">
        <v>14</v>
      </c>
      <c r="I489" s="187">
        <v>361</v>
      </c>
      <c r="J489" s="188">
        <v>63</v>
      </c>
      <c r="K489" s="206">
        <f>IF(I489&lt;&gt;0,J489/G489,"")</f>
        <v>31.5</v>
      </c>
      <c r="L489" s="207">
        <f>IF(I489&lt;&gt;0,I489/J489,"")</f>
        <v>5.73015873015873</v>
      </c>
      <c r="M489" s="191">
        <f>1455428+896564.5+785700+295594.5+45815.5+11311.5+13282+11389+10839+9534+2826+2532+168+361</f>
        <v>3541345</v>
      </c>
      <c r="N489" s="189">
        <f>172176+105411+97548+39201+8243+2114+2845+2112+2384+1888+598+623+42+63</f>
        <v>435248</v>
      </c>
      <c r="O489" s="218">
        <f>IF(M489&lt;&gt;0,M489/N489,"")</f>
        <v>8.136384314230048</v>
      </c>
      <c r="P489" s="333"/>
    </row>
    <row r="490" spans="1:16" ht="15">
      <c r="A490" s="91">
        <v>487</v>
      </c>
      <c r="B490" s="330" t="s">
        <v>103</v>
      </c>
      <c r="C490" s="323">
        <v>39276</v>
      </c>
      <c r="D490" s="322" t="s">
        <v>223</v>
      </c>
      <c r="E490" s="322" t="s">
        <v>550</v>
      </c>
      <c r="F490" s="324" t="s">
        <v>104</v>
      </c>
      <c r="G490" s="324" t="s">
        <v>424</v>
      </c>
      <c r="H490" s="324" t="s">
        <v>327</v>
      </c>
      <c r="I490" s="325">
        <v>360</v>
      </c>
      <c r="J490" s="326">
        <v>72</v>
      </c>
      <c r="K490" s="327">
        <f aca="true" t="shared" si="54" ref="K490:K497">J490/G490</f>
        <v>72</v>
      </c>
      <c r="L490" s="328">
        <f>I490/J490</f>
        <v>5</v>
      </c>
      <c r="M490" s="329">
        <v>485620</v>
      </c>
      <c r="N490" s="327">
        <v>60492</v>
      </c>
      <c r="O490" s="331">
        <f>+M490/N490</f>
        <v>8.027838391853468</v>
      </c>
      <c r="P490" s="316">
        <v>1</v>
      </c>
    </row>
    <row r="491" spans="1:16" ht="15">
      <c r="A491" s="91">
        <v>488</v>
      </c>
      <c r="B491" s="55" t="s">
        <v>261</v>
      </c>
      <c r="C491" s="41">
        <v>39374</v>
      </c>
      <c r="D491" s="44" t="s">
        <v>81</v>
      </c>
      <c r="E491" s="44" t="s">
        <v>51</v>
      </c>
      <c r="F491" s="63">
        <v>86</v>
      </c>
      <c r="G491" s="63">
        <v>1</v>
      </c>
      <c r="H491" s="63">
        <v>11</v>
      </c>
      <c r="I491" s="192">
        <v>358</v>
      </c>
      <c r="J491" s="193">
        <v>70</v>
      </c>
      <c r="K491" s="206">
        <f t="shared" si="54"/>
        <v>70</v>
      </c>
      <c r="L491" s="207">
        <f>I491/J491</f>
        <v>5.114285714285714</v>
      </c>
      <c r="M491" s="196">
        <f>333964+358</f>
        <v>334322</v>
      </c>
      <c r="N491" s="189">
        <f>46724+70</f>
        <v>46794</v>
      </c>
      <c r="O491" s="216">
        <f>IF(M491&lt;&gt;0,M491/N491,"")</f>
        <v>7.144548446382014</v>
      </c>
      <c r="P491" s="232"/>
    </row>
    <row r="492" spans="1:16" ht="15">
      <c r="A492" s="91">
        <v>489</v>
      </c>
      <c r="B492" s="57" t="s">
        <v>144</v>
      </c>
      <c r="C492" s="42">
        <v>39381</v>
      </c>
      <c r="D492" s="47" t="s">
        <v>425</v>
      </c>
      <c r="E492" s="47" t="s">
        <v>145</v>
      </c>
      <c r="F492" s="88">
        <v>11</v>
      </c>
      <c r="G492" s="89">
        <v>1</v>
      </c>
      <c r="H492" s="88">
        <v>12</v>
      </c>
      <c r="I492" s="197">
        <v>348</v>
      </c>
      <c r="J492" s="198">
        <v>52</v>
      </c>
      <c r="K492" s="206">
        <f t="shared" si="54"/>
        <v>52</v>
      </c>
      <c r="L492" s="207">
        <f>I492/J492</f>
        <v>6.6923076923076925</v>
      </c>
      <c r="M492" s="199">
        <v>220758.7</v>
      </c>
      <c r="N492" s="200">
        <v>24841</v>
      </c>
      <c r="O492" s="218">
        <f aca="true" t="shared" si="55" ref="O492:O497">+M492/N492</f>
        <v>8.886868483555412</v>
      </c>
      <c r="P492" s="232"/>
    </row>
    <row r="493" spans="1:16" ht="15">
      <c r="A493" s="91">
        <v>490</v>
      </c>
      <c r="B493" s="57" t="s">
        <v>501</v>
      </c>
      <c r="C493" s="42">
        <v>39437</v>
      </c>
      <c r="D493" s="47" t="s">
        <v>425</v>
      </c>
      <c r="E493" s="47" t="s">
        <v>388</v>
      </c>
      <c r="F493" s="88">
        <v>7</v>
      </c>
      <c r="G493" s="89">
        <v>1</v>
      </c>
      <c r="H493" s="88">
        <v>17</v>
      </c>
      <c r="I493" s="145">
        <v>330</v>
      </c>
      <c r="J493" s="200">
        <v>66</v>
      </c>
      <c r="K493" s="206">
        <f t="shared" si="54"/>
        <v>66</v>
      </c>
      <c r="L493" s="144">
        <f>I493/J493</f>
        <v>5</v>
      </c>
      <c r="M493" s="145">
        <v>53766.7</v>
      </c>
      <c r="N493" s="200">
        <v>7651</v>
      </c>
      <c r="O493" s="81">
        <f t="shared" si="55"/>
        <v>7.027408181937001</v>
      </c>
      <c r="P493" s="232"/>
    </row>
    <row r="494" spans="1:16" ht="15">
      <c r="A494" s="91">
        <v>491</v>
      </c>
      <c r="B494" s="56" t="s">
        <v>476</v>
      </c>
      <c r="C494" s="42">
        <v>39430</v>
      </c>
      <c r="D494" s="46" t="s">
        <v>43</v>
      </c>
      <c r="E494" s="46" t="s">
        <v>434</v>
      </c>
      <c r="F494" s="43">
        <v>43</v>
      </c>
      <c r="G494" s="43">
        <v>2</v>
      </c>
      <c r="H494" s="43">
        <v>10</v>
      </c>
      <c r="I494" s="187">
        <v>326</v>
      </c>
      <c r="J494" s="188">
        <v>62</v>
      </c>
      <c r="K494" s="206">
        <f t="shared" si="54"/>
        <v>31</v>
      </c>
      <c r="L494" s="144">
        <f>I494/J494</f>
        <v>5.258064516129032</v>
      </c>
      <c r="M494" s="191">
        <f>43240+25728.5+5226.5+5207.5+50+1692+2247+3101.5+796+326</f>
        <v>87615</v>
      </c>
      <c r="N494" s="189">
        <f>5272+3593+870+1171+5+336+461+717+182+62</f>
        <v>12669</v>
      </c>
      <c r="O494" s="81">
        <f t="shared" si="55"/>
        <v>6.915699739521667</v>
      </c>
      <c r="P494" s="232"/>
    </row>
    <row r="495" spans="1:16" ht="15">
      <c r="A495" s="91">
        <v>492</v>
      </c>
      <c r="B495" s="56" t="s">
        <v>470</v>
      </c>
      <c r="C495" s="41">
        <v>39430</v>
      </c>
      <c r="D495" s="46" t="s">
        <v>42</v>
      </c>
      <c r="E495" s="46" t="s">
        <v>12</v>
      </c>
      <c r="F495" s="43">
        <v>242</v>
      </c>
      <c r="G495" s="43">
        <v>2</v>
      </c>
      <c r="H495" s="43">
        <v>16</v>
      </c>
      <c r="I495" s="86">
        <v>321</v>
      </c>
      <c r="J495" s="95">
        <v>54</v>
      </c>
      <c r="K495" s="143">
        <f t="shared" si="54"/>
        <v>27</v>
      </c>
      <c r="L495" s="144">
        <f>+I495/J495</f>
        <v>5.944444444444445</v>
      </c>
      <c r="M495" s="135">
        <v>15280704</v>
      </c>
      <c r="N495" s="133">
        <v>1984809</v>
      </c>
      <c r="O495" s="81">
        <f t="shared" si="55"/>
        <v>7.6988284515033945</v>
      </c>
      <c r="P495" s="232"/>
    </row>
    <row r="496" spans="1:16" ht="15">
      <c r="A496" s="91">
        <v>493</v>
      </c>
      <c r="B496" s="55" t="s">
        <v>280</v>
      </c>
      <c r="C496" s="41">
        <v>39409</v>
      </c>
      <c r="D496" s="45" t="s">
        <v>41</v>
      </c>
      <c r="E496" s="44" t="s">
        <v>52</v>
      </c>
      <c r="F496" s="63">
        <v>69</v>
      </c>
      <c r="G496" s="63">
        <v>1</v>
      </c>
      <c r="H496" s="63">
        <v>8</v>
      </c>
      <c r="I496" s="197">
        <v>313</v>
      </c>
      <c r="J496" s="198">
        <v>56</v>
      </c>
      <c r="K496" s="206">
        <f t="shared" si="54"/>
        <v>56</v>
      </c>
      <c r="L496" s="207">
        <f>I496/J496</f>
        <v>5.589285714285714</v>
      </c>
      <c r="M496" s="199">
        <f>387069+277494+166747+4993+4045+7291+3613+313</f>
        <v>851565</v>
      </c>
      <c r="N496" s="200">
        <f>37017+27892+17708+698+855+1523+696+56</f>
        <v>86445</v>
      </c>
      <c r="O496" s="218">
        <f t="shared" si="55"/>
        <v>9.850945688009718</v>
      </c>
      <c r="P496" s="232"/>
    </row>
    <row r="497" spans="1:16" ht="15">
      <c r="A497" s="91">
        <v>494</v>
      </c>
      <c r="B497" s="350" t="s">
        <v>472</v>
      </c>
      <c r="C497" s="42">
        <v>39430</v>
      </c>
      <c r="D497" s="87" t="s">
        <v>42</v>
      </c>
      <c r="E497" s="87" t="s">
        <v>38</v>
      </c>
      <c r="F497" s="43">
        <v>137</v>
      </c>
      <c r="G497" s="43">
        <v>1</v>
      </c>
      <c r="H497" s="43">
        <v>34</v>
      </c>
      <c r="I497" s="191">
        <v>312</v>
      </c>
      <c r="J497" s="189">
        <v>104</v>
      </c>
      <c r="K497" s="206">
        <f t="shared" si="54"/>
        <v>104</v>
      </c>
      <c r="L497" s="207">
        <f>I497/J497</f>
        <v>3</v>
      </c>
      <c r="M497" s="191">
        <v>3570616</v>
      </c>
      <c r="N497" s="189">
        <v>464487</v>
      </c>
      <c r="O497" s="215">
        <f t="shared" si="55"/>
        <v>7.687224830834878</v>
      </c>
      <c r="P497" s="333"/>
    </row>
    <row r="498" spans="1:16" ht="15">
      <c r="A498" s="91">
        <v>495</v>
      </c>
      <c r="B498" s="56" t="s">
        <v>518</v>
      </c>
      <c r="C498" s="41">
        <v>39444</v>
      </c>
      <c r="D498" s="299" t="s">
        <v>468</v>
      </c>
      <c r="E498" s="299" t="s">
        <v>468</v>
      </c>
      <c r="F498" s="43">
        <v>14</v>
      </c>
      <c r="G498" s="43">
        <v>1</v>
      </c>
      <c r="H498" s="43">
        <v>13</v>
      </c>
      <c r="I498" s="187">
        <v>304</v>
      </c>
      <c r="J498" s="188">
        <v>65</v>
      </c>
      <c r="K498" s="206">
        <f>IF(I498&lt;&gt;0,J498/G498,"")</f>
        <v>65</v>
      </c>
      <c r="L498" s="207">
        <f>IF(I498&lt;&gt;0,I498/J498,"")</f>
        <v>4.676923076923077</v>
      </c>
      <c r="M498" s="191">
        <v>238134</v>
      </c>
      <c r="N498" s="189">
        <v>23944</v>
      </c>
      <c r="O498" s="218">
        <f>IF(M498&lt;&gt;0,M498/N498,"")</f>
        <v>9.945456064149683</v>
      </c>
      <c r="P498" s="232"/>
    </row>
    <row r="499" spans="1:16" ht="15">
      <c r="A499" s="91">
        <v>496</v>
      </c>
      <c r="B499" s="56" t="s">
        <v>397</v>
      </c>
      <c r="C499" s="41">
        <v>39402</v>
      </c>
      <c r="D499" s="46" t="s">
        <v>42</v>
      </c>
      <c r="E499" s="46" t="s">
        <v>217</v>
      </c>
      <c r="F499" s="43">
        <v>130</v>
      </c>
      <c r="G499" s="43">
        <v>1</v>
      </c>
      <c r="H499" s="43">
        <v>23</v>
      </c>
      <c r="I499" s="354">
        <v>300</v>
      </c>
      <c r="J499" s="355">
        <v>62</v>
      </c>
      <c r="K499" s="143">
        <f>J499/G499</f>
        <v>62</v>
      </c>
      <c r="L499" s="144">
        <f>+I499/J499</f>
        <v>4.838709677419355</v>
      </c>
      <c r="M499" s="135">
        <v>2098055</v>
      </c>
      <c r="N499" s="133">
        <v>266012</v>
      </c>
      <c r="O499" s="81">
        <f>+M499/N499</f>
        <v>7.8870690044058165</v>
      </c>
      <c r="P499" s="232"/>
    </row>
    <row r="500" spans="1:16" ht="15">
      <c r="A500" s="91">
        <v>497</v>
      </c>
      <c r="B500" s="55" t="s">
        <v>196</v>
      </c>
      <c r="C500" s="41">
        <v>38191</v>
      </c>
      <c r="D500" s="45" t="s">
        <v>425</v>
      </c>
      <c r="E500" s="44" t="s">
        <v>116</v>
      </c>
      <c r="F500" s="63">
        <v>3</v>
      </c>
      <c r="G500" s="63">
        <v>1</v>
      </c>
      <c r="H500" s="63">
        <v>45</v>
      </c>
      <c r="I500" s="85">
        <v>298</v>
      </c>
      <c r="J500" s="93">
        <v>49</v>
      </c>
      <c r="K500" s="143">
        <f>J500/G500</f>
        <v>49</v>
      </c>
      <c r="L500" s="144">
        <f>I500/J500</f>
        <v>6.081632653061225</v>
      </c>
      <c r="M500" s="145">
        <v>70820.4</v>
      </c>
      <c r="N500" s="146">
        <v>12171</v>
      </c>
      <c r="O500" s="81">
        <f>M500/N500</f>
        <v>5.818782351491249</v>
      </c>
      <c r="P500" s="232"/>
    </row>
    <row r="501" spans="1:16" ht="15">
      <c r="A501" s="91">
        <v>498</v>
      </c>
      <c r="B501" s="56" t="s">
        <v>392</v>
      </c>
      <c r="C501" s="41">
        <v>39381</v>
      </c>
      <c r="D501" s="46" t="s">
        <v>81</v>
      </c>
      <c r="E501" s="46" t="s">
        <v>143</v>
      </c>
      <c r="F501" s="43">
        <v>91</v>
      </c>
      <c r="G501" s="43">
        <v>1</v>
      </c>
      <c r="H501" s="43">
        <v>19</v>
      </c>
      <c r="I501" s="187">
        <v>297</v>
      </c>
      <c r="J501" s="188">
        <v>100</v>
      </c>
      <c r="K501" s="206">
        <f>IF(I501&lt;&gt;0,J501/G501,"")</f>
        <v>100</v>
      </c>
      <c r="L501" s="207">
        <f>IF(I501&lt;&gt;0,I501/J501,"")</f>
        <v>2.97</v>
      </c>
      <c r="M501" s="191">
        <f>2459549.5+0+2990+297</f>
        <v>2462836.5</v>
      </c>
      <c r="N501" s="189">
        <f>288443+0+731+100</f>
        <v>289274</v>
      </c>
      <c r="O501" s="218">
        <f>IF(M501&lt;&gt;0,M501/N501,"")</f>
        <v>8.513853647406957</v>
      </c>
      <c r="P501" s="316"/>
    </row>
    <row r="502" spans="1:16" ht="15">
      <c r="A502" s="91">
        <v>499</v>
      </c>
      <c r="B502" s="56" t="s">
        <v>361</v>
      </c>
      <c r="C502" s="41">
        <v>39353</v>
      </c>
      <c r="D502" s="46" t="s">
        <v>468</v>
      </c>
      <c r="E502" s="46" t="s">
        <v>468</v>
      </c>
      <c r="F502" s="43">
        <v>1</v>
      </c>
      <c r="G502" s="43">
        <v>1</v>
      </c>
      <c r="H502" s="43">
        <v>33</v>
      </c>
      <c r="I502" s="187">
        <v>297</v>
      </c>
      <c r="J502" s="188">
        <v>52</v>
      </c>
      <c r="K502" s="206">
        <f>+J502/G502</f>
        <v>52</v>
      </c>
      <c r="L502" s="207">
        <f>+I502/J502</f>
        <v>5.711538461538462</v>
      </c>
      <c r="M502" s="191">
        <v>35774</v>
      </c>
      <c r="N502" s="189">
        <v>3473</v>
      </c>
      <c r="O502" s="218">
        <f>+M502/N502</f>
        <v>10.30060466455514</v>
      </c>
      <c r="P502" s="232"/>
    </row>
    <row r="503" spans="1:16" ht="15">
      <c r="A503" s="91">
        <v>500</v>
      </c>
      <c r="B503" s="56" t="s">
        <v>518</v>
      </c>
      <c r="C503" s="41">
        <v>39444</v>
      </c>
      <c r="D503" s="46" t="s">
        <v>468</v>
      </c>
      <c r="E503" s="46" t="s">
        <v>468</v>
      </c>
      <c r="F503" s="43">
        <v>14</v>
      </c>
      <c r="G503" s="43">
        <v>2</v>
      </c>
      <c r="H503" s="43">
        <v>13</v>
      </c>
      <c r="I503" s="86">
        <v>293</v>
      </c>
      <c r="J503" s="188">
        <v>65</v>
      </c>
      <c r="K503" s="206">
        <f>+J503/G503</f>
        <v>32.5</v>
      </c>
      <c r="L503" s="207">
        <f>I503/J503</f>
        <v>4.507692307692308</v>
      </c>
      <c r="M503" s="135">
        <v>238123</v>
      </c>
      <c r="N503" s="189">
        <v>23944</v>
      </c>
      <c r="O503" s="218">
        <f>+M503/N503</f>
        <v>9.944996658870698</v>
      </c>
      <c r="P503" s="333">
        <v>1</v>
      </c>
    </row>
    <row r="504" spans="1:16" ht="15">
      <c r="A504" s="91">
        <v>501</v>
      </c>
      <c r="B504" s="56" t="s">
        <v>398</v>
      </c>
      <c r="C504" s="42">
        <v>39402</v>
      </c>
      <c r="D504" s="46" t="s">
        <v>43</v>
      </c>
      <c r="E504" s="46" t="s">
        <v>467</v>
      </c>
      <c r="F504" s="235">
        <v>125</v>
      </c>
      <c r="G504" s="43">
        <v>1</v>
      </c>
      <c r="H504" s="43">
        <v>13</v>
      </c>
      <c r="I504" s="86">
        <v>292.5</v>
      </c>
      <c r="J504" s="95">
        <v>86</v>
      </c>
      <c r="K504" s="136">
        <f>IF(I504&lt;&gt;0,J504/G504,"")</f>
        <v>86</v>
      </c>
      <c r="L504" s="195">
        <f>IF(I504&lt;&gt;0,I504/J504,"")</f>
        <v>3.4011627906976742</v>
      </c>
      <c r="M504" s="135">
        <f>676439.5+554539.5+408532.5+265092+4+63975.5-30+36417+32233.5+29355.5+9292+4684+3839.75+6311.5+292.5</f>
        <v>2090978.75</v>
      </c>
      <c r="N504" s="133">
        <f>91933+76364+57186+39863+2+10711+6714+6020+5300+2353+1269+898+1545+86</f>
        <v>300244</v>
      </c>
      <c r="O504" s="216">
        <f>IF(M504&lt;&gt;0,M504/N504,"")</f>
        <v>6.964264897883055</v>
      </c>
      <c r="P504" s="232">
        <v>1</v>
      </c>
    </row>
    <row r="505" spans="1:16" ht="15">
      <c r="A505" s="91">
        <v>502</v>
      </c>
      <c r="B505" s="56" t="s">
        <v>517</v>
      </c>
      <c r="C505" s="41">
        <v>39444</v>
      </c>
      <c r="D505" s="46" t="s">
        <v>41</v>
      </c>
      <c r="E505" s="46" t="s">
        <v>217</v>
      </c>
      <c r="F505" s="43">
        <v>60</v>
      </c>
      <c r="G505" s="43">
        <v>1</v>
      </c>
      <c r="H505" s="43">
        <v>9</v>
      </c>
      <c r="I505" s="187">
        <v>288</v>
      </c>
      <c r="J505" s="188">
        <v>55</v>
      </c>
      <c r="K505" s="206">
        <f>J505/G505</f>
        <v>55</v>
      </c>
      <c r="L505" s="207">
        <f>I505/J505</f>
        <v>5.236363636363636</v>
      </c>
      <c r="M505" s="191">
        <f>211429+90759+13033+2807+2520+52+375+44+288</f>
        <v>321307</v>
      </c>
      <c r="N505" s="189">
        <f>22982+9879+1560+450+434+13+81+11+55</f>
        <v>35465</v>
      </c>
      <c r="O505" s="218">
        <f>+M505/N505</f>
        <v>9.059833638798816</v>
      </c>
      <c r="P505" s="333"/>
    </row>
    <row r="506" spans="1:16" ht="15">
      <c r="A506" s="91">
        <v>503</v>
      </c>
      <c r="B506" s="330" t="s">
        <v>32</v>
      </c>
      <c r="C506" s="323">
        <v>39150</v>
      </c>
      <c r="D506" s="322" t="s">
        <v>48</v>
      </c>
      <c r="E506" s="322" t="s">
        <v>33</v>
      </c>
      <c r="F506" s="324">
        <v>10</v>
      </c>
      <c r="G506" s="324">
        <v>1</v>
      </c>
      <c r="H506" s="324">
        <v>27</v>
      </c>
      <c r="I506" s="325">
        <v>285</v>
      </c>
      <c r="J506" s="326">
        <v>57</v>
      </c>
      <c r="K506" s="327">
        <v>57</v>
      </c>
      <c r="L506" s="328">
        <v>5</v>
      </c>
      <c r="M506" s="329">
        <v>226989</v>
      </c>
      <c r="N506" s="327">
        <v>25771</v>
      </c>
      <c r="O506" s="331">
        <v>8.80792363509371</v>
      </c>
      <c r="P506" s="232">
        <v>1</v>
      </c>
    </row>
    <row r="507" spans="1:16" ht="15">
      <c r="A507" s="91">
        <v>504</v>
      </c>
      <c r="B507" s="55" t="s">
        <v>510</v>
      </c>
      <c r="C507" s="41">
        <v>39402</v>
      </c>
      <c r="D507" s="45" t="s">
        <v>41</v>
      </c>
      <c r="E507" s="44" t="s">
        <v>52</v>
      </c>
      <c r="F507" s="63">
        <v>64</v>
      </c>
      <c r="G507" s="63">
        <v>1</v>
      </c>
      <c r="H507" s="63">
        <v>9</v>
      </c>
      <c r="I507" s="197">
        <v>284</v>
      </c>
      <c r="J507" s="198">
        <v>35</v>
      </c>
      <c r="K507" s="206">
        <f>J507/G507</f>
        <v>35</v>
      </c>
      <c r="L507" s="207">
        <f>I507/J507</f>
        <v>8.114285714285714</v>
      </c>
      <c r="M507" s="199">
        <f>299858+213967+97347+22667+8568+16509+4053+3337+284</f>
        <v>666590</v>
      </c>
      <c r="N507" s="200">
        <f>33225+24189+12517+4002+2479+2973+867+358+35</f>
        <v>80645</v>
      </c>
      <c r="O507" s="218">
        <f>+M507/N507</f>
        <v>8.265732531465064</v>
      </c>
      <c r="P507" s="232"/>
    </row>
    <row r="508" spans="1:16" ht="18">
      <c r="A508" s="91">
        <v>505</v>
      </c>
      <c r="B508" s="55" t="s">
        <v>196</v>
      </c>
      <c r="C508" s="41">
        <v>38191</v>
      </c>
      <c r="D508" s="45" t="s">
        <v>425</v>
      </c>
      <c r="E508" s="44" t="s">
        <v>116</v>
      </c>
      <c r="F508" s="63">
        <v>3</v>
      </c>
      <c r="G508" s="63">
        <v>1</v>
      </c>
      <c r="H508" s="63">
        <v>44</v>
      </c>
      <c r="I508" s="343">
        <v>284</v>
      </c>
      <c r="J508" s="344">
        <v>33</v>
      </c>
      <c r="K508" s="206">
        <f>J508/G508</f>
        <v>33</v>
      </c>
      <c r="L508" s="207">
        <f>I508/J508</f>
        <v>8.606060606060606</v>
      </c>
      <c r="M508" s="199">
        <v>70522.4</v>
      </c>
      <c r="N508" s="200">
        <v>12122</v>
      </c>
      <c r="O508" s="218">
        <f>M508/N508</f>
        <v>5.817719848209866</v>
      </c>
      <c r="P508" s="317">
        <v>1</v>
      </c>
    </row>
    <row r="509" spans="1:16" ht="15">
      <c r="A509" s="91">
        <v>506</v>
      </c>
      <c r="B509" s="56" t="s">
        <v>2</v>
      </c>
      <c r="C509" s="42">
        <v>38982</v>
      </c>
      <c r="D509" s="46" t="s">
        <v>43</v>
      </c>
      <c r="E509" s="46" t="s">
        <v>3</v>
      </c>
      <c r="F509" s="43">
        <v>22</v>
      </c>
      <c r="G509" s="43">
        <v>1</v>
      </c>
      <c r="H509" s="43">
        <v>21</v>
      </c>
      <c r="I509" s="135">
        <v>280</v>
      </c>
      <c r="J509" s="189">
        <v>35</v>
      </c>
      <c r="K509" s="189"/>
      <c r="L509" s="134"/>
      <c r="M509" s="135">
        <f>3328+88936+72443+39965+18882.5+6077.5+5686+14+3018.5+3786.5+1139+330+3589+2376+1782-5190.5+2376+1510.5+184+1901+2376+2376+280</f>
        <v>257166</v>
      </c>
      <c r="N509" s="189">
        <f>378+10550+8764+4872+2835+1083+1168+2+689+746+279+66+705+446+165+475+302+23+475+594+594+35</f>
        <v>35246</v>
      </c>
      <c r="O509" s="391"/>
      <c r="P509" s="232">
        <v>1</v>
      </c>
    </row>
    <row r="510" spans="1:16" ht="15">
      <c r="A510" s="91">
        <v>507</v>
      </c>
      <c r="B510" s="56" t="s">
        <v>398</v>
      </c>
      <c r="C510" s="41">
        <v>39402</v>
      </c>
      <c r="D510" s="46" t="s">
        <v>43</v>
      </c>
      <c r="E510" s="46" t="s">
        <v>467</v>
      </c>
      <c r="F510" s="43">
        <v>125</v>
      </c>
      <c r="G510" s="43">
        <v>1</v>
      </c>
      <c r="H510" s="43">
        <v>17</v>
      </c>
      <c r="I510" s="187">
        <v>276</v>
      </c>
      <c r="J510" s="188">
        <v>69</v>
      </c>
      <c r="K510" s="206">
        <f>J510/G510</f>
        <v>69</v>
      </c>
      <c r="L510" s="207">
        <f>I510/J510</f>
        <v>4</v>
      </c>
      <c r="M510" s="191">
        <f>676439.5+554539.5+408532.5+265092+4+63975.5-30+36417+32233.5+29355.5+9292+4684+3839.75+6311.5+292.5+748+464+444+276</f>
        <v>2092910.75</v>
      </c>
      <c r="N510" s="189">
        <f>91933+76364+57186+39863+2+10711+6714+6020+5300+2353+1269+898+1545+86+187+116+111+69</f>
        <v>300727</v>
      </c>
      <c r="O510" s="218">
        <f>+M510/N510</f>
        <v>6.959503968715812</v>
      </c>
      <c r="P510" s="232"/>
    </row>
    <row r="511" spans="1:16" ht="15">
      <c r="A511" s="91">
        <v>508</v>
      </c>
      <c r="B511" s="330" t="s">
        <v>248</v>
      </c>
      <c r="C511" s="323">
        <v>39381</v>
      </c>
      <c r="D511" s="322" t="s">
        <v>425</v>
      </c>
      <c r="E511" s="322" t="s">
        <v>289</v>
      </c>
      <c r="F511" s="324">
        <v>2</v>
      </c>
      <c r="G511" s="324">
        <v>1</v>
      </c>
      <c r="H511" s="324">
        <v>13</v>
      </c>
      <c r="I511" s="325">
        <v>259</v>
      </c>
      <c r="J511" s="326">
        <v>39</v>
      </c>
      <c r="K511" s="327">
        <f>J511/G511</f>
        <v>39</v>
      </c>
      <c r="L511" s="328">
        <f>I511/J511</f>
        <v>6.641025641025641</v>
      </c>
      <c r="M511" s="329">
        <v>38496.5</v>
      </c>
      <c r="N511" s="327">
        <v>5963</v>
      </c>
      <c r="O511" s="331">
        <f>M511/N511</f>
        <v>6.455894683883951</v>
      </c>
      <c r="P511" s="232"/>
    </row>
    <row r="512" spans="1:16" ht="15">
      <c r="A512" s="91">
        <v>509</v>
      </c>
      <c r="B512" s="55" t="s">
        <v>279</v>
      </c>
      <c r="C512" s="41">
        <v>39360</v>
      </c>
      <c r="D512" s="45" t="s">
        <v>41</v>
      </c>
      <c r="E512" s="44" t="s">
        <v>140</v>
      </c>
      <c r="F512" s="63">
        <v>73</v>
      </c>
      <c r="G512" s="63">
        <v>1</v>
      </c>
      <c r="H512" s="63">
        <v>15</v>
      </c>
      <c r="I512" s="197">
        <v>259</v>
      </c>
      <c r="J512" s="198">
        <v>37</v>
      </c>
      <c r="K512" s="206">
        <f>J512/G512</f>
        <v>37</v>
      </c>
      <c r="L512" s="207">
        <f>I512/J512</f>
        <v>7</v>
      </c>
      <c r="M512" s="199">
        <f>2527+398811+325917+116748+8773+28+28081+14690+2838+221+3656+238+712+147+168+168+259</f>
        <v>903982</v>
      </c>
      <c r="N512" s="200">
        <f>228+40290+35016+12251+1468+5988+2689+521+31+1450+32+140+21+26+24+37</f>
        <v>100212</v>
      </c>
      <c r="O512" s="218">
        <f>+M512/N512</f>
        <v>9.020696124216661</v>
      </c>
      <c r="P512" s="232">
        <v>1</v>
      </c>
    </row>
    <row r="513" spans="1:16" ht="15">
      <c r="A513" s="91">
        <v>510</v>
      </c>
      <c r="B513" s="56" t="s">
        <v>470</v>
      </c>
      <c r="C513" s="42">
        <v>39430</v>
      </c>
      <c r="D513" s="87" t="s">
        <v>42</v>
      </c>
      <c r="E513" s="87" t="s">
        <v>544</v>
      </c>
      <c r="F513" s="43">
        <v>242</v>
      </c>
      <c r="G513" s="43">
        <v>1</v>
      </c>
      <c r="H513" s="43">
        <v>35</v>
      </c>
      <c r="I513" s="86">
        <v>256</v>
      </c>
      <c r="J513" s="95">
        <v>34</v>
      </c>
      <c r="K513" s="133">
        <v>34</v>
      </c>
      <c r="L513" s="134">
        <v>7.529411764705881</v>
      </c>
      <c r="M513" s="135">
        <v>15323177</v>
      </c>
      <c r="N513" s="381">
        <v>1999044</v>
      </c>
      <c r="O513" s="155">
        <v>7.66525249069055</v>
      </c>
      <c r="P513" s="232"/>
    </row>
    <row r="514" spans="1:16" ht="15">
      <c r="A514" s="91">
        <v>511</v>
      </c>
      <c r="B514" s="57" t="s">
        <v>295</v>
      </c>
      <c r="C514" s="42">
        <v>39444</v>
      </c>
      <c r="D514" s="47" t="s">
        <v>425</v>
      </c>
      <c r="E514" s="47" t="s">
        <v>513</v>
      </c>
      <c r="F514" s="88">
        <v>25</v>
      </c>
      <c r="G514" s="89">
        <v>2</v>
      </c>
      <c r="H514" s="88">
        <v>16</v>
      </c>
      <c r="I514" s="343">
        <v>253</v>
      </c>
      <c r="J514" s="344">
        <v>40</v>
      </c>
      <c r="K514" s="206">
        <f>J514/G514</f>
        <v>20</v>
      </c>
      <c r="L514" s="207">
        <f>I514/J514</f>
        <v>6.325</v>
      </c>
      <c r="M514" s="199">
        <v>267932.25</v>
      </c>
      <c r="N514" s="200">
        <v>28110</v>
      </c>
      <c r="O514" s="218">
        <f>M514/N514</f>
        <v>9.531563500533618</v>
      </c>
      <c r="P514" s="232">
        <v>1</v>
      </c>
    </row>
    <row r="515" spans="1:16" ht="15">
      <c r="A515" s="91">
        <v>512</v>
      </c>
      <c r="B515" s="56" t="s">
        <v>262</v>
      </c>
      <c r="C515" s="41">
        <v>39395</v>
      </c>
      <c r="D515" s="46" t="s">
        <v>432</v>
      </c>
      <c r="E515" s="46" t="s">
        <v>263</v>
      </c>
      <c r="F515" s="43" t="s">
        <v>264</v>
      </c>
      <c r="G515" s="43" t="s">
        <v>431</v>
      </c>
      <c r="H515" s="43" t="s">
        <v>265</v>
      </c>
      <c r="I515" s="86">
        <v>251</v>
      </c>
      <c r="J515" s="95">
        <v>54</v>
      </c>
      <c r="K515" s="143">
        <f>J515/G515</f>
        <v>27</v>
      </c>
      <c r="L515" s="144">
        <f>I515/J515</f>
        <v>4.648148148148148</v>
      </c>
      <c r="M515" s="135">
        <v>278359.5</v>
      </c>
      <c r="N515" s="133">
        <v>34950</v>
      </c>
      <c r="O515" s="81">
        <f>+M515/N515</f>
        <v>7.96450643776824</v>
      </c>
      <c r="P515" s="232"/>
    </row>
    <row r="516" spans="1:16" ht="18">
      <c r="A516" s="91">
        <v>513</v>
      </c>
      <c r="B516" s="330" t="s">
        <v>34</v>
      </c>
      <c r="C516" s="323">
        <v>39024</v>
      </c>
      <c r="D516" s="322" t="s">
        <v>48</v>
      </c>
      <c r="E516" s="322" t="s">
        <v>557</v>
      </c>
      <c r="F516" s="324">
        <v>21</v>
      </c>
      <c r="G516" s="324">
        <v>1</v>
      </c>
      <c r="H516" s="324">
        <v>19</v>
      </c>
      <c r="I516" s="325">
        <v>245</v>
      </c>
      <c r="J516" s="326">
        <v>49</v>
      </c>
      <c r="K516" s="327">
        <v>49</v>
      </c>
      <c r="L516" s="328">
        <v>5</v>
      </c>
      <c r="M516" s="329">
        <v>454801</v>
      </c>
      <c r="N516" s="327">
        <v>54446</v>
      </c>
      <c r="O516" s="331">
        <v>8.3532490908423</v>
      </c>
      <c r="P516" s="317">
        <v>1</v>
      </c>
    </row>
    <row r="517" spans="1:16" ht="15">
      <c r="A517" s="91">
        <v>514</v>
      </c>
      <c r="B517" s="56" t="s">
        <v>144</v>
      </c>
      <c r="C517" s="41">
        <v>39381</v>
      </c>
      <c r="D517" s="46" t="s">
        <v>425</v>
      </c>
      <c r="E517" s="46" t="s">
        <v>355</v>
      </c>
      <c r="F517" s="43">
        <v>10</v>
      </c>
      <c r="G517" s="43">
        <v>1</v>
      </c>
      <c r="H517" s="43">
        <v>17</v>
      </c>
      <c r="I517" s="86">
        <v>245</v>
      </c>
      <c r="J517" s="95">
        <v>41</v>
      </c>
      <c r="K517" s="143">
        <f>J517/G517</f>
        <v>41</v>
      </c>
      <c r="L517" s="144">
        <f>I517/J517</f>
        <v>5.975609756097561</v>
      </c>
      <c r="M517" s="135">
        <v>223161.7</v>
      </c>
      <c r="N517" s="133">
        <v>25329</v>
      </c>
      <c r="O517" s="81">
        <f aca="true" t="shared" si="56" ref="O517:O522">+M517/N517</f>
        <v>8.810521536578626</v>
      </c>
      <c r="P517" s="333"/>
    </row>
    <row r="518" spans="1:16" ht="15">
      <c r="A518" s="91">
        <v>515</v>
      </c>
      <c r="B518" s="56" t="s">
        <v>361</v>
      </c>
      <c r="C518" s="41">
        <v>39353</v>
      </c>
      <c r="D518" s="46" t="s">
        <v>468</v>
      </c>
      <c r="E518" s="46" t="s">
        <v>468</v>
      </c>
      <c r="F518" s="43">
        <v>1</v>
      </c>
      <c r="G518" s="43">
        <v>1</v>
      </c>
      <c r="H518" s="43">
        <v>32</v>
      </c>
      <c r="I518" s="187">
        <v>243</v>
      </c>
      <c r="J518" s="188">
        <v>42</v>
      </c>
      <c r="K518" s="206">
        <f>+J518/G518</f>
        <v>42</v>
      </c>
      <c r="L518" s="207">
        <f>+I518/J518</f>
        <v>5.785714285714286</v>
      </c>
      <c r="M518" s="191">
        <v>35477</v>
      </c>
      <c r="N518" s="189">
        <v>3421</v>
      </c>
      <c r="O518" s="218">
        <f t="shared" si="56"/>
        <v>10.370359543992985</v>
      </c>
      <c r="P518" s="232"/>
    </row>
    <row r="519" spans="1:16" ht="15">
      <c r="A519" s="91">
        <v>516</v>
      </c>
      <c r="B519" s="56" t="s">
        <v>252</v>
      </c>
      <c r="C519" s="41">
        <v>39437</v>
      </c>
      <c r="D519" s="46" t="s">
        <v>41</v>
      </c>
      <c r="E519" s="46" t="s">
        <v>551</v>
      </c>
      <c r="F519" s="43">
        <v>49</v>
      </c>
      <c r="G519" s="43">
        <v>1</v>
      </c>
      <c r="H519" s="43">
        <v>16</v>
      </c>
      <c r="I519" s="354">
        <v>240</v>
      </c>
      <c r="J519" s="355">
        <v>46</v>
      </c>
      <c r="K519" s="143">
        <f>J519/G519</f>
        <v>46</v>
      </c>
      <c r="L519" s="144">
        <f>I519/J519</f>
        <v>5.217391304347826</v>
      </c>
      <c r="M519" s="135">
        <f>265356+150950+36636+752+2313+871+2481+84+743+187+110+488+748+1242+50+240</f>
        <v>463251</v>
      </c>
      <c r="N519" s="133">
        <f>28419+15898+4109+157+424+163+412+14+140+31+21+106+161+211+8+46</f>
        <v>50320</v>
      </c>
      <c r="O519" s="81">
        <f t="shared" si="56"/>
        <v>9.20610095389507</v>
      </c>
      <c r="P519" s="232"/>
    </row>
    <row r="520" spans="1:16" ht="15">
      <c r="A520" s="91">
        <v>517</v>
      </c>
      <c r="B520" s="56" t="s">
        <v>213</v>
      </c>
      <c r="C520" s="41">
        <v>39087</v>
      </c>
      <c r="D520" s="46" t="s">
        <v>41</v>
      </c>
      <c r="E520" s="46" t="s">
        <v>46</v>
      </c>
      <c r="F520" s="43">
        <v>80</v>
      </c>
      <c r="G520" s="43">
        <v>2</v>
      </c>
      <c r="H520" s="43">
        <v>38</v>
      </c>
      <c r="I520" s="187">
        <v>233</v>
      </c>
      <c r="J520" s="188">
        <v>26</v>
      </c>
      <c r="K520" s="206">
        <f>J520/G520</f>
        <v>13</v>
      </c>
      <c r="L520" s="207">
        <f>I520/J520</f>
        <v>8.961538461538462</v>
      </c>
      <c r="M520" s="191">
        <f>1367+686114+384405+247619+146119+85619+63759-1+18934+11869+10791+11315+6907+8812+6730+2628+1465+749+1063+756+276+1198+612+510+45+1062+592+1782+205+893+893+2490+691+2542+60+12+1977+1181+455+192+233</f>
        <v>1714921</v>
      </c>
      <c r="N520" s="189">
        <f>80773+116+46317+29887+17891+10484+7685+2801+1917+1334+1333+755+1517+932+417+307+136+369+126+23+122+85+45+5+126+49+510+33+296+296+415+68+356+20+4+312+121+50+20+26</f>
        <v>208079</v>
      </c>
      <c r="O520" s="218">
        <f t="shared" si="56"/>
        <v>8.241682245685533</v>
      </c>
      <c r="P520" s="232"/>
    </row>
    <row r="521" spans="1:16" ht="15">
      <c r="A521" s="91">
        <v>518</v>
      </c>
      <c r="B521" s="56" t="s">
        <v>476</v>
      </c>
      <c r="C521" s="42">
        <v>39430</v>
      </c>
      <c r="D521" s="46" t="s">
        <v>43</v>
      </c>
      <c r="E521" s="46" t="s">
        <v>434</v>
      </c>
      <c r="F521" s="235">
        <v>43</v>
      </c>
      <c r="G521" s="43">
        <v>1</v>
      </c>
      <c r="H521" s="43">
        <v>11</v>
      </c>
      <c r="I521" s="187">
        <v>232.5</v>
      </c>
      <c r="J521" s="188">
        <v>71</v>
      </c>
      <c r="K521" s="206">
        <f>J521/G521</f>
        <v>71</v>
      </c>
      <c r="L521" s="207">
        <f>I521/J521</f>
        <v>3.2746478873239435</v>
      </c>
      <c r="M521" s="191">
        <f>43240+25728.5+5226.5+5207.5+50+1692+2247+3101.5+796+326+232.5</f>
        <v>87847.5</v>
      </c>
      <c r="N521" s="189">
        <f>5272+3593+870+1171+5+336+461+717+182+62+71</f>
        <v>12740</v>
      </c>
      <c r="O521" s="218">
        <f t="shared" si="56"/>
        <v>6.895408163265306</v>
      </c>
      <c r="P521" s="232">
        <v>1</v>
      </c>
    </row>
    <row r="522" spans="1:16" ht="15">
      <c r="A522" s="91">
        <v>519</v>
      </c>
      <c r="B522" s="56" t="s">
        <v>438</v>
      </c>
      <c r="C522" s="42">
        <v>39318</v>
      </c>
      <c r="D522" s="87" t="s">
        <v>42</v>
      </c>
      <c r="E522" s="87" t="s">
        <v>45</v>
      </c>
      <c r="F522" s="43">
        <v>116</v>
      </c>
      <c r="G522" s="43">
        <v>1</v>
      </c>
      <c r="H522" s="43">
        <v>20</v>
      </c>
      <c r="I522" s="86">
        <v>232</v>
      </c>
      <c r="J522" s="95">
        <v>187</v>
      </c>
      <c r="K522" s="133">
        <f>J522/G522</f>
        <v>187</v>
      </c>
      <c r="L522" s="134">
        <f>+I522/J522</f>
        <v>1.2406417112299466</v>
      </c>
      <c r="M522" s="135">
        <v>2643571</v>
      </c>
      <c r="N522" s="133">
        <v>331519</v>
      </c>
      <c r="O522" s="155">
        <f t="shared" si="56"/>
        <v>7.974116114008549</v>
      </c>
      <c r="P522" s="333"/>
    </row>
    <row r="523" spans="1:16" ht="15">
      <c r="A523" s="91">
        <v>520</v>
      </c>
      <c r="B523" s="55" t="s">
        <v>76</v>
      </c>
      <c r="C523" s="41">
        <v>39346</v>
      </c>
      <c r="D523" s="44" t="s">
        <v>81</v>
      </c>
      <c r="E523" s="44" t="s">
        <v>290</v>
      </c>
      <c r="F523" s="63">
        <v>43</v>
      </c>
      <c r="G523" s="63">
        <v>1</v>
      </c>
      <c r="H523" s="63">
        <v>14</v>
      </c>
      <c r="I523" s="94">
        <v>230</v>
      </c>
      <c r="J523" s="116">
        <v>46</v>
      </c>
      <c r="K523" s="136">
        <f>IF(I523&lt;&gt;0,J523/G523,"")</f>
        <v>46</v>
      </c>
      <c r="L523" s="137">
        <f>IF(I523&lt;&gt;0,I523/J523,"")</f>
        <v>5</v>
      </c>
      <c r="M523" s="138">
        <f>123853+230</f>
        <v>124083</v>
      </c>
      <c r="N523" s="133">
        <f>17022+46</f>
        <v>17068</v>
      </c>
      <c r="O523" s="156">
        <f>IF(M523&lt;&gt;0,M523/N523,"")</f>
        <v>7.2699203187251</v>
      </c>
      <c r="P523" s="232"/>
    </row>
    <row r="524" spans="1:16" ht="15">
      <c r="A524" s="91">
        <v>521</v>
      </c>
      <c r="B524" s="55" t="s">
        <v>502</v>
      </c>
      <c r="C524" s="41">
        <v>39381</v>
      </c>
      <c r="D524" s="44" t="s">
        <v>81</v>
      </c>
      <c r="E524" s="44" t="s">
        <v>143</v>
      </c>
      <c r="F524" s="63">
        <v>91</v>
      </c>
      <c r="G524" s="63">
        <v>1</v>
      </c>
      <c r="H524" s="63">
        <v>22</v>
      </c>
      <c r="I524" s="94">
        <v>230</v>
      </c>
      <c r="J524" s="193">
        <v>46</v>
      </c>
      <c r="K524" s="194">
        <f>IF(I524&lt;&gt;0,J524/G524,"")</f>
        <v>46</v>
      </c>
      <c r="L524" s="195">
        <f>IF(I524&lt;&gt;0,I524/J524,"")</f>
        <v>5</v>
      </c>
      <c r="M524" s="138">
        <v>2465252.5</v>
      </c>
      <c r="N524" s="189">
        <v>289800</v>
      </c>
      <c r="O524" s="216">
        <f>IF(M524&lt;&gt;0,M524/N524,"")</f>
        <v>8.50673740510697</v>
      </c>
      <c r="P524" s="402"/>
    </row>
    <row r="525" spans="1:16" ht="15">
      <c r="A525" s="91">
        <v>522</v>
      </c>
      <c r="B525" s="57" t="s">
        <v>353</v>
      </c>
      <c r="C525" s="41">
        <v>39444</v>
      </c>
      <c r="D525" s="47" t="s">
        <v>432</v>
      </c>
      <c r="E525" s="47" t="s">
        <v>98</v>
      </c>
      <c r="F525" s="64" t="s">
        <v>515</v>
      </c>
      <c r="G525" s="64" t="s">
        <v>424</v>
      </c>
      <c r="H525" s="64" t="s">
        <v>516</v>
      </c>
      <c r="I525" s="197">
        <v>228</v>
      </c>
      <c r="J525" s="198">
        <v>38</v>
      </c>
      <c r="K525" s="206">
        <f>J525/G525</f>
        <v>38</v>
      </c>
      <c r="L525" s="207">
        <f>I525/J525</f>
        <v>6</v>
      </c>
      <c r="M525" s="199">
        <v>21080.5</v>
      </c>
      <c r="N525" s="200">
        <v>2741</v>
      </c>
      <c r="O525" s="218">
        <f>+M525/N525</f>
        <v>7.690806275082087</v>
      </c>
      <c r="P525" s="333"/>
    </row>
    <row r="526" spans="1:16" ht="15">
      <c r="A526" s="91">
        <v>523</v>
      </c>
      <c r="B526" s="56" t="s">
        <v>418</v>
      </c>
      <c r="C526" s="41">
        <v>39248</v>
      </c>
      <c r="D526" s="46" t="s">
        <v>42</v>
      </c>
      <c r="E526" s="46" t="s">
        <v>38</v>
      </c>
      <c r="F526" s="43">
        <v>160</v>
      </c>
      <c r="G526" s="43">
        <v>1</v>
      </c>
      <c r="H526" s="43">
        <v>43</v>
      </c>
      <c r="I526" s="86">
        <v>223</v>
      </c>
      <c r="J526" s="95">
        <v>41</v>
      </c>
      <c r="K526" s="143">
        <f>J526/G526</f>
        <v>41</v>
      </c>
      <c r="L526" s="144">
        <f>+I526/J526</f>
        <v>5.439024390243903</v>
      </c>
      <c r="M526" s="135">
        <v>4883103</v>
      </c>
      <c r="N526" s="133">
        <v>663139</v>
      </c>
      <c r="O526" s="81">
        <f>+M526/N526</f>
        <v>7.363619090416941</v>
      </c>
      <c r="P526" s="232"/>
    </row>
    <row r="527" spans="1:16" ht="15">
      <c r="A527" s="91">
        <v>524</v>
      </c>
      <c r="B527" s="57" t="s">
        <v>583</v>
      </c>
      <c r="C527" s="42">
        <v>39437</v>
      </c>
      <c r="D527" s="47" t="s">
        <v>425</v>
      </c>
      <c r="E527" s="47" t="s">
        <v>388</v>
      </c>
      <c r="F527" s="88">
        <v>7</v>
      </c>
      <c r="G527" s="89">
        <v>1</v>
      </c>
      <c r="H527" s="88">
        <v>18</v>
      </c>
      <c r="I527" s="85">
        <v>220</v>
      </c>
      <c r="J527" s="93">
        <v>44</v>
      </c>
      <c r="K527" s="143">
        <f>J527/G527</f>
        <v>44</v>
      </c>
      <c r="L527" s="144">
        <f>I527/J527</f>
        <v>5</v>
      </c>
      <c r="M527" s="145">
        <v>53986.7</v>
      </c>
      <c r="N527" s="146">
        <v>7695</v>
      </c>
      <c r="O527" s="81">
        <f>+M527/N527</f>
        <v>7.015815464587394</v>
      </c>
      <c r="P527" s="232"/>
    </row>
    <row r="528" spans="1:16" ht="15">
      <c r="A528" s="91">
        <v>525</v>
      </c>
      <c r="B528" s="56" t="s">
        <v>207</v>
      </c>
      <c r="C528" s="42">
        <v>39444</v>
      </c>
      <c r="D528" s="46" t="s">
        <v>43</v>
      </c>
      <c r="E528" s="46" t="s">
        <v>354</v>
      </c>
      <c r="F528" s="63">
        <v>10</v>
      </c>
      <c r="G528" s="43">
        <v>3</v>
      </c>
      <c r="H528" s="43">
        <v>4</v>
      </c>
      <c r="I528" s="187">
        <v>219</v>
      </c>
      <c r="J528" s="188">
        <v>43</v>
      </c>
      <c r="K528" s="206">
        <f>J528/G528</f>
        <v>14.333333333333334</v>
      </c>
      <c r="L528" s="207">
        <f>I528/J528</f>
        <v>5.093023255813954</v>
      </c>
      <c r="M528" s="191">
        <f>8804+1895+1013.5+219</f>
        <v>11931.5</v>
      </c>
      <c r="N528" s="189">
        <f>970+200+157+43</f>
        <v>1370</v>
      </c>
      <c r="O528" s="217">
        <f>M528/N528</f>
        <v>8.70912408759124</v>
      </c>
      <c r="P528" s="232"/>
    </row>
    <row r="529" spans="1:16" ht="15">
      <c r="A529" s="91">
        <v>526</v>
      </c>
      <c r="B529" s="55" t="s">
        <v>395</v>
      </c>
      <c r="C529" s="41">
        <v>39402</v>
      </c>
      <c r="D529" s="44" t="s">
        <v>81</v>
      </c>
      <c r="E529" s="44" t="s">
        <v>396</v>
      </c>
      <c r="F529" s="63">
        <v>165</v>
      </c>
      <c r="G529" s="63">
        <v>1</v>
      </c>
      <c r="H529" s="63">
        <v>36</v>
      </c>
      <c r="I529" s="192">
        <v>215</v>
      </c>
      <c r="J529" s="193">
        <v>45</v>
      </c>
      <c r="K529" s="194">
        <f>IF(I529&lt;&gt;0,J529/G529,"")</f>
        <v>45</v>
      </c>
      <c r="L529" s="195">
        <f>IF(I529&lt;&gt;0,I529/J529,"")</f>
        <v>4.777777777777778</v>
      </c>
      <c r="M529" s="196">
        <v>14579887.5</v>
      </c>
      <c r="N529" s="189">
        <v>2008972</v>
      </c>
      <c r="O529" s="216">
        <f>IF(M529&lt;&gt;0,M529/N529,"")</f>
        <v>7.257387111418178</v>
      </c>
      <c r="P529" s="232">
        <v>1</v>
      </c>
    </row>
    <row r="530" spans="1:16" ht="15">
      <c r="A530" s="91">
        <v>527</v>
      </c>
      <c r="B530" s="55" t="s">
        <v>392</v>
      </c>
      <c r="C530" s="41">
        <v>39381</v>
      </c>
      <c r="D530" s="44" t="s">
        <v>81</v>
      </c>
      <c r="E530" s="44" t="s">
        <v>143</v>
      </c>
      <c r="F530" s="63">
        <v>91</v>
      </c>
      <c r="G530" s="63">
        <v>1</v>
      </c>
      <c r="H530" s="63">
        <v>16</v>
      </c>
      <c r="I530" s="94">
        <v>215</v>
      </c>
      <c r="J530" s="116">
        <v>43</v>
      </c>
      <c r="K530" s="136">
        <f>IF(I530&lt;&gt;0,J530/G530,"")</f>
        <v>43</v>
      </c>
      <c r="L530" s="195">
        <f>IF(I530&lt;&gt;0,I530/J530,"")</f>
        <v>5</v>
      </c>
      <c r="M530" s="138">
        <f>964543+666618+447582+156310.5+90863+70894+37352.5+3350+1874+714.5+4126+4390+3896+3214+2182+215</f>
        <v>2458124.5</v>
      </c>
      <c r="N530" s="133">
        <f>104009+73251+49929+20007+15751+12767+7228+691+416+233+781+895+779+690+498+43</f>
        <v>287968</v>
      </c>
      <c r="O530" s="216">
        <f>IF(M530&lt;&gt;0,M530/N530,"")</f>
        <v>8.536102969774419</v>
      </c>
      <c r="P530" s="232">
        <v>1</v>
      </c>
    </row>
    <row r="531" spans="1:16" ht="15">
      <c r="A531" s="91">
        <v>528</v>
      </c>
      <c r="B531" s="265" t="s">
        <v>273</v>
      </c>
      <c r="C531" s="42">
        <v>39416</v>
      </c>
      <c r="D531" s="47" t="s">
        <v>223</v>
      </c>
      <c r="E531" s="47" t="s">
        <v>550</v>
      </c>
      <c r="F531" s="64" t="s">
        <v>274</v>
      </c>
      <c r="G531" s="64" t="s">
        <v>424</v>
      </c>
      <c r="H531" s="64" t="s">
        <v>515</v>
      </c>
      <c r="I531" s="197">
        <v>212</v>
      </c>
      <c r="J531" s="198">
        <v>51</v>
      </c>
      <c r="K531" s="206">
        <f>J531/G531</f>
        <v>51</v>
      </c>
      <c r="L531" s="144">
        <f>I531/J531</f>
        <v>4.1568627450980395</v>
      </c>
      <c r="M531" s="199">
        <v>260589.99</v>
      </c>
      <c r="N531" s="200">
        <v>27884</v>
      </c>
      <c r="O531" s="81">
        <f>+M531/N531</f>
        <v>9.345502438674508</v>
      </c>
      <c r="P531" s="316">
        <v>1</v>
      </c>
    </row>
    <row r="532" spans="1:16" ht="15">
      <c r="A532" s="91">
        <v>529</v>
      </c>
      <c r="B532" s="330" t="s">
        <v>472</v>
      </c>
      <c r="C532" s="323">
        <v>39430</v>
      </c>
      <c r="D532" s="322" t="s">
        <v>42</v>
      </c>
      <c r="E532" s="322" t="s">
        <v>38</v>
      </c>
      <c r="F532" s="324">
        <v>137</v>
      </c>
      <c r="G532" s="324">
        <v>2</v>
      </c>
      <c r="H532" s="324">
        <v>26</v>
      </c>
      <c r="I532" s="325">
        <v>209</v>
      </c>
      <c r="J532" s="326">
        <v>155</v>
      </c>
      <c r="K532" s="327">
        <f>J532/G532</f>
        <v>77.5</v>
      </c>
      <c r="L532" s="328">
        <f>+I532/J532</f>
        <v>1.3483870967741935</v>
      </c>
      <c r="M532" s="329">
        <v>3566473</v>
      </c>
      <c r="N532" s="327">
        <v>463309</v>
      </c>
      <c r="O532" s="331">
        <f>+M532/N532</f>
        <v>7.697828015428148</v>
      </c>
      <c r="P532" s="232"/>
    </row>
    <row r="533" spans="1:16" ht="15">
      <c r="A533" s="91">
        <v>530</v>
      </c>
      <c r="B533" s="56" t="s">
        <v>397</v>
      </c>
      <c r="C533" s="42">
        <v>39402</v>
      </c>
      <c r="D533" s="87" t="s">
        <v>42</v>
      </c>
      <c r="E533" s="87" t="s">
        <v>471</v>
      </c>
      <c r="F533" s="43">
        <v>130</v>
      </c>
      <c r="G533" s="43">
        <v>21</v>
      </c>
      <c r="H533" s="43">
        <v>10</v>
      </c>
      <c r="I533" s="187">
        <v>204</v>
      </c>
      <c r="J533" s="188">
        <v>36</v>
      </c>
      <c r="K533" s="189">
        <f>J533/G533</f>
        <v>1.7142857142857142</v>
      </c>
      <c r="L533" s="190">
        <f>+I533/J533</f>
        <v>5.666666666666667</v>
      </c>
      <c r="M533" s="191">
        <v>2077806</v>
      </c>
      <c r="N533" s="189">
        <v>260719</v>
      </c>
      <c r="O533" s="218">
        <f>+M533/N533</f>
        <v>7.96952274287643</v>
      </c>
      <c r="P533" s="232"/>
    </row>
    <row r="534" spans="1:16" ht="15">
      <c r="A534" s="91">
        <v>531</v>
      </c>
      <c r="B534" s="55" t="s">
        <v>279</v>
      </c>
      <c r="C534" s="41">
        <v>39360</v>
      </c>
      <c r="D534" s="45" t="s">
        <v>41</v>
      </c>
      <c r="E534" s="44" t="s">
        <v>140</v>
      </c>
      <c r="F534" s="63">
        <v>73</v>
      </c>
      <c r="G534" s="63">
        <v>1</v>
      </c>
      <c r="H534" s="63">
        <v>18</v>
      </c>
      <c r="I534" s="197">
        <v>203</v>
      </c>
      <c r="J534" s="198">
        <v>29</v>
      </c>
      <c r="K534" s="206">
        <f>J534/G534</f>
        <v>29</v>
      </c>
      <c r="L534" s="207">
        <f>I534/J534</f>
        <v>7</v>
      </c>
      <c r="M534" s="199">
        <f>2527+398811+325917+116748+8773+28+28081+14690+2838+221+3656+238+712+147+168+168+259+147+105+203</f>
        <v>904437</v>
      </c>
      <c r="N534" s="200">
        <f>228+40290+35016+12251+1468+5988+2689+521+31+1450+32+140+21+26+24+37+21+15+29</f>
        <v>100277</v>
      </c>
      <c r="O534" s="218">
        <f>+M534/N534</f>
        <v>9.01938629994914</v>
      </c>
      <c r="P534" s="333"/>
    </row>
    <row r="535" spans="1:16" ht="15">
      <c r="A535" s="91">
        <v>532</v>
      </c>
      <c r="B535" s="56" t="s">
        <v>385</v>
      </c>
      <c r="C535" s="41">
        <v>39437</v>
      </c>
      <c r="D535" s="46" t="s">
        <v>48</v>
      </c>
      <c r="E535" s="46" t="s">
        <v>426</v>
      </c>
      <c r="F535" s="43">
        <v>17</v>
      </c>
      <c r="G535" s="43">
        <v>1</v>
      </c>
      <c r="H535" s="43">
        <v>11</v>
      </c>
      <c r="I535" s="187">
        <v>200</v>
      </c>
      <c r="J535" s="188">
        <v>40</v>
      </c>
      <c r="K535" s="206">
        <f>J535/G535</f>
        <v>40</v>
      </c>
      <c r="L535" s="207">
        <f>I535/J535</f>
        <v>5</v>
      </c>
      <c r="M535" s="191">
        <v>278533</v>
      </c>
      <c r="N535" s="189">
        <v>26604</v>
      </c>
      <c r="O535" s="218">
        <f>+M535/N535</f>
        <v>10.469591038941513</v>
      </c>
      <c r="P535" s="232">
        <v>1</v>
      </c>
    </row>
    <row r="536" spans="1:16" ht="15">
      <c r="A536" s="91">
        <v>533</v>
      </c>
      <c r="B536" s="56" t="s">
        <v>282</v>
      </c>
      <c r="C536" s="42">
        <v>39409</v>
      </c>
      <c r="D536" s="46" t="s">
        <v>43</v>
      </c>
      <c r="E536" s="46" t="s">
        <v>381</v>
      </c>
      <c r="F536" s="43">
        <v>13</v>
      </c>
      <c r="G536" s="43">
        <v>1</v>
      </c>
      <c r="H536" s="43">
        <v>6</v>
      </c>
      <c r="I536" s="86">
        <v>193</v>
      </c>
      <c r="J536" s="95">
        <v>38</v>
      </c>
      <c r="K536" s="136">
        <f>IF(I536&lt;&gt;0,J536/G536,"")</f>
        <v>38</v>
      </c>
      <c r="L536" s="137">
        <f>IF(I536&lt;&gt;0,I536/J536,"")</f>
        <v>5.078947368421052</v>
      </c>
      <c r="M536" s="135">
        <f>12464+5333-100+2072+1025+199+193</f>
        <v>21186</v>
      </c>
      <c r="N536" s="133">
        <f>1407+644-8+342+204+38+38</f>
        <v>2665</v>
      </c>
      <c r="O536" s="156">
        <f>IF(M536&lt;&gt;0,M536/N536,"")</f>
        <v>7.949718574108818</v>
      </c>
      <c r="P536" s="232"/>
    </row>
    <row r="537" spans="1:16" ht="15">
      <c r="A537" s="91">
        <v>534</v>
      </c>
      <c r="B537" s="56" t="s">
        <v>213</v>
      </c>
      <c r="C537" s="41">
        <v>39087</v>
      </c>
      <c r="D537" s="46" t="s">
        <v>41</v>
      </c>
      <c r="E537" s="46" t="s">
        <v>46</v>
      </c>
      <c r="F537" s="43">
        <v>80</v>
      </c>
      <c r="G537" s="43">
        <v>2</v>
      </c>
      <c r="H537" s="43">
        <v>37</v>
      </c>
      <c r="I537" s="187">
        <v>192</v>
      </c>
      <c r="J537" s="188">
        <v>20</v>
      </c>
      <c r="K537" s="206">
        <f>J537/G537</f>
        <v>10</v>
      </c>
      <c r="L537" s="207">
        <f>I537/J537</f>
        <v>9.6</v>
      </c>
      <c r="M537" s="191">
        <f>1367+686114+384405+247619+146119+85619+63759-1+18934+11869+10791+11315+6907+8812+6730+2628+1465+749+1063+756+276+1198+612+510+45+1062+592+1782+205+893+893+2490+691+2542+60+12+1977+1181+455+192</f>
        <v>1714688</v>
      </c>
      <c r="N537" s="189">
        <f>80773+116+46317+29887+17891+10484+7685+2801+1917+1334+1333+755+1517+932+417+307+136+369+126+23+122+85+45+5+126+49+510+33+296+296+415+68+356+20+4+312+121+50+20</f>
        <v>208053</v>
      </c>
      <c r="O537" s="218">
        <f>+M537/N537</f>
        <v>8.241592286580824</v>
      </c>
      <c r="P537" s="232">
        <v>1</v>
      </c>
    </row>
    <row r="538" spans="1:16" ht="15">
      <c r="A538" s="91">
        <v>535</v>
      </c>
      <c r="B538" s="56" t="s">
        <v>250</v>
      </c>
      <c r="C538" s="41">
        <v>39395</v>
      </c>
      <c r="D538" s="46" t="s">
        <v>223</v>
      </c>
      <c r="E538" s="46" t="s">
        <v>91</v>
      </c>
      <c r="F538" s="43" t="s">
        <v>430</v>
      </c>
      <c r="G538" s="43" t="s">
        <v>424</v>
      </c>
      <c r="H538" s="43" t="s">
        <v>264</v>
      </c>
      <c r="I538" s="187">
        <v>190</v>
      </c>
      <c r="J538" s="188">
        <v>38</v>
      </c>
      <c r="K538" s="206">
        <f>J538/G538</f>
        <v>38</v>
      </c>
      <c r="L538" s="207">
        <f>I538/J538</f>
        <v>5</v>
      </c>
      <c r="M538" s="191">
        <v>154547.54</v>
      </c>
      <c r="N538" s="189">
        <v>25632</v>
      </c>
      <c r="O538" s="218">
        <f>+M538/N538</f>
        <v>6.0294764357053685</v>
      </c>
      <c r="P538" s="333"/>
    </row>
    <row r="539" spans="1:16" ht="15">
      <c r="A539" s="91">
        <v>536</v>
      </c>
      <c r="B539" s="55" t="s">
        <v>252</v>
      </c>
      <c r="C539" s="41">
        <v>39437</v>
      </c>
      <c r="D539" s="45" t="s">
        <v>41</v>
      </c>
      <c r="E539" s="44" t="s">
        <v>551</v>
      </c>
      <c r="F539" s="63">
        <v>49</v>
      </c>
      <c r="G539" s="63">
        <v>2</v>
      </c>
      <c r="H539" s="63">
        <v>10</v>
      </c>
      <c r="I539" s="197">
        <v>187</v>
      </c>
      <c r="J539" s="198">
        <v>31</v>
      </c>
      <c r="K539" s="206">
        <f>J539/G539</f>
        <v>15.5</v>
      </c>
      <c r="L539" s="207">
        <f>I539/J539</f>
        <v>6.032258064516129</v>
      </c>
      <c r="M539" s="199">
        <f>265356+150950+36636+752+2313+871+2481+84+743+187</f>
        <v>460373</v>
      </c>
      <c r="N539" s="200">
        <f>28419+15898+4109+157+424+163+412+14+140+31</f>
        <v>49767</v>
      </c>
      <c r="O539" s="218">
        <f>+M539/N539</f>
        <v>9.250567645226758</v>
      </c>
      <c r="P539" s="232">
        <v>1</v>
      </c>
    </row>
    <row r="540" spans="1:16" ht="15">
      <c r="A540" s="91">
        <v>537</v>
      </c>
      <c r="B540" s="56" t="s">
        <v>398</v>
      </c>
      <c r="C540" s="42">
        <v>39402</v>
      </c>
      <c r="D540" s="46" t="s">
        <v>43</v>
      </c>
      <c r="E540" s="46" t="s">
        <v>467</v>
      </c>
      <c r="F540" s="43">
        <v>125</v>
      </c>
      <c r="G540" s="43">
        <v>1</v>
      </c>
      <c r="H540" s="43">
        <v>23</v>
      </c>
      <c r="I540" s="191">
        <v>186</v>
      </c>
      <c r="J540" s="189">
        <v>31</v>
      </c>
      <c r="K540" s="211">
        <f>J540/G540</f>
        <v>31</v>
      </c>
      <c r="L540" s="212">
        <f>I540/J540</f>
        <v>6</v>
      </c>
      <c r="M540" s="191">
        <f>676439.5+554539.5+408532.5+265092+4+63975.5-30+36417+32233.5+29355.5+9292+4684+3839.75+6311.5+292.5+748+464+444+276+606+730+40+14+18+186</f>
        <v>2094504.75</v>
      </c>
      <c r="N540" s="189">
        <f>91933+76364+57186+39863+2+10711+6714+6020+5300+2353+1269+898+1545+86+187+116+111+69+120+183+4+2+2+31</f>
        <v>301069</v>
      </c>
      <c r="O540" s="219">
        <f>M540/N540</f>
        <v>6.95689277208879</v>
      </c>
      <c r="P540" s="232">
        <v>1</v>
      </c>
    </row>
    <row r="541" spans="1:16" ht="15">
      <c r="A541" s="91">
        <v>538</v>
      </c>
      <c r="B541" s="350" t="s">
        <v>472</v>
      </c>
      <c r="C541" s="42">
        <v>39430</v>
      </c>
      <c r="D541" s="87" t="s">
        <v>42</v>
      </c>
      <c r="E541" s="87" t="s">
        <v>38</v>
      </c>
      <c r="F541" s="43">
        <v>137</v>
      </c>
      <c r="G541" s="43">
        <v>1</v>
      </c>
      <c r="H541" s="43">
        <v>31</v>
      </c>
      <c r="I541" s="345">
        <v>185</v>
      </c>
      <c r="J541" s="346">
        <v>37</v>
      </c>
      <c r="K541" s="189">
        <f>J541/G541</f>
        <v>37</v>
      </c>
      <c r="L541" s="190">
        <f>+I541/J541</f>
        <v>5</v>
      </c>
      <c r="M541" s="191">
        <v>3570304</v>
      </c>
      <c r="N541" s="189">
        <v>464383</v>
      </c>
      <c r="O541" s="215">
        <f>+M541/N541</f>
        <v>7.688274549240606</v>
      </c>
      <c r="P541" s="318"/>
    </row>
    <row r="542" spans="1:16" ht="15">
      <c r="A542" s="91">
        <v>539</v>
      </c>
      <c r="B542" s="55" t="s">
        <v>429</v>
      </c>
      <c r="C542" s="41">
        <v>39164</v>
      </c>
      <c r="D542" s="44" t="s">
        <v>81</v>
      </c>
      <c r="E542" s="44" t="s">
        <v>51</v>
      </c>
      <c r="F542" s="63">
        <v>119</v>
      </c>
      <c r="G542" s="63">
        <v>1</v>
      </c>
      <c r="H542" s="63">
        <v>30</v>
      </c>
      <c r="I542" s="94">
        <v>185</v>
      </c>
      <c r="J542" s="116">
        <v>37</v>
      </c>
      <c r="K542" s="136">
        <f>IF(I542&lt;&gt;0,J542/G542,"")</f>
        <v>37</v>
      </c>
      <c r="L542" s="195">
        <f>IF(I542&lt;&gt;0,I542/J542,"")</f>
        <v>5</v>
      </c>
      <c r="M542" s="138">
        <f>1508816.5+185</f>
        <v>1509001.5</v>
      </c>
      <c r="N542" s="133">
        <f>201542+0+37</f>
        <v>201579</v>
      </c>
      <c r="O542" s="216">
        <f>IF(M542&lt;&gt;0,M542/N542,"")</f>
        <v>7.485906269998363</v>
      </c>
      <c r="P542" s="232"/>
    </row>
    <row r="543" spans="1:16" ht="15">
      <c r="A543" s="91">
        <v>540</v>
      </c>
      <c r="B543" s="57" t="s">
        <v>514</v>
      </c>
      <c r="C543" s="42">
        <v>39437</v>
      </c>
      <c r="D543" s="47" t="s">
        <v>425</v>
      </c>
      <c r="E543" s="47" t="s">
        <v>289</v>
      </c>
      <c r="F543" s="88">
        <v>1</v>
      </c>
      <c r="G543" s="89">
        <v>1</v>
      </c>
      <c r="H543" s="88">
        <v>5</v>
      </c>
      <c r="I543" s="85">
        <v>180.5</v>
      </c>
      <c r="J543" s="93">
        <v>71</v>
      </c>
      <c r="K543" s="143">
        <f aca="true" t="shared" si="57" ref="K543:K555">J543/G543</f>
        <v>71</v>
      </c>
      <c r="L543" s="207">
        <f aca="true" t="shared" si="58" ref="L543:L554">I543/J543</f>
        <v>2.5422535211267605</v>
      </c>
      <c r="M543" s="145">
        <v>23749.9</v>
      </c>
      <c r="N543" s="146">
        <v>3467</v>
      </c>
      <c r="O543" s="218">
        <f aca="true" t="shared" si="59" ref="O543:O555">+M543/N543</f>
        <v>6.8502740121142205</v>
      </c>
      <c r="P543" s="316">
        <v>1</v>
      </c>
    </row>
    <row r="544" spans="1:16" ht="15">
      <c r="A544" s="91">
        <v>541</v>
      </c>
      <c r="B544" s="56" t="s">
        <v>300</v>
      </c>
      <c r="C544" s="42">
        <v>39437</v>
      </c>
      <c r="D544" s="47" t="s">
        <v>425</v>
      </c>
      <c r="E544" s="47" t="s">
        <v>388</v>
      </c>
      <c r="F544" s="88">
        <v>7</v>
      </c>
      <c r="G544" s="89">
        <v>1</v>
      </c>
      <c r="H544" s="88">
        <v>4</v>
      </c>
      <c r="I544" s="197">
        <v>180</v>
      </c>
      <c r="J544" s="198">
        <v>36</v>
      </c>
      <c r="K544" s="206">
        <f t="shared" si="57"/>
        <v>36</v>
      </c>
      <c r="L544" s="207">
        <f t="shared" si="58"/>
        <v>5</v>
      </c>
      <c r="M544" s="199">
        <v>38606</v>
      </c>
      <c r="N544" s="200">
        <v>4943</v>
      </c>
      <c r="O544" s="218">
        <f t="shared" si="59"/>
        <v>7.810236698361319</v>
      </c>
      <c r="P544" s="232"/>
    </row>
    <row r="545" spans="1:16" ht="15">
      <c r="A545" s="91">
        <v>542</v>
      </c>
      <c r="B545" s="57" t="s">
        <v>200</v>
      </c>
      <c r="C545" s="42">
        <v>39255</v>
      </c>
      <c r="D545" s="47" t="s">
        <v>425</v>
      </c>
      <c r="E545" s="47" t="s">
        <v>426</v>
      </c>
      <c r="F545" s="88">
        <v>1</v>
      </c>
      <c r="G545" s="89">
        <v>1</v>
      </c>
      <c r="H545" s="88">
        <v>15</v>
      </c>
      <c r="I545" s="85">
        <v>179.5</v>
      </c>
      <c r="J545" s="93">
        <v>69</v>
      </c>
      <c r="K545" s="143">
        <f t="shared" si="57"/>
        <v>69</v>
      </c>
      <c r="L545" s="207">
        <f t="shared" si="58"/>
        <v>2.601449275362319</v>
      </c>
      <c r="M545" s="145">
        <v>41194.75</v>
      </c>
      <c r="N545" s="146">
        <v>5503</v>
      </c>
      <c r="O545" s="218">
        <f t="shared" si="59"/>
        <v>7.485871342903871</v>
      </c>
      <c r="P545" s="232"/>
    </row>
    <row r="546" spans="1:16" ht="15">
      <c r="A546" s="91">
        <v>543</v>
      </c>
      <c r="B546" s="56" t="s">
        <v>470</v>
      </c>
      <c r="C546" s="41">
        <v>39430</v>
      </c>
      <c r="D546" s="46" t="s">
        <v>42</v>
      </c>
      <c r="E546" s="46" t="s">
        <v>12</v>
      </c>
      <c r="F546" s="43">
        <v>242</v>
      </c>
      <c r="G546" s="43">
        <v>1</v>
      </c>
      <c r="H546" s="43">
        <v>17</v>
      </c>
      <c r="I546" s="187">
        <v>178</v>
      </c>
      <c r="J546" s="188">
        <v>32</v>
      </c>
      <c r="K546" s="206">
        <f t="shared" si="57"/>
        <v>32</v>
      </c>
      <c r="L546" s="207">
        <f t="shared" si="58"/>
        <v>5.5625</v>
      </c>
      <c r="M546" s="191">
        <v>15280882</v>
      </c>
      <c r="N546" s="189">
        <v>1984841</v>
      </c>
      <c r="O546" s="218">
        <f t="shared" si="59"/>
        <v>7.698794009192676</v>
      </c>
      <c r="P546" s="232">
        <v>1</v>
      </c>
    </row>
    <row r="547" spans="1:16" ht="15">
      <c r="A547" s="91">
        <v>544</v>
      </c>
      <c r="B547" s="55" t="s">
        <v>96</v>
      </c>
      <c r="C547" s="41">
        <v>39332</v>
      </c>
      <c r="D547" s="45" t="s">
        <v>41</v>
      </c>
      <c r="E547" s="44" t="s">
        <v>140</v>
      </c>
      <c r="F547" s="63">
        <v>61</v>
      </c>
      <c r="G547" s="63">
        <v>1</v>
      </c>
      <c r="H547" s="63">
        <v>12</v>
      </c>
      <c r="I547" s="197">
        <v>173</v>
      </c>
      <c r="J547" s="198">
        <v>43</v>
      </c>
      <c r="K547" s="206">
        <f t="shared" si="57"/>
        <v>43</v>
      </c>
      <c r="L547" s="207">
        <f t="shared" si="58"/>
        <v>4.023255813953488</v>
      </c>
      <c r="M547" s="199">
        <f>1122962+173</f>
        <v>1123135</v>
      </c>
      <c r="N547" s="200">
        <f>117710+43</f>
        <v>117753</v>
      </c>
      <c r="O547" s="218">
        <f t="shared" si="59"/>
        <v>9.538058478340254</v>
      </c>
      <c r="P547" s="316"/>
    </row>
    <row r="548" spans="1:16" ht="15">
      <c r="A548" s="91">
        <v>545</v>
      </c>
      <c r="B548" s="56" t="s">
        <v>278</v>
      </c>
      <c r="C548" s="41">
        <v>39416</v>
      </c>
      <c r="D548" s="299" t="s">
        <v>425</v>
      </c>
      <c r="E548" s="299" t="s">
        <v>546</v>
      </c>
      <c r="F548" s="43">
        <v>4</v>
      </c>
      <c r="G548" s="43">
        <v>1</v>
      </c>
      <c r="H548" s="43">
        <v>11</v>
      </c>
      <c r="I548" s="187">
        <v>171</v>
      </c>
      <c r="J548" s="188">
        <v>25</v>
      </c>
      <c r="K548" s="206">
        <f t="shared" si="57"/>
        <v>25</v>
      </c>
      <c r="L548" s="207">
        <f t="shared" si="58"/>
        <v>6.84</v>
      </c>
      <c r="M548" s="191">
        <v>47710</v>
      </c>
      <c r="N548" s="189">
        <v>5642</v>
      </c>
      <c r="O548" s="218">
        <f t="shared" si="59"/>
        <v>8.456221198156681</v>
      </c>
      <c r="P548" s="232">
        <v>1</v>
      </c>
    </row>
    <row r="549" spans="1:16" ht="15">
      <c r="A549" s="91">
        <v>546</v>
      </c>
      <c r="B549" s="56" t="s">
        <v>510</v>
      </c>
      <c r="C549" s="41">
        <v>39402</v>
      </c>
      <c r="D549" s="46" t="s">
        <v>41</v>
      </c>
      <c r="E549" s="46" t="s">
        <v>217</v>
      </c>
      <c r="F549" s="43">
        <v>64</v>
      </c>
      <c r="G549" s="43">
        <v>1</v>
      </c>
      <c r="H549" s="43">
        <v>15</v>
      </c>
      <c r="I549" s="354">
        <v>170</v>
      </c>
      <c r="J549" s="355">
        <v>29</v>
      </c>
      <c r="K549" s="143">
        <f t="shared" si="57"/>
        <v>29</v>
      </c>
      <c r="L549" s="144">
        <f t="shared" si="58"/>
        <v>5.862068965517241</v>
      </c>
      <c r="M549" s="135">
        <f>299858+213967+97347+22667+8568+16509+4053+3337+284+4988+2264+2342+1487+734+170</f>
        <v>678575</v>
      </c>
      <c r="N549" s="133">
        <f>33225+24189+12517+4002+2479+2973+867+358+35+802+375+456+362+125+29</f>
        <v>82794</v>
      </c>
      <c r="O549" s="81">
        <f t="shared" si="59"/>
        <v>8.19594415054231</v>
      </c>
      <c r="P549" s="232"/>
    </row>
    <row r="550" spans="1:16" ht="15">
      <c r="A550" s="91">
        <v>547</v>
      </c>
      <c r="B550" s="57" t="s">
        <v>201</v>
      </c>
      <c r="C550" s="42">
        <v>39332</v>
      </c>
      <c r="D550" s="47" t="s">
        <v>425</v>
      </c>
      <c r="E550" s="47" t="s">
        <v>50</v>
      </c>
      <c r="F550" s="88">
        <v>23</v>
      </c>
      <c r="G550" s="89">
        <v>1</v>
      </c>
      <c r="H550" s="88">
        <v>13</v>
      </c>
      <c r="I550" s="85">
        <v>168.5</v>
      </c>
      <c r="J550" s="93">
        <v>67</v>
      </c>
      <c r="K550" s="143">
        <f t="shared" si="57"/>
        <v>67</v>
      </c>
      <c r="L550" s="207">
        <f t="shared" si="58"/>
        <v>2.514925373134328</v>
      </c>
      <c r="M550" s="145">
        <v>237345.5</v>
      </c>
      <c r="N550" s="146">
        <v>27036</v>
      </c>
      <c r="O550" s="218">
        <f t="shared" si="59"/>
        <v>8.778868915520047</v>
      </c>
      <c r="P550" s="316"/>
    </row>
    <row r="551" spans="1:16" ht="15">
      <c r="A551" s="91">
        <v>548</v>
      </c>
      <c r="B551" s="55" t="s">
        <v>469</v>
      </c>
      <c r="C551" s="41">
        <v>39423</v>
      </c>
      <c r="D551" s="44" t="s">
        <v>81</v>
      </c>
      <c r="E551" s="44" t="s">
        <v>290</v>
      </c>
      <c r="F551" s="63">
        <v>164</v>
      </c>
      <c r="G551" s="63">
        <v>1</v>
      </c>
      <c r="H551" s="63">
        <v>13</v>
      </c>
      <c r="I551" s="94">
        <v>168</v>
      </c>
      <c r="J551" s="116">
        <v>42</v>
      </c>
      <c r="K551" s="143">
        <f t="shared" si="57"/>
        <v>42</v>
      </c>
      <c r="L551" s="207">
        <f t="shared" si="58"/>
        <v>4</v>
      </c>
      <c r="M551" s="138">
        <f>1455428+896564.5+785700+295594.5+45815.5+11311.5+13282+11389+10839+9534+2826+2532+168</f>
        <v>3540984</v>
      </c>
      <c r="N551" s="133">
        <f>172176+105411+97548+39201+8243+2114+2845+2112+2384+1888+598+623+42</f>
        <v>435185</v>
      </c>
      <c r="O551" s="218">
        <f t="shared" si="59"/>
        <v>8.136732653928789</v>
      </c>
      <c r="P551" s="232">
        <v>1</v>
      </c>
    </row>
    <row r="552" spans="1:16" ht="15">
      <c r="A552" s="91">
        <v>549</v>
      </c>
      <c r="B552" s="56" t="s">
        <v>398</v>
      </c>
      <c r="C552" s="42">
        <v>39402</v>
      </c>
      <c r="D552" s="46" t="s">
        <v>43</v>
      </c>
      <c r="E552" s="46" t="s">
        <v>467</v>
      </c>
      <c r="F552" s="43">
        <v>125</v>
      </c>
      <c r="G552" s="43">
        <v>1</v>
      </c>
      <c r="H552" s="43">
        <v>24</v>
      </c>
      <c r="I552" s="86">
        <v>168</v>
      </c>
      <c r="J552" s="95">
        <v>28</v>
      </c>
      <c r="K552" s="143">
        <f t="shared" si="57"/>
        <v>28</v>
      </c>
      <c r="L552" s="144">
        <f t="shared" si="58"/>
        <v>6</v>
      </c>
      <c r="M552" s="135">
        <f>676439.5+554539.5+408532.5+265092+4+63975.5-30+36417+32233.5+29355.5+9292+4684+3839.75+6311.5+292.5+748+464+444+276+606+730+40+14+18+186+168</f>
        <v>2094672.75</v>
      </c>
      <c r="N552" s="381">
        <f>91933+76364+57186+39863+2+10711+6714+6020+5300+2353+1269+898+1545+86+187+116+111+69+120+183+4+2+2+31+28</f>
        <v>301097</v>
      </c>
      <c r="O552" s="81">
        <f t="shared" si="59"/>
        <v>6.956803787483768</v>
      </c>
      <c r="P552" s="232"/>
    </row>
    <row r="553" spans="1:16" ht="15">
      <c r="A553" s="91">
        <v>550</v>
      </c>
      <c r="B553" s="56" t="s">
        <v>97</v>
      </c>
      <c r="C553" s="42">
        <v>38947</v>
      </c>
      <c r="D553" s="46" t="s">
        <v>43</v>
      </c>
      <c r="E553" s="46" t="s">
        <v>44</v>
      </c>
      <c r="F553" s="63">
        <v>85</v>
      </c>
      <c r="G553" s="43">
        <v>1</v>
      </c>
      <c r="H553" s="43">
        <v>33</v>
      </c>
      <c r="I553" s="187">
        <v>168</v>
      </c>
      <c r="J553" s="188">
        <v>24</v>
      </c>
      <c r="K553" s="206">
        <f t="shared" si="57"/>
        <v>24</v>
      </c>
      <c r="L553" s="207">
        <f t="shared" si="58"/>
        <v>7</v>
      </c>
      <c r="M553" s="191">
        <f>851045+613251.5+405140+216081+124391+88721.5+33772.5+20268.5+9628+2255.5+1314.5+2611.5+726.5+537.5+1115+625.5+6606+1330.5+1386+-611+1222+4532+530+28400+130+4027.5+416+3201.5+838+1128+2376+4027+2423+168</f>
        <v>2433615.5</v>
      </c>
      <c r="N553" s="189">
        <f>116878+84823+56865+31359+21609+17621+6633+4111+1582+390+233+473+110+78+157+95+2946+355+318+132+906+105+5667+18+806+100+801+209+188+594+1006+599+24</f>
        <v>357791</v>
      </c>
      <c r="O553" s="218">
        <f t="shared" si="59"/>
        <v>6.801779530508034</v>
      </c>
      <c r="P553" s="232">
        <v>1</v>
      </c>
    </row>
    <row r="554" spans="1:16" ht="15">
      <c r="A554" s="91">
        <v>551</v>
      </c>
      <c r="B554" s="55" t="s">
        <v>279</v>
      </c>
      <c r="C554" s="41">
        <v>39360</v>
      </c>
      <c r="D554" s="45" t="s">
        <v>41</v>
      </c>
      <c r="E554" s="44" t="s">
        <v>140</v>
      </c>
      <c r="F554" s="63">
        <v>73</v>
      </c>
      <c r="G554" s="63">
        <v>1</v>
      </c>
      <c r="H554" s="63">
        <v>14</v>
      </c>
      <c r="I554" s="85">
        <v>168</v>
      </c>
      <c r="J554" s="93">
        <v>24</v>
      </c>
      <c r="K554" s="143">
        <f t="shared" si="57"/>
        <v>24</v>
      </c>
      <c r="L554" s="144">
        <f t="shared" si="58"/>
        <v>7</v>
      </c>
      <c r="M554" s="145">
        <f>2527+398811+325917+116748+8773+28+28081+14690+2838+221+3656+238+712+147+168+168</f>
        <v>903723</v>
      </c>
      <c r="N554" s="146">
        <f>228+40290+35016+12251+1468+5988+2689+521+31+1450+32+140+21+26+24</f>
        <v>100175</v>
      </c>
      <c r="O554" s="81">
        <f t="shared" si="59"/>
        <v>9.021442475667582</v>
      </c>
      <c r="P554" s="232"/>
    </row>
    <row r="555" spans="1:16" ht="15">
      <c r="A555" s="91">
        <v>552</v>
      </c>
      <c r="B555" s="350" t="s">
        <v>470</v>
      </c>
      <c r="C555" s="42">
        <v>39430</v>
      </c>
      <c r="D555" s="87" t="s">
        <v>42</v>
      </c>
      <c r="E555" s="87" t="s">
        <v>218</v>
      </c>
      <c r="F555" s="43">
        <v>242</v>
      </c>
      <c r="G555" s="43">
        <v>1</v>
      </c>
      <c r="H555" s="43">
        <v>38</v>
      </c>
      <c r="I555" s="135">
        <v>165</v>
      </c>
      <c r="J555" s="189">
        <v>33</v>
      </c>
      <c r="K555" s="189">
        <f t="shared" si="57"/>
        <v>33</v>
      </c>
      <c r="L555" s="134">
        <f>+I555/J555</f>
        <v>5</v>
      </c>
      <c r="M555" s="135">
        <v>15330934</v>
      </c>
      <c r="N555" s="189">
        <v>2001805</v>
      </c>
      <c r="O555" s="155">
        <f t="shared" si="59"/>
        <v>7.658555153973539</v>
      </c>
      <c r="P555" s="232"/>
    </row>
    <row r="556" spans="1:16" ht="15">
      <c r="A556" s="91">
        <v>553</v>
      </c>
      <c r="B556" s="330" t="s">
        <v>469</v>
      </c>
      <c r="C556" s="323">
        <v>39423</v>
      </c>
      <c r="D556" s="322" t="s">
        <v>81</v>
      </c>
      <c r="E556" s="322" t="s">
        <v>290</v>
      </c>
      <c r="F556" s="324">
        <v>164</v>
      </c>
      <c r="G556" s="324">
        <v>1</v>
      </c>
      <c r="H556" s="324">
        <v>20</v>
      </c>
      <c r="I556" s="325">
        <v>160</v>
      </c>
      <c r="J556" s="326">
        <v>32</v>
      </c>
      <c r="K556" s="327">
        <v>32</v>
      </c>
      <c r="L556" s="328">
        <v>5</v>
      </c>
      <c r="M556" s="329">
        <v>3558384</v>
      </c>
      <c r="N556" s="327">
        <v>439037</v>
      </c>
      <c r="O556" s="331">
        <v>8.104975207100996</v>
      </c>
      <c r="P556" s="232"/>
    </row>
    <row r="557" spans="1:16" ht="15">
      <c r="A557" s="91">
        <v>554</v>
      </c>
      <c r="B557" s="56" t="s">
        <v>472</v>
      </c>
      <c r="C557" s="41">
        <v>39430</v>
      </c>
      <c r="D557" s="299" t="s">
        <v>42</v>
      </c>
      <c r="E557" s="299" t="s">
        <v>38</v>
      </c>
      <c r="F557" s="43">
        <v>137</v>
      </c>
      <c r="G557" s="43">
        <v>1</v>
      </c>
      <c r="H557" s="43">
        <v>15</v>
      </c>
      <c r="I557" s="187">
        <v>155</v>
      </c>
      <c r="J557" s="188">
        <v>31</v>
      </c>
      <c r="K557" s="206">
        <f>J557/G557</f>
        <v>31</v>
      </c>
      <c r="L557" s="207">
        <f>+I557/J557</f>
        <v>5</v>
      </c>
      <c r="M557" s="191">
        <v>3562092</v>
      </c>
      <c r="N557" s="189">
        <v>462151</v>
      </c>
      <c r="O557" s="218">
        <f>+M557/N557</f>
        <v>7.707636681517513</v>
      </c>
      <c r="P557" s="318"/>
    </row>
    <row r="558" spans="1:16" ht="15">
      <c r="A558" s="91">
        <v>555</v>
      </c>
      <c r="B558" s="56" t="s">
        <v>445</v>
      </c>
      <c r="C558" s="42">
        <v>39038</v>
      </c>
      <c r="D558" s="46" t="s">
        <v>43</v>
      </c>
      <c r="E558" s="46" t="s">
        <v>446</v>
      </c>
      <c r="F558" s="43">
        <v>40</v>
      </c>
      <c r="G558" s="43">
        <v>1</v>
      </c>
      <c r="H558" s="43">
        <v>27</v>
      </c>
      <c r="I558" s="86">
        <v>155</v>
      </c>
      <c r="J558" s="188">
        <v>31</v>
      </c>
      <c r="K558" s="206">
        <f>J558/G558</f>
        <v>31</v>
      </c>
      <c r="L558" s="207">
        <f>I558/J558</f>
        <v>5</v>
      </c>
      <c r="M558" s="135">
        <f>85423.5+40609.5+16428+10894.5+3106.5+2427+2630+460+1511+1189+1802+286+188+1782+2376+2230+1880+1432+216+1901+710+24+29+1510.5+2376+380+155</f>
        <v>183956.5</v>
      </c>
      <c r="N558" s="189">
        <f>10842+5203+2181+1838+640+457+494+92+303+238+212+63+42+446+475+446+376+205+25+475+4+142+5+378+594+76+31</f>
        <v>26283</v>
      </c>
      <c r="O558" s="218">
        <f>+M558/N558</f>
        <v>6.999067838526805</v>
      </c>
      <c r="P558" s="402">
        <v>1</v>
      </c>
    </row>
    <row r="559" spans="1:16" ht="15">
      <c r="A559" s="91">
        <v>556</v>
      </c>
      <c r="B559" s="56" t="s">
        <v>142</v>
      </c>
      <c r="C559" s="41">
        <v>39381</v>
      </c>
      <c r="D559" s="46" t="s">
        <v>41</v>
      </c>
      <c r="E559" s="46" t="s">
        <v>217</v>
      </c>
      <c r="F559" s="43">
        <v>144</v>
      </c>
      <c r="G559" s="43">
        <v>1</v>
      </c>
      <c r="H559" s="43">
        <v>12</v>
      </c>
      <c r="I559" s="354">
        <v>150</v>
      </c>
      <c r="J559" s="355">
        <v>50</v>
      </c>
      <c r="K559" s="143">
        <f>J559/G559</f>
        <v>50</v>
      </c>
      <c r="L559" s="144">
        <f>I559/J559</f>
        <v>3</v>
      </c>
      <c r="M559" s="135">
        <f>2013361+924282+612528+224314+161621+67993+19442+6068+2170+613+616+150</f>
        <v>4033158</v>
      </c>
      <c r="N559" s="133">
        <f>250162+117111+77738+30679+29851+12478+4485+1923+349+89+90+50</f>
        <v>525005</v>
      </c>
      <c r="O559" s="81">
        <f>+M559/N559</f>
        <v>7.682132551118561</v>
      </c>
      <c r="P559" s="232"/>
    </row>
    <row r="560" spans="1:16" ht="15">
      <c r="A560" s="91">
        <v>557</v>
      </c>
      <c r="B560" s="234" t="s">
        <v>385</v>
      </c>
      <c r="C560" s="41">
        <v>39437</v>
      </c>
      <c r="D560" s="80" t="s">
        <v>48</v>
      </c>
      <c r="E560" s="48" t="s">
        <v>426</v>
      </c>
      <c r="F560" s="76">
        <v>17</v>
      </c>
      <c r="G560" s="76">
        <v>1</v>
      </c>
      <c r="H560" s="76">
        <v>9</v>
      </c>
      <c r="I560" s="209">
        <v>148</v>
      </c>
      <c r="J560" s="210">
        <v>25</v>
      </c>
      <c r="K560" s="206">
        <f>J560/G560</f>
        <v>25</v>
      </c>
      <c r="L560" s="207">
        <f>I560/J560</f>
        <v>5.92</v>
      </c>
      <c r="M560" s="213">
        <v>278250</v>
      </c>
      <c r="N560" s="211">
        <v>26559</v>
      </c>
      <c r="O560" s="218">
        <f>+M560/N560</f>
        <v>10.476674573590874</v>
      </c>
      <c r="P560" s="232"/>
    </row>
    <row r="561" spans="1:16" ht="15">
      <c r="A561" s="91">
        <v>558</v>
      </c>
      <c r="B561" s="56" t="s">
        <v>398</v>
      </c>
      <c r="C561" s="42">
        <v>39402</v>
      </c>
      <c r="D561" s="46" t="s">
        <v>43</v>
      </c>
      <c r="E561" s="46" t="s">
        <v>467</v>
      </c>
      <c r="F561" s="43">
        <v>125</v>
      </c>
      <c r="G561" s="43">
        <v>2</v>
      </c>
      <c r="H561" s="43">
        <v>26</v>
      </c>
      <c r="I561" s="187">
        <v>147</v>
      </c>
      <c r="J561" s="188">
        <v>26</v>
      </c>
      <c r="K561" s="206">
        <f>J561/G561</f>
        <v>13</v>
      </c>
      <c r="L561" s="388">
        <f>I561/J561</f>
        <v>5.653846153846154</v>
      </c>
      <c r="M561" s="191">
        <f>676439.5+554539.5+408532.5+265092+4+63975.5-30+36417+32233.5+29355.5+9292+4684+3839.75+6311.5+292.5+748+464+444+276+606+730+40+14+18+186+168+128+147</f>
        <v>2094947.75</v>
      </c>
      <c r="N561" s="189">
        <f>91933+76364+57186+39863+2+10711+6714+6020+5300+2353+1269+898+1545+86+187+116+111+69+120+183+4+2+2+31+28+22+26</f>
        <v>301145</v>
      </c>
      <c r="O561" s="218">
        <f>+M561/N561</f>
        <v>6.956608112371117</v>
      </c>
      <c r="P561" s="232"/>
    </row>
    <row r="562" spans="1:16" ht="15">
      <c r="A562" s="91">
        <v>559</v>
      </c>
      <c r="B562" s="77" t="s">
        <v>292</v>
      </c>
      <c r="C562" s="61">
        <v>39339</v>
      </c>
      <c r="D562" s="80" t="s">
        <v>412</v>
      </c>
      <c r="E562" s="80" t="s">
        <v>293</v>
      </c>
      <c r="F562" s="78">
        <v>79</v>
      </c>
      <c r="G562" s="79">
        <v>1</v>
      </c>
      <c r="H562" s="79">
        <v>19</v>
      </c>
      <c r="I562" s="201">
        <v>147</v>
      </c>
      <c r="J562" s="202">
        <v>22</v>
      </c>
      <c r="K562" s="203">
        <v>7.333333333333333</v>
      </c>
      <c r="L562" s="204">
        <v>6.363636363636363</v>
      </c>
      <c r="M562" s="205">
        <v>308674</v>
      </c>
      <c r="N562" s="206">
        <v>48761</v>
      </c>
      <c r="O562" s="217">
        <f>M562/N562</f>
        <v>6.3303459732163</v>
      </c>
      <c r="P562" s="232"/>
    </row>
    <row r="563" spans="1:16" ht="15">
      <c r="A563" s="91">
        <v>560</v>
      </c>
      <c r="B563" s="56" t="s">
        <v>451</v>
      </c>
      <c r="C563" s="42">
        <v>38947</v>
      </c>
      <c r="D563" s="46" t="s">
        <v>43</v>
      </c>
      <c r="E563" s="46" t="s">
        <v>44</v>
      </c>
      <c r="F563" s="63">
        <v>106</v>
      </c>
      <c r="G563" s="43">
        <v>1</v>
      </c>
      <c r="H563" s="43">
        <v>34</v>
      </c>
      <c r="I563" s="187">
        <v>147</v>
      </c>
      <c r="J563" s="188">
        <v>21</v>
      </c>
      <c r="K563" s="206">
        <f aca="true" t="shared" si="60" ref="K563:K568">J563/G563</f>
        <v>21</v>
      </c>
      <c r="L563" s="207">
        <f aca="true" t="shared" si="61" ref="L563:L568">I563/J563</f>
        <v>7</v>
      </c>
      <c r="M563" s="191">
        <f>851045+613251.5+405140+216081+124391+88721.5+33772.5+20268.5+9628+2255.5+1314.5+2611.5+726.5+537.5+1115+625.5+6606+1330.5+1386+-611+1222+4532+530+28400+130+4027.5+416+3201.5+838+1128+2376+4027+2423+168+147</f>
        <v>2433762.5</v>
      </c>
      <c r="N563" s="189">
        <f>116878+84823+56865+31359+21609+17621+6633+4111+1582+390+233+473+110+78+157+95+2946+355+318+132+906+105+5667+18+806+100+801+209+188+594+1006+599+24+21</f>
        <v>357812</v>
      </c>
      <c r="O563" s="217">
        <f>M563/N563</f>
        <v>6.801791164074989</v>
      </c>
      <c r="P563" s="232"/>
    </row>
    <row r="564" spans="1:16" ht="15">
      <c r="A564" s="91">
        <v>561</v>
      </c>
      <c r="B564" s="55" t="s">
        <v>279</v>
      </c>
      <c r="C564" s="41">
        <v>39360</v>
      </c>
      <c r="D564" s="45" t="s">
        <v>41</v>
      </c>
      <c r="E564" s="44" t="s">
        <v>140</v>
      </c>
      <c r="F564" s="63">
        <v>73</v>
      </c>
      <c r="G564" s="63">
        <v>1</v>
      </c>
      <c r="H564" s="63">
        <v>16</v>
      </c>
      <c r="I564" s="197">
        <v>147</v>
      </c>
      <c r="J564" s="198">
        <v>21</v>
      </c>
      <c r="K564" s="206">
        <f t="shared" si="60"/>
        <v>21</v>
      </c>
      <c r="L564" s="207">
        <f t="shared" si="61"/>
        <v>7</v>
      </c>
      <c r="M564" s="199">
        <f>2527+398811+325917+116748+8773+28+28081+14690+2838+221+3656+238+712+147+168+168+259+147</f>
        <v>904129</v>
      </c>
      <c r="N564" s="200">
        <f>228+40290+35016+12251+1468+5988+2689+521+31+1450+32+140+21+26+24+37+21</f>
        <v>100233</v>
      </c>
      <c r="O564" s="218">
        <f>+M564/N564</f>
        <v>9.020272764458811</v>
      </c>
      <c r="P564" s="232"/>
    </row>
    <row r="565" spans="1:16" ht="15">
      <c r="A565" s="91">
        <v>562</v>
      </c>
      <c r="B565" s="57" t="s">
        <v>411</v>
      </c>
      <c r="C565" s="42">
        <v>39220</v>
      </c>
      <c r="D565" s="47" t="s">
        <v>425</v>
      </c>
      <c r="E565" s="47" t="s">
        <v>50</v>
      </c>
      <c r="F565" s="88">
        <v>88</v>
      </c>
      <c r="G565" s="89">
        <v>1</v>
      </c>
      <c r="H565" s="88">
        <v>33</v>
      </c>
      <c r="I565" s="85">
        <v>146</v>
      </c>
      <c r="J565" s="93">
        <v>34</v>
      </c>
      <c r="K565" s="143">
        <f t="shared" si="60"/>
        <v>34</v>
      </c>
      <c r="L565" s="144">
        <f t="shared" si="61"/>
        <v>4.294117647058823</v>
      </c>
      <c r="M565" s="145">
        <v>587148</v>
      </c>
      <c r="N565" s="146">
        <v>86661</v>
      </c>
      <c r="O565" s="81">
        <f>+M565/N565</f>
        <v>6.775227611036106</v>
      </c>
      <c r="P565" s="232">
        <v>1</v>
      </c>
    </row>
    <row r="566" spans="1:16" ht="15">
      <c r="A566" s="91">
        <v>563</v>
      </c>
      <c r="B566" s="56" t="s">
        <v>201</v>
      </c>
      <c r="C566" s="41">
        <v>39332</v>
      </c>
      <c r="D566" s="46" t="s">
        <v>425</v>
      </c>
      <c r="E566" s="46" t="s">
        <v>50</v>
      </c>
      <c r="F566" s="43">
        <v>23</v>
      </c>
      <c r="G566" s="43">
        <v>1</v>
      </c>
      <c r="H566" s="43">
        <v>14</v>
      </c>
      <c r="I566" s="187">
        <v>145</v>
      </c>
      <c r="J566" s="188">
        <v>58</v>
      </c>
      <c r="K566" s="206">
        <f t="shared" si="60"/>
        <v>58</v>
      </c>
      <c r="L566" s="207">
        <f t="shared" si="61"/>
        <v>2.5</v>
      </c>
      <c r="M566" s="191">
        <v>237490.5</v>
      </c>
      <c r="N566" s="189">
        <v>27094</v>
      </c>
      <c r="O566" s="218">
        <f>+M566/N566</f>
        <v>8.765427769985974</v>
      </c>
      <c r="P566" s="316"/>
    </row>
    <row r="567" spans="1:16" ht="15">
      <c r="A567" s="91">
        <v>564</v>
      </c>
      <c r="B567" s="77" t="s">
        <v>292</v>
      </c>
      <c r="C567" s="61">
        <v>39339</v>
      </c>
      <c r="D567" s="80" t="s">
        <v>412</v>
      </c>
      <c r="E567" s="80" t="s">
        <v>293</v>
      </c>
      <c r="F567" s="78">
        <v>79</v>
      </c>
      <c r="G567" s="79">
        <v>1</v>
      </c>
      <c r="H567" s="79">
        <v>20</v>
      </c>
      <c r="I567" s="201">
        <v>144</v>
      </c>
      <c r="J567" s="202">
        <v>22</v>
      </c>
      <c r="K567" s="206">
        <f t="shared" si="60"/>
        <v>22</v>
      </c>
      <c r="L567" s="207">
        <f t="shared" si="61"/>
        <v>6.545454545454546</v>
      </c>
      <c r="M567" s="205">
        <v>308818</v>
      </c>
      <c r="N567" s="206">
        <v>48783</v>
      </c>
      <c r="O567" s="217">
        <f>M567/N567</f>
        <v>6.330442982186417</v>
      </c>
      <c r="P567" s="232"/>
    </row>
    <row r="568" spans="1:16" ht="15">
      <c r="A568" s="91">
        <v>565</v>
      </c>
      <c r="B568" s="57" t="s">
        <v>202</v>
      </c>
      <c r="C568" s="42">
        <v>39409</v>
      </c>
      <c r="D568" s="47" t="s">
        <v>425</v>
      </c>
      <c r="E568" s="47" t="s">
        <v>203</v>
      </c>
      <c r="F568" s="88">
        <v>1</v>
      </c>
      <c r="G568" s="89">
        <v>1</v>
      </c>
      <c r="H568" s="88">
        <v>8</v>
      </c>
      <c r="I568" s="85">
        <v>143.5</v>
      </c>
      <c r="J568" s="93">
        <v>55</v>
      </c>
      <c r="K568" s="143">
        <f t="shared" si="60"/>
        <v>55</v>
      </c>
      <c r="L568" s="207">
        <f t="shared" si="61"/>
        <v>2.609090909090909</v>
      </c>
      <c r="M568" s="145">
        <v>13531.5</v>
      </c>
      <c r="N568" s="146">
        <v>2226</v>
      </c>
      <c r="O568" s="218">
        <f>+M568/N568</f>
        <v>6.078840970350404</v>
      </c>
      <c r="P568" s="232"/>
    </row>
    <row r="569" spans="1:16" ht="15">
      <c r="A569" s="91">
        <v>566</v>
      </c>
      <c r="B569" s="330" t="s">
        <v>472</v>
      </c>
      <c r="C569" s="323">
        <v>39430</v>
      </c>
      <c r="D569" s="322" t="s">
        <v>42</v>
      </c>
      <c r="E569" s="322" t="s">
        <v>38</v>
      </c>
      <c r="F569" s="324">
        <v>137</v>
      </c>
      <c r="G569" s="324">
        <v>1</v>
      </c>
      <c r="H569" s="324">
        <v>30</v>
      </c>
      <c r="I569" s="325">
        <v>136</v>
      </c>
      <c r="J569" s="326">
        <v>28</v>
      </c>
      <c r="K569" s="327">
        <v>28</v>
      </c>
      <c r="L569" s="328">
        <v>4.857142857142856</v>
      </c>
      <c r="M569" s="329">
        <v>3568879</v>
      </c>
      <c r="N569" s="327">
        <v>464222</v>
      </c>
      <c r="O569" s="331">
        <v>7.687871320187324</v>
      </c>
      <c r="P569" s="232">
        <v>1</v>
      </c>
    </row>
    <row r="570" spans="1:16" ht="15">
      <c r="A570" s="91">
        <v>567</v>
      </c>
      <c r="B570" s="77" t="s">
        <v>275</v>
      </c>
      <c r="C570" s="61">
        <v>39416</v>
      </c>
      <c r="D570" s="80" t="s">
        <v>412</v>
      </c>
      <c r="E570" s="80" t="s">
        <v>293</v>
      </c>
      <c r="F570" s="79">
        <v>45</v>
      </c>
      <c r="G570" s="79">
        <v>2</v>
      </c>
      <c r="H570" s="79">
        <v>14</v>
      </c>
      <c r="I570" s="117">
        <v>132</v>
      </c>
      <c r="J570" s="139">
        <v>29</v>
      </c>
      <c r="K570" s="143">
        <f aca="true" t="shared" si="62" ref="K570:K575">J570/G570</f>
        <v>14.5</v>
      </c>
      <c r="L570" s="207">
        <f>I570/J570</f>
        <v>4.551724137931035</v>
      </c>
      <c r="M570" s="142">
        <v>184390.5</v>
      </c>
      <c r="N570" s="150">
        <v>27818</v>
      </c>
      <c r="O570" s="218">
        <f aca="true" t="shared" si="63" ref="O570:O576">+M570/N570</f>
        <v>6.628459989934575</v>
      </c>
      <c r="P570" s="232"/>
    </row>
    <row r="571" spans="1:16" ht="15">
      <c r="A571" s="91">
        <v>568</v>
      </c>
      <c r="B571" s="57" t="s">
        <v>278</v>
      </c>
      <c r="C571" s="42">
        <v>39416</v>
      </c>
      <c r="D571" s="47" t="s">
        <v>425</v>
      </c>
      <c r="E571" s="47" t="s">
        <v>546</v>
      </c>
      <c r="F571" s="88">
        <v>4</v>
      </c>
      <c r="G571" s="89">
        <v>1</v>
      </c>
      <c r="H571" s="88">
        <v>7</v>
      </c>
      <c r="I571" s="197">
        <v>131</v>
      </c>
      <c r="J571" s="198">
        <v>21</v>
      </c>
      <c r="K571" s="206">
        <f t="shared" si="62"/>
        <v>21</v>
      </c>
      <c r="L571" s="207">
        <f>I571/J571</f>
        <v>6.238095238095238</v>
      </c>
      <c r="M571" s="199">
        <v>43300</v>
      </c>
      <c r="N571" s="200">
        <v>4625</v>
      </c>
      <c r="O571" s="218">
        <f t="shared" si="63"/>
        <v>9.362162162162162</v>
      </c>
      <c r="P571" s="232">
        <v>1</v>
      </c>
    </row>
    <row r="572" spans="1:16" ht="15">
      <c r="A572" s="91">
        <v>569</v>
      </c>
      <c r="B572" s="56" t="s">
        <v>398</v>
      </c>
      <c r="C572" s="42">
        <v>39402</v>
      </c>
      <c r="D572" s="46" t="s">
        <v>43</v>
      </c>
      <c r="E572" s="46" t="s">
        <v>467</v>
      </c>
      <c r="F572" s="43">
        <v>125</v>
      </c>
      <c r="G572" s="43">
        <v>2</v>
      </c>
      <c r="H572" s="43">
        <v>25</v>
      </c>
      <c r="I572" s="187">
        <v>128</v>
      </c>
      <c r="J572" s="188">
        <v>22</v>
      </c>
      <c r="K572" s="206">
        <f t="shared" si="62"/>
        <v>11</v>
      </c>
      <c r="L572" s="207">
        <f>I572/J572</f>
        <v>5.818181818181818</v>
      </c>
      <c r="M572" s="191">
        <v>2094800.75</v>
      </c>
      <c r="N572" s="189">
        <v>301119</v>
      </c>
      <c r="O572" s="218">
        <f t="shared" si="63"/>
        <v>6.956720598833019</v>
      </c>
      <c r="P572" s="232"/>
    </row>
    <row r="573" spans="1:16" ht="15">
      <c r="A573" s="91">
        <v>570</v>
      </c>
      <c r="B573" s="56" t="s">
        <v>28</v>
      </c>
      <c r="C573" s="41">
        <v>39332</v>
      </c>
      <c r="D573" s="46" t="s">
        <v>41</v>
      </c>
      <c r="E573" s="46" t="s">
        <v>52</v>
      </c>
      <c r="F573" s="43">
        <v>58</v>
      </c>
      <c r="G573" s="43">
        <v>1</v>
      </c>
      <c r="H573" s="43">
        <v>9</v>
      </c>
      <c r="I573" s="187">
        <v>125</v>
      </c>
      <c r="J573" s="188">
        <v>31</v>
      </c>
      <c r="K573" s="206">
        <f t="shared" si="62"/>
        <v>31</v>
      </c>
      <c r="L573" s="207">
        <f>I573/J573</f>
        <v>4.032258064516129</v>
      </c>
      <c r="M573" s="191">
        <f>138246+66778+24442+12673+5659+4666+353+1557+125</f>
        <v>254499</v>
      </c>
      <c r="N573" s="189">
        <f>16417+7727+3209+2052+1044+871+47+392+31</f>
        <v>31790</v>
      </c>
      <c r="O573" s="218">
        <f t="shared" si="63"/>
        <v>8.005630701478452</v>
      </c>
      <c r="P573" s="232">
        <v>1</v>
      </c>
    </row>
    <row r="574" spans="1:16" ht="18">
      <c r="A574" s="91">
        <v>571</v>
      </c>
      <c r="B574" s="56" t="s">
        <v>397</v>
      </c>
      <c r="C574" s="42">
        <v>39402</v>
      </c>
      <c r="D574" s="87" t="s">
        <v>42</v>
      </c>
      <c r="E574" s="87" t="s">
        <v>52</v>
      </c>
      <c r="F574" s="43">
        <v>130</v>
      </c>
      <c r="G574" s="43">
        <v>21</v>
      </c>
      <c r="H574" s="43">
        <v>9</v>
      </c>
      <c r="I574" s="187">
        <v>120</v>
      </c>
      <c r="J574" s="188">
        <v>22</v>
      </c>
      <c r="K574" s="189">
        <f t="shared" si="62"/>
        <v>1.0476190476190477</v>
      </c>
      <c r="L574" s="190">
        <f>+I574/J574</f>
        <v>5.454545454545454</v>
      </c>
      <c r="M574" s="191">
        <v>20767729</v>
      </c>
      <c r="N574" s="189">
        <v>260530</v>
      </c>
      <c r="O574" s="215">
        <f t="shared" si="63"/>
        <v>79.7133880935017</v>
      </c>
      <c r="P574" s="317"/>
    </row>
    <row r="575" spans="1:16" ht="15">
      <c r="A575" s="91">
        <v>572</v>
      </c>
      <c r="B575" s="56" t="s">
        <v>398</v>
      </c>
      <c r="C575" s="42">
        <v>39402</v>
      </c>
      <c r="D575" s="46" t="s">
        <v>43</v>
      </c>
      <c r="E575" s="46" t="s">
        <v>467</v>
      </c>
      <c r="F575" s="43">
        <v>125</v>
      </c>
      <c r="G575" s="43">
        <v>1</v>
      </c>
      <c r="H575" s="43">
        <v>28</v>
      </c>
      <c r="I575" s="86">
        <v>120</v>
      </c>
      <c r="J575" s="95">
        <v>20</v>
      </c>
      <c r="K575" s="143">
        <f t="shared" si="62"/>
        <v>20</v>
      </c>
      <c r="L575" s="144">
        <f>I575/J575</f>
        <v>6</v>
      </c>
      <c r="M575" s="135">
        <f>676439.5+554539.5+408532.5+265092+4+63975.5-30+36417+32233.5+29355.5+9292+4684+3839.75+6311.5+292.5+748+464+444+276+606+730+40+14+18+186+168+128+147+114+120</f>
        <v>2095181.75</v>
      </c>
      <c r="N575" s="133">
        <f>91933+76364+57186+39863+2+10711+6714+6020+5300+2353+1269+898+1545+86+187+116+111+69+120+183+4+2+2+31+28+22+26+19+20</f>
        <v>301184</v>
      </c>
      <c r="O575" s="81">
        <f t="shared" si="63"/>
        <v>6.95648424219082</v>
      </c>
      <c r="P575" s="232"/>
    </row>
    <row r="576" spans="1:16" ht="15">
      <c r="A576" s="91">
        <v>573</v>
      </c>
      <c r="B576" s="62" t="s">
        <v>319</v>
      </c>
      <c r="C576" s="41">
        <v>39423</v>
      </c>
      <c r="D576" s="47" t="s">
        <v>468</v>
      </c>
      <c r="E576" s="47" t="s">
        <v>468</v>
      </c>
      <c r="F576" s="58">
        <v>1</v>
      </c>
      <c r="G576" s="58">
        <v>1</v>
      </c>
      <c r="H576" s="58">
        <v>35</v>
      </c>
      <c r="I576" s="85">
        <v>119</v>
      </c>
      <c r="J576" s="198">
        <v>22</v>
      </c>
      <c r="K576" s="194">
        <f>+J576/G576</f>
        <v>22</v>
      </c>
      <c r="L576" s="195">
        <f>+I576/J576</f>
        <v>5.409090909090909</v>
      </c>
      <c r="M576" s="145">
        <v>35146</v>
      </c>
      <c r="N576" s="200">
        <v>4416</v>
      </c>
      <c r="O576" s="216">
        <f t="shared" si="63"/>
        <v>7.958786231884058</v>
      </c>
      <c r="P576" s="402"/>
    </row>
    <row r="577" spans="1:16" ht="15">
      <c r="A577" s="91">
        <v>574</v>
      </c>
      <c r="B577" s="56" t="s">
        <v>319</v>
      </c>
      <c r="C577" s="41">
        <v>39423</v>
      </c>
      <c r="D577" s="299" t="s">
        <v>468</v>
      </c>
      <c r="E577" s="299" t="s">
        <v>468</v>
      </c>
      <c r="F577" s="43">
        <v>1</v>
      </c>
      <c r="G577" s="43">
        <v>1</v>
      </c>
      <c r="H577" s="43">
        <v>17</v>
      </c>
      <c r="I577" s="187">
        <v>115</v>
      </c>
      <c r="J577" s="188">
        <v>23</v>
      </c>
      <c r="K577" s="206">
        <f>IF(I577&lt;&gt;0,J577/G577,"")</f>
        <v>23</v>
      </c>
      <c r="L577" s="207">
        <f>IF(I577&lt;&gt;0,I577/J577,"")</f>
        <v>5</v>
      </c>
      <c r="M577" s="191">
        <v>26912</v>
      </c>
      <c r="N577" s="189">
        <v>2438</v>
      </c>
      <c r="O577" s="218">
        <f>IF(M577&lt;&gt;0,M577/N577,"")</f>
        <v>11.038556193601313</v>
      </c>
      <c r="P577" s="232">
        <v>1</v>
      </c>
    </row>
    <row r="578" spans="1:16" ht="15">
      <c r="A578" s="91">
        <v>575</v>
      </c>
      <c r="B578" s="56" t="s">
        <v>398</v>
      </c>
      <c r="C578" s="42">
        <v>39402</v>
      </c>
      <c r="D578" s="46" t="s">
        <v>43</v>
      </c>
      <c r="E578" s="46" t="s">
        <v>467</v>
      </c>
      <c r="F578" s="43">
        <v>125</v>
      </c>
      <c r="G578" s="43">
        <v>1</v>
      </c>
      <c r="H578" s="43">
        <v>27</v>
      </c>
      <c r="I578" s="135">
        <v>114</v>
      </c>
      <c r="J578" s="189">
        <v>19</v>
      </c>
      <c r="K578" s="189"/>
      <c r="L578" s="134"/>
      <c r="M578" s="135">
        <f>676439.5+554539.5+408532.5+265092+4+63975.5-30+36417+32233.5+29355.5+9292+4684+3839.75+6311.5+292.5+748+464+444+276+606+730+40+14+18+186+168+128+147+114</f>
        <v>2095061.75</v>
      </c>
      <c r="N578" s="189">
        <f>91933+76364+57186+39863+2+10711+6714+6020+5300+2353+1269+898+1545+86+187+116+111+69+120+183+4+2+2+31+28+22+26+19</f>
        <v>301164</v>
      </c>
      <c r="O578" s="391"/>
      <c r="P578" s="232"/>
    </row>
    <row r="579" spans="1:16" ht="15">
      <c r="A579" s="91">
        <v>576</v>
      </c>
      <c r="B579" s="57" t="s">
        <v>273</v>
      </c>
      <c r="C579" s="41">
        <v>39416</v>
      </c>
      <c r="D579" s="47" t="s">
        <v>223</v>
      </c>
      <c r="E579" s="47" t="s">
        <v>550</v>
      </c>
      <c r="F579" s="64" t="s">
        <v>274</v>
      </c>
      <c r="G579" s="64" t="s">
        <v>424</v>
      </c>
      <c r="H579" s="64" t="s">
        <v>106</v>
      </c>
      <c r="I579" s="197">
        <v>112</v>
      </c>
      <c r="J579" s="198">
        <v>22</v>
      </c>
      <c r="K579" s="206">
        <f>J579/G579</f>
        <v>22</v>
      </c>
      <c r="L579" s="207">
        <f>I579/J579</f>
        <v>5.090909090909091</v>
      </c>
      <c r="M579" s="199">
        <v>258869</v>
      </c>
      <c r="N579" s="200">
        <v>27599</v>
      </c>
      <c r="O579" s="218">
        <f>+M579/N579</f>
        <v>9.379651436646256</v>
      </c>
      <c r="P579" s="318"/>
    </row>
    <row r="580" spans="1:16" ht="15">
      <c r="A580" s="91">
        <v>577</v>
      </c>
      <c r="B580" s="56" t="s">
        <v>518</v>
      </c>
      <c r="C580" s="41">
        <v>39444</v>
      </c>
      <c r="D580" s="46" t="s">
        <v>468</v>
      </c>
      <c r="E580" s="46" t="s">
        <v>468</v>
      </c>
      <c r="F580" s="43">
        <v>14</v>
      </c>
      <c r="G580" s="43">
        <v>1</v>
      </c>
      <c r="H580" s="43">
        <v>15</v>
      </c>
      <c r="I580" s="187">
        <v>111</v>
      </c>
      <c r="J580" s="188">
        <v>19</v>
      </c>
      <c r="K580" s="206">
        <f>+J580/G580</f>
        <v>19</v>
      </c>
      <c r="L580" s="207">
        <f>+I580/J580</f>
        <v>5.842105263157895</v>
      </c>
      <c r="M580" s="191">
        <v>238998</v>
      </c>
      <c r="N580" s="189">
        <v>24116</v>
      </c>
      <c r="O580" s="218">
        <f>+M580/N580</f>
        <v>9.910349975120251</v>
      </c>
      <c r="P580" s="232"/>
    </row>
    <row r="581" spans="1:16" ht="15">
      <c r="A581" s="91">
        <v>578</v>
      </c>
      <c r="B581" s="77" t="s">
        <v>292</v>
      </c>
      <c r="C581" s="61">
        <v>39339</v>
      </c>
      <c r="D581" s="80" t="s">
        <v>412</v>
      </c>
      <c r="E581" s="80" t="s">
        <v>293</v>
      </c>
      <c r="F581" s="78">
        <v>79</v>
      </c>
      <c r="G581" s="79">
        <v>2</v>
      </c>
      <c r="H581" s="79">
        <v>17</v>
      </c>
      <c r="I581" s="117">
        <v>111</v>
      </c>
      <c r="J581" s="139">
        <v>16</v>
      </c>
      <c r="K581" s="140">
        <v>7.333333333333333</v>
      </c>
      <c r="L581" s="141">
        <v>6.363636363636363</v>
      </c>
      <c r="M581" s="142">
        <v>307739</v>
      </c>
      <c r="N581" s="143">
        <v>48509</v>
      </c>
      <c r="O581" s="157">
        <f>M581/N581</f>
        <v>6.3439567915232224</v>
      </c>
      <c r="P581" s="232"/>
    </row>
    <row r="582" spans="1:16" ht="15">
      <c r="A582" s="91">
        <v>579</v>
      </c>
      <c r="B582" s="55" t="s">
        <v>252</v>
      </c>
      <c r="C582" s="41">
        <v>39437</v>
      </c>
      <c r="D582" s="45" t="s">
        <v>41</v>
      </c>
      <c r="E582" s="44" t="s">
        <v>204</v>
      </c>
      <c r="F582" s="63">
        <v>49</v>
      </c>
      <c r="G582" s="63">
        <v>1</v>
      </c>
      <c r="H582" s="63">
        <v>11</v>
      </c>
      <c r="I582" s="85">
        <v>110</v>
      </c>
      <c r="J582" s="93">
        <v>21</v>
      </c>
      <c r="K582" s="143">
        <f>J582/G582</f>
        <v>21</v>
      </c>
      <c r="L582" s="207">
        <f>I582/J582</f>
        <v>5.238095238095238</v>
      </c>
      <c r="M582" s="145">
        <f>265356+150950+36636+752+2313+871+2481+84+743+187+110</f>
        <v>460483</v>
      </c>
      <c r="N582" s="146">
        <f>28419+15898+4109+157+424+163+412+14+140+31+21</f>
        <v>49788</v>
      </c>
      <c r="O582" s="218">
        <f aca="true" t="shared" si="64" ref="O582:O587">+M582/N582</f>
        <v>9.248875230979353</v>
      </c>
      <c r="P582" s="333"/>
    </row>
    <row r="583" spans="1:16" ht="15">
      <c r="A583" s="91">
        <v>580</v>
      </c>
      <c r="B583" s="57" t="s">
        <v>353</v>
      </c>
      <c r="C583" s="41">
        <v>39444</v>
      </c>
      <c r="D583" s="47" t="s">
        <v>432</v>
      </c>
      <c r="E583" s="47" t="s">
        <v>452</v>
      </c>
      <c r="F583" s="64" t="s">
        <v>515</v>
      </c>
      <c r="G583" s="64" t="s">
        <v>424</v>
      </c>
      <c r="H583" s="64" t="s">
        <v>428</v>
      </c>
      <c r="I583" s="197">
        <v>109</v>
      </c>
      <c r="J583" s="198">
        <v>18</v>
      </c>
      <c r="K583" s="206">
        <f>J583/G583</f>
        <v>18</v>
      </c>
      <c r="L583" s="207">
        <f>I583/J583</f>
        <v>6.055555555555555</v>
      </c>
      <c r="M583" s="199">
        <v>20852.5</v>
      </c>
      <c r="N583" s="200">
        <v>2703</v>
      </c>
      <c r="O583" s="218">
        <f t="shared" si="64"/>
        <v>7.7145763965963745</v>
      </c>
      <c r="P583" s="232"/>
    </row>
    <row r="584" spans="1:16" ht="15">
      <c r="A584" s="91">
        <v>581</v>
      </c>
      <c r="B584" s="330" t="s">
        <v>319</v>
      </c>
      <c r="C584" s="323">
        <v>39423</v>
      </c>
      <c r="D584" s="322" t="s">
        <v>468</v>
      </c>
      <c r="E584" s="322" t="s">
        <v>468</v>
      </c>
      <c r="F584" s="324">
        <v>1</v>
      </c>
      <c r="G584" s="324">
        <v>1</v>
      </c>
      <c r="H584" s="324">
        <v>26</v>
      </c>
      <c r="I584" s="325">
        <v>108</v>
      </c>
      <c r="J584" s="326">
        <v>27</v>
      </c>
      <c r="K584" s="327">
        <f>+J584/G584</f>
        <v>27</v>
      </c>
      <c r="L584" s="328">
        <f>+I584/J584</f>
        <v>4</v>
      </c>
      <c r="M584" s="329">
        <v>27050</v>
      </c>
      <c r="N584" s="327">
        <v>2472</v>
      </c>
      <c r="O584" s="331">
        <f t="shared" si="64"/>
        <v>10.942556634304207</v>
      </c>
      <c r="P584" s="232">
        <v>1</v>
      </c>
    </row>
    <row r="585" spans="1:16" ht="15">
      <c r="A585" s="91">
        <v>582</v>
      </c>
      <c r="B585" s="56" t="s">
        <v>121</v>
      </c>
      <c r="C585" s="42">
        <v>39388</v>
      </c>
      <c r="D585" s="46" t="s">
        <v>43</v>
      </c>
      <c r="E585" s="46" t="s">
        <v>390</v>
      </c>
      <c r="F585" s="43">
        <v>22</v>
      </c>
      <c r="G585" s="43">
        <v>1</v>
      </c>
      <c r="H585" s="43">
        <v>8</v>
      </c>
      <c r="I585" s="187">
        <v>108</v>
      </c>
      <c r="J585" s="188">
        <v>18</v>
      </c>
      <c r="K585" s="206">
        <f>J585/G585</f>
        <v>18</v>
      </c>
      <c r="L585" s="207">
        <f>I585/J585</f>
        <v>6</v>
      </c>
      <c r="M585" s="191">
        <f>31108.5+12339+4008+1827+3573.5+1219.5+765.5+108</f>
        <v>54949</v>
      </c>
      <c r="N585" s="189">
        <f>3175+1380+493+264+592+165+99+18</f>
        <v>6186</v>
      </c>
      <c r="O585" s="218">
        <f t="shared" si="64"/>
        <v>8.882799870675719</v>
      </c>
      <c r="P585" s="316"/>
    </row>
    <row r="586" spans="1:16" ht="15">
      <c r="A586" s="91">
        <v>583</v>
      </c>
      <c r="B586" s="55" t="s">
        <v>279</v>
      </c>
      <c r="C586" s="41">
        <v>39360</v>
      </c>
      <c r="D586" s="45" t="s">
        <v>41</v>
      </c>
      <c r="E586" s="44" t="s">
        <v>140</v>
      </c>
      <c r="F586" s="63">
        <v>73</v>
      </c>
      <c r="G586" s="63">
        <v>1</v>
      </c>
      <c r="H586" s="63">
        <v>17</v>
      </c>
      <c r="I586" s="197">
        <v>105</v>
      </c>
      <c r="J586" s="198">
        <v>15</v>
      </c>
      <c r="K586" s="206">
        <f>J586/G586</f>
        <v>15</v>
      </c>
      <c r="L586" s="207">
        <f>I586/J586</f>
        <v>7</v>
      </c>
      <c r="M586" s="199">
        <f>2527+398811+325917+116748+8773+28+28081+14690+2838+221+3656+238+712+147+168+168+259+147+105</f>
        <v>904234</v>
      </c>
      <c r="N586" s="200">
        <f>228+40290+35016+12251+1468+5988+2689+521+31+1450+32+140+21+26+24+37+21+15</f>
        <v>100248</v>
      </c>
      <c r="O586" s="218">
        <f t="shared" si="64"/>
        <v>9.0199704732264</v>
      </c>
      <c r="P586" s="232"/>
    </row>
    <row r="587" spans="1:16" ht="15">
      <c r="A587" s="91">
        <v>584</v>
      </c>
      <c r="B587" s="57" t="s">
        <v>363</v>
      </c>
      <c r="C587" s="41">
        <v>39346</v>
      </c>
      <c r="D587" s="47" t="s">
        <v>432</v>
      </c>
      <c r="E587" s="47" t="s">
        <v>364</v>
      </c>
      <c r="F587" s="64" t="s">
        <v>365</v>
      </c>
      <c r="G587" s="64" t="s">
        <v>424</v>
      </c>
      <c r="H587" s="64" t="s">
        <v>515</v>
      </c>
      <c r="I587" s="197">
        <v>104</v>
      </c>
      <c r="J587" s="198">
        <v>26</v>
      </c>
      <c r="K587" s="206">
        <f>J587/G587</f>
        <v>26</v>
      </c>
      <c r="L587" s="207">
        <f>I587/J587</f>
        <v>4</v>
      </c>
      <c r="M587" s="199">
        <v>10341</v>
      </c>
      <c r="N587" s="200">
        <v>1329</v>
      </c>
      <c r="O587" s="218">
        <f t="shared" si="64"/>
        <v>7.781038374717833</v>
      </c>
      <c r="P587" s="232"/>
    </row>
    <row r="588" spans="1:16" ht="15">
      <c r="A588" s="91">
        <v>585</v>
      </c>
      <c r="B588" s="56" t="s">
        <v>395</v>
      </c>
      <c r="C588" s="41">
        <v>39402</v>
      </c>
      <c r="D588" s="299" t="s">
        <v>81</v>
      </c>
      <c r="E588" s="299" t="s">
        <v>396</v>
      </c>
      <c r="F588" s="43">
        <v>165</v>
      </c>
      <c r="G588" s="43">
        <v>1</v>
      </c>
      <c r="H588" s="43">
        <v>20</v>
      </c>
      <c r="I588" s="187">
        <v>97</v>
      </c>
      <c r="J588" s="188">
        <v>29</v>
      </c>
      <c r="K588" s="206">
        <f>IF(I588&lt;&gt;0,J588/G588,"")</f>
        <v>29</v>
      </c>
      <c r="L588" s="207">
        <f>IF(I588&lt;&gt;0,I588/J588,"")</f>
        <v>3.3448275862068964</v>
      </c>
      <c r="M588" s="191">
        <f>12736195.5+635116+336718.5+243017+121597.5+87378+27897.5+22169+10074+11918+6458+34768+1068+97</f>
        <v>14274472</v>
      </c>
      <c r="N588" s="189">
        <f>271934+322135+339926+262189+150199+208899+146862+92002+47008+33955+17959+14849+4943+4284+1914+2027+1272+7140+334+29</f>
        <v>1929860</v>
      </c>
      <c r="O588" s="218">
        <f>IF(M588&lt;&gt;0,M588/N588,"")</f>
        <v>7.39663602541117</v>
      </c>
      <c r="P588" s="232">
        <v>1</v>
      </c>
    </row>
    <row r="589" spans="1:16" ht="15">
      <c r="A589" s="91">
        <v>586</v>
      </c>
      <c r="B589" s="56" t="s">
        <v>397</v>
      </c>
      <c r="C589" s="41">
        <v>39402</v>
      </c>
      <c r="D589" s="46" t="s">
        <v>42</v>
      </c>
      <c r="E589" s="46" t="s">
        <v>217</v>
      </c>
      <c r="F589" s="43">
        <v>130</v>
      </c>
      <c r="G589" s="43">
        <v>1</v>
      </c>
      <c r="H589" s="43">
        <v>16</v>
      </c>
      <c r="I589" s="187">
        <v>96</v>
      </c>
      <c r="J589" s="188">
        <v>14</v>
      </c>
      <c r="K589" s="206">
        <f>J589/G589</f>
        <v>14</v>
      </c>
      <c r="L589" s="207">
        <f>+I589/J589</f>
        <v>6.857142857142857</v>
      </c>
      <c r="M589" s="191">
        <v>2095649</v>
      </c>
      <c r="N589" s="189">
        <v>264958</v>
      </c>
      <c r="O589" s="218">
        <f>+M589/N589</f>
        <v>7.909362993380083</v>
      </c>
      <c r="P589" s="232"/>
    </row>
    <row r="590" spans="1:16" ht="18">
      <c r="A590" s="91">
        <v>587</v>
      </c>
      <c r="B590" s="55" t="s">
        <v>213</v>
      </c>
      <c r="C590" s="41">
        <v>39087</v>
      </c>
      <c r="D590" s="45" t="s">
        <v>41</v>
      </c>
      <c r="E590" s="44" t="s">
        <v>46</v>
      </c>
      <c r="F590" s="63">
        <v>80</v>
      </c>
      <c r="G590" s="63">
        <v>1</v>
      </c>
      <c r="H590" s="63">
        <v>42</v>
      </c>
      <c r="I590" s="343">
        <v>92</v>
      </c>
      <c r="J590" s="344">
        <v>23</v>
      </c>
      <c r="K590" s="206">
        <f>J590/G590</f>
        <v>23</v>
      </c>
      <c r="L590" s="207">
        <f>I590/J590</f>
        <v>4</v>
      </c>
      <c r="M590" s="199">
        <f>1367+686114+384405+247619+146119+85619+63759-1+18934+11869+10791+11315+6907+8812+6730+2628+1465+749+1063+756+276+1198+612+510+45+1062+592+1782+205+893+893+2490+691+2542+60+12+1977+1181+455+192+233+12+15+515+600+92</f>
        <v>1716155</v>
      </c>
      <c r="N590" s="200">
        <f>80773+116+46317+29887+17891+10484+7685+2801+1917+1334+1333+755+1517+932+417+307+136+369+126+23+122+85+45+5+126+49+510+33+296+296+415+68+356+20+4+312+121+50+20+26+4+3+103+125+23</f>
        <v>208337</v>
      </c>
      <c r="O590" s="218">
        <f>+M590/N590</f>
        <v>8.237399021777216</v>
      </c>
      <c r="P590" s="317"/>
    </row>
    <row r="591" spans="1:16" ht="18">
      <c r="A591" s="91">
        <v>588</v>
      </c>
      <c r="B591" s="56" t="s">
        <v>453</v>
      </c>
      <c r="C591" s="42">
        <v>38821</v>
      </c>
      <c r="D591" s="46" t="s">
        <v>43</v>
      </c>
      <c r="E591" s="46" t="s">
        <v>44</v>
      </c>
      <c r="F591" s="63">
        <v>118</v>
      </c>
      <c r="G591" s="43">
        <v>1</v>
      </c>
      <c r="H591" s="43">
        <v>39</v>
      </c>
      <c r="I591" s="187">
        <v>91</v>
      </c>
      <c r="J591" s="188">
        <v>13</v>
      </c>
      <c r="K591" s="206">
        <f>J591/G591</f>
        <v>13</v>
      </c>
      <c r="L591" s="207">
        <f>I591/J591</f>
        <v>7</v>
      </c>
      <c r="M591" s="191">
        <f>1908861+1583540+976953.5+606582.5+358386.5+257458.5+154619+107195+70567+37968.5+18157.5+11925.5+12529.5+11442+10137.5+11279.5+11047+23092+6089.5+13588+1331+1245+48+90+312+4271+1314+128+1008+10+610+1572+5035-409+4651.5+3349+2013.5+2852+91</f>
        <v>6220941.5</v>
      </c>
      <c r="N591" s="189">
        <f>267837+226672+141343+93283+56706+48660+34140+24736+15604+6640+3341+2116+2223+1865+2002+2375+2554+5432+1329+3323+245+218+8+15+52+1073+314+16+252+116+261+1007-77+884+645+503+712+13</f>
        <v>948438</v>
      </c>
      <c r="O591" s="217">
        <f>M591/N591</f>
        <v>6.559144087436396</v>
      </c>
      <c r="P591" s="317"/>
    </row>
    <row r="592" spans="1:16" ht="15">
      <c r="A592" s="91">
        <v>589</v>
      </c>
      <c r="B592" s="56" t="s">
        <v>398</v>
      </c>
      <c r="C592" s="42">
        <v>39402</v>
      </c>
      <c r="D592" s="46" t="s">
        <v>43</v>
      </c>
      <c r="E592" s="46" t="s">
        <v>467</v>
      </c>
      <c r="F592" s="43">
        <v>125</v>
      </c>
      <c r="G592" s="43">
        <v>1</v>
      </c>
      <c r="H592" s="43">
        <v>29</v>
      </c>
      <c r="I592" s="86">
        <v>90</v>
      </c>
      <c r="J592" s="188">
        <v>15</v>
      </c>
      <c r="K592" s="206">
        <f>J592/G592</f>
        <v>15</v>
      </c>
      <c r="L592" s="207">
        <f>I592/J592</f>
        <v>6</v>
      </c>
      <c r="M592" s="135">
        <f>676439.5+554539.5+408532.5+265092+4+63975.5-30+36417+32233.5+29355.5+9292+4684+3839.75+6311.5+292.5+748+464+444+276+606+730+40+14+18+186+168+128+147+114+120+90</f>
        <v>2095271.75</v>
      </c>
      <c r="N592" s="189">
        <f>91933+76364+57186+39863+2+10711+6714+6020+5300+2353+1269+898+1545+86+187+116+111+69+120+183+4+2+2+31+28+22+26+19+20+15</f>
        <v>301199</v>
      </c>
      <c r="O592" s="218">
        <f>+M592/N592</f>
        <v>6.956436608355274</v>
      </c>
      <c r="P592" s="402">
        <v>1</v>
      </c>
    </row>
    <row r="593" spans="1:16" ht="15">
      <c r="A593" s="91">
        <v>590</v>
      </c>
      <c r="B593" s="56" t="s">
        <v>29</v>
      </c>
      <c r="C593" s="41">
        <v>39346</v>
      </c>
      <c r="D593" s="46" t="s">
        <v>41</v>
      </c>
      <c r="E593" s="46" t="s">
        <v>52</v>
      </c>
      <c r="F593" s="43">
        <v>66</v>
      </c>
      <c r="G593" s="43">
        <v>1</v>
      </c>
      <c r="H593" s="43">
        <v>10</v>
      </c>
      <c r="I593" s="187">
        <v>88</v>
      </c>
      <c r="J593" s="188">
        <v>22</v>
      </c>
      <c r="K593" s="206">
        <f>J593/G593</f>
        <v>22</v>
      </c>
      <c r="L593" s="207">
        <f>I593/J593</f>
        <v>4</v>
      </c>
      <c r="M593" s="191">
        <f>232782+118124+45227+14221+13354+3876+2575+3241+955+88</f>
        <v>434443</v>
      </c>
      <c r="N593" s="189">
        <f>25367+13380+5415+2341+2380+692+411+483+181+22</f>
        <v>50672</v>
      </c>
      <c r="O593" s="218">
        <f>+M593/N593</f>
        <v>8.573630407325545</v>
      </c>
      <c r="P593" s="316"/>
    </row>
    <row r="594" spans="1:16" ht="15">
      <c r="A594" s="91">
        <v>591</v>
      </c>
      <c r="B594" s="55" t="s">
        <v>415</v>
      </c>
      <c r="C594" s="41">
        <v>39346</v>
      </c>
      <c r="D594" s="44" t="s">
        <v>81</v>
      </c>
      <c r="E594" s="44" t="s">
        <v>290</v>
      </c>
      <c r="F594" s="63">
        <v>43</v>
      </c>
      <c r="G594" s="63">
        <v>1</v>
      </c>
      <c r="H594" s="63">
        <v>11</v>
      </c>
      <c r="I594" s="192">
        <v>86</v>
      </c>
      <c r="J594" s="193">
        <v>24</v>
      </c>
      <c r="K594" s="194">
        <f>IF(I594&lt;&gt;0,J594/G594,"")</f>
        <v>24</v>
      </c>
      <c r="L594" s="195">
        <f>IF(I594&lt;&gt;0,I594/J594,"")</f>
        <v>3.5833333333333335</v>
      </c>
      <c r="M594" s="196">
        <f>120242+0</f>
        <v>120242</v>
      </c>
      <c r="N594" s="189">
        <f>15823+0</f>
        <v>15823</v>
      </c>
      <c r="O594" s="216">
        <f>IF(M594&lt;&gt;0,M594/N594,"")</f>
        <v>7.599191051001706</v>
      </c>
      <c r="P594" s="232"/>
    </row>
    <row r="595" spans="1:16" ht="15">
      <c r="A595" s="91">
        <v>592</v>
      </c>
      <c r="B595" s="55" t="s">
        <v>454</v>
      </c>
      <c r="C595" s="41">
        <v>39332</v>
      </c>
      <c r="D595" s="45" t="s">
        <v>41</v>
      </c>
      <c r="E595" s="44" t="s">
        <v>140</v>
      </c>
      <c r="F595" s="63">
        <v>61</v>
      </c>
      <c r="G595" s="63">
        <v>1</v>
      </c>
      <c r="H595" s="63">
        <v>13</v>
      </c>
      <c r="I595" s="197">
        <v>85</v>
      </c>
      <c r="J595" s="198">
        <v>21</v>
      </c>
      <c r="K595" s="206">
        <f>J595/G595</f>
        <v>21</v>
      </c>
      <c r="L595" s="207">
        <f>I595/J595</f>
        <v>4.0476190476190474</v>
      </c>
      <c r="M595" s="199">
        <f>1122962+173+85</f>
        <v>1123220</v>
      </c>
      <c r="N595" s="200">
        <f>117710+43+21</f>
        <v>117774</v>
      </c>
      <c r="O595" s="218">
        <f>+M595/N595</f>
        <v>9.537079491228964</v>
      </c>
      <c r="P595" s="232"/>
    </row>
    <row r="596" spans="1:16" ht="15">
      <c r="A596" s="91">
        <v>593</v>
      </c>
      <c r="B596" s="55" t="s">
        <v>252</v>
      </c>
      <c r="C596" s="41">
        <v>39437</v>
      </c>
      <c r="D596" s="45" t="s">
        <v>41</v>
      </c>
      <c r="E596" s="44" t="s">
        <v>551</v>
      </c>
      <c r="F596" s="63">
        <v>49</v>
      </c>
      <c r="G596" s="63">
        <v>1</v>
      </c>
      <c r="H596" s="63">
        <v>8</v>
      </c>
      <c r="I596" s="85">
        <v>84</v>
      </c>
      <c r="J596" s="93">
        <v>14</v>
      </c>
      <c r="K596" s="143">
        <f>J596/G596</f>
        <v>14</v>
      </c>
      <c r="L596" s="207">
        <f>I596/J596</f>
        <v>6</v>
      </c>
      <c r="M596" s="145">
        <f>265356+150950+36636+752+2313+871+2481+84</f>
        <v>459443</v>
      </c>
      <c r="N596" s="146">
        <f>28419+15898+4109+157+424+163+412+14</f>
        <v>49596</v>
      </c>
      <c r="O596" s="218">
        <f>+M596/N596</f>
        <v>9.26371078312767</v>
      </c>
      <c r="P596" s="232"/>
    </row>
    <row r="597" spans="1:16" ht="15">
      <c r="A597" s="91">
        <v>594</v>
      </c>
      <c r="B597" s="56" t="s">
        <v>385</v>
      </c>
      <c r="C597" s="41">
        <v>39437</v>
      </c>
      <c r="D597" s="46" t="s">
        <v>48</v>
      </c>
      <c r="E597" s="46" t="s">
        <v>426</v>
      </c>
      <c r="F597" s="43">
        <v>17</v>
      </c>
      <c r="G597" s="43">
        <v>1</v>
      </c>
      <c r="H597" s="43">
        <v>10</v>
      </c>
      <c r="I597" s="86">
        <v>82.5</v>
      </c>
      <c r="J597" s="95">
        <v>5</v>
      </c>
      <c r="K597" s="143">
        <f>J597/G597</f>
        <v>5</v>
      </c>
      <c r="L597" s="144">
        <f>I597/J597</f>
        <v>16.5</v>
      </c>
      <c r="M597" s="135">
        <v>278333</v>
      </c>
      <c r="N597" s="133">
        <v>26564</v>
      </c>
      <c r="O597" s="81">
        <f>M597/N597</f>
        <v>10.4778271344677</v>
      </c>
      <c r="P597" s="316"/>
    </row>
    <row r="598" spans="1:16" ht="15">
      <c r="A598" s="91">
        <v>595</v>
      </c>
      <c r="B598" s="62" t="s">
        <v>413</v>
      </c>
      <c r="C598" s="41">
        <v>39304</v>
      </c>
      <c r="D598" s="45" t="s">
        <v>41</v>
      </c>
      <c r="E598" s="44" t="s">
        <v>140</v>
      </c>
      <c r="F598" s="63">
        <v>165</v>
      </c>
      <c r="G598" s="63">
        <v>1</v>
      </c>
      <c r="H598" s="63">
        <v>22</v>
      </c>
      <c r="I598" s="85">
        <v>81</v>
      </c>
      <c r="J598" s="93">
        <v>40</v>
      </c>
      <c r="K598" s="143">
        <f>J598/G598</f>
        <v>40</v>
      </c>
      <c r="L598" s="144">
        <f>I598/J598</f>
        <v>2.025</v>
      </c>
      <c r="M598" s="145">
        <f>2632960+1103806+622810+343330+175885+112509+60772+28410+15737+16484+3567+7825+3899+7196+3981+1749+1616+3566+772+1288+684+81</f>
        <v>5148927</v>
      </c>
      <c r="N598" s="146">
        <f>336483+141879+82533+45209+26903+20540+11529+5833+3987+3318+680+865+384+1787+580+811+720+1776+383+644+340+40</f>
        <v>687224</v>
      </c>
      <c r="O598" s="81">
        <f>+M598/N598</f>
        <v>7.492356204090661</v>
      </c>
      <c r="P598" s="316"/>
    </row>
    <row r="599" spans="1:16" ht="15">
      <c r="A599" s="91">
        <v>596</v>
      </c>
      <c r="B599" s="57" t="s">
        <v>209</v>
      </c>
      <c r="C599" s="41">
        <v>39416</v>
      </c>
      <c r="D599" s="47" t="s">
        <v>432</v>
      </c>
      <c r="E599" s="47" t="s">
        <v>210</v>
      </c>
      <c r="F599" s="64" t="s">
        <v>277</v>
      </c>
      <c r="G599" s="64" t="s">
        <v>424</v>
      </c>
      <c r="H599" s="64" t="s">
        <v>428</v>
      </c>
      <c r="I599" s="85">
        <v>80</v>
      </c>
      <c r="J599" s="93">
        <v>14</v>
      </c>
      <c r="K599" s="143">
        <f>J599/G599</f>
        <v>14</v>
      </c>
      <c r="L599" s="144">
        <f>I599/J599</f>
        <v>5.714285714285714</v>
      </c>
      <c r="M599" s="145">
        <v>28346</v>
      </c>
      <c r="N599" s="146">
        <v>3690</v>
      </c>
      <c r="O599" s="81">
        <f>+M599/N599</f>
        <v>7.681842818428184</v>
      </c>
      <c r="P599" s="232"/>
    </row>
    <row r="600" spans="1:16" ht="15">
      <c r="A600" s="91">
        <v>597</v>
      </c>
      <c r="B600" s="56" t="s">
        <v>419</v>
      </c>
      <c r="C600" s="42">
        <v>39311</v>
      </c>
      <c r="D600" s="46" t="s">
        <v>43</v>
      </c>
      <c r="E600" s="44" t="s">
        <v>44</v>
      </c>
      <c r="F600" s="63">
        <v>51</v>
      </c>
      <c r="G600" s="43">
        <v>1</v>
      </c>
      <c r="H600" s="43">
        <v>13</v>
      </c>
      <c r="I600" s="86">
        <v>80</v>
      </c>
      <c r="J600" s="95">
        <v>12</v>
      </c>
      <c r="K600" s="136">
        <f>IF(I600&lt;&gt;0,J600/G600,"")</f>
        <v>12</v>
      </c>
      <c r="L600" s="137">
        <f>IF(I600&lt;&gt;0,I600/J600,"")</f>
        <v>6.666666666666667</v>
      </c>
      <c r="M600" s="135">
        <f>307706+165406+101634+49698+32049.5+23376.5+11639-20+12239.5+6765.5+893+48+38+80</f>
        <v>711553</v>
      </c>
      <c r="N600" s="133">
        <f>37496+19653+12173+6929+5777+4291+2342-2+2292+1679+199+7+5+12</f>
        <v>92853</v>
      </c>
      <c r="O600" s="156">
        <f>IF(M600&lt;&gt;0,M600/N600,"")</f>
        <v>7.663220359062174</v>
      </c>
      <c r="P600" s="232">
        <v>1</v>
      </c>
    </row>
    <row r="601" spans="1:16" ht="15">
      <c r="A601" s="91">
        <v>598</v>
      </c>
      <c r="B601" s="330" t="s">
        <v>472</v>
      </c>
      <c r="C601" s="323">
        <v>39430</v>
      </c>
      <c r="D601" s="322" t="s">
        <v>42</v>
      </c>
      <c r="E601" s="322" t="s">
        <v>38</v>
      </c>
      <c r="F601" s="324">
        <v>137</v>
      </c>
      <c r="G601" s="324">
        <v>1</v>
      </c>
      <c r="H601" s="324">
        <v>29</v>
      </c>
      <c r="I601" s="325">
        <v>79</v>
      </c>
      <c r="J601" s="326">
        <v>10</v>
      </c>
      <c r="K601" s="327">
        <f aca="true" t="shared" si="65" ref="K601:K611">J601/G601</f>
        <v>10</v>
      </c>
      <c r="L601" s="328">
        <f>+I601/J601</f>
        <v>7.9</v>
      </c>
      <c r="M601" s="329">
        <v>3568743</v>
      </c>
      <c r="N601" s="327">
        <v>464194</v>
      </c>
      <c r="O601" s="331">
        <f aca="true" t="shared" si="66" ref="O601:O611">+M601/N601</f>
        <v>7.688042068617863</v>
      </c>
      <c r="P601" s="232">
        <v>1</v>
      </c>
    </row>
    <row r="602" spans="1:16" ht="15">
      <c r="A602" s="91">
        <v>599</v>
      </c>
      <c r="B602" s="56" t="s">
        <v>475</v>
      </c>
      <c r="C602" s="41">
        <v>39430</v>
      </c>
      <c r="D602" s="46" t="s">
        <v>43</v>
      </c>
      <c r="E602" s="46" t="s">
        <v>44</v>
      </c>
      <c r="F602" s="43">
        <v>64</v>
      </c>
      <c r="G602" s="43">
        <v>1</v>
      </c>
      <c r="H602" s="43">
        <v>13</v>
      </c>
      <c r="I602" s="354">
        <v>78</v>
      </c>
      <c r="J602" s="355">
        <v>26</v>
      </c>
      <c r="K602" s="143">
        <f t="shared" si="65"/>
        <v>26</v>
      </c>
      <c r="L602" s="144">
        <f>I602/J602</f>
        <v>3</v>
      </c>
      <c r="M602" s="135">
        <f>183581+192120.5+67824+23763.5+5798.5+5467+22027+14042+2947+442+3097+2408.5+78</f>
        <v>523596</v>
      </c>
      <c r="N602" s="133">
        <f>20071+21989+8620+4128+850+1010+3719+2499+595+78+775+602+26</f>
        <v>64962</v>
      </c>
      <c r="O602" s="81">
        <f t="shared" si="66"/>
        <v>8.060035097441581</v>
      </c>
      <c r="P602" s="232">
        <v>1</v>
      </c>
    </row>
    <row r="603" spans="1:16" ht="15">
      <c r="A603" s="91">
        <v>600</v>
      </c>
      <c r="B603" s="56" t="s">
        <v>447</v>
      </c>
      <c r="C603" s="42">
        <v>38947</v>
      </c>
      <c r="D603" s="46" t="s">
        <v>43</v>
      </c>
      <c r="E603" s="46" t="s">
        <v>44</v>
      </c>
      <c r="F603" s="63">
        <v>106</v>
      </c>
      <c r="G603" s="43">
        <v>1</v>
      </c>
      <c r="H603" s="43">
        <v>35</v>
      </c>
      <c r="I603" s="187">
        <v>70</v>
      </c>
      <c r="J603" s="188">
        <v>10</v>
      </c>
      <c r="K603" s="206">
        <f t="shared" si="65"/>
        <v>10</v>
      </c>
      <c r="L603" s="144">
        <f>I603/J603</f>
        <v>7</v>
      </c>
      <c r="M603" s="191">
        <f>851045+613251.5+405140+216081+124391+88721.5+33772.5+20268.5+9628+2255.5+1314.5+2611.5+726.5+537.5+1115+625.5+6606+1330.5+1386+-611+1222+4532+530+28400+130+4027.5+416+3201.5+838+1128+2376+4027+2423+168+147+70</f>
        <v>2433832.5</v>
      </c>
      <c r="N603" s="189">
        <f>116878+84823+56865+31359+21609+17621+6633+4111+1582+390+233+473+110+78+157+95+2946+355+318+132+906+105+5667+18+806+100+801+209+188+594+1006+599+24+21+10</f>
        <v>357822</v>
      </c>
      <c r="O603" s="81">
        <f t="shared" si="66"/>
        <v>6.801796703388836</v>
      </c>
      <c r="P603" s="232"/>
    </row>
    <row r="604" spans="1:16" ht="15">
      <c r="A604" s="91">
        <v>601</v>
      </c>
      <c r="B604" s="56" t="s">
        <v>122</v>
      </c>
      <c r="C604" s="41">
        <v>39283</v>
      </c>
      <c r="D604" s="46" t="s">
        <v>412</v>
      </c>
      <c r="E604" s="46" t="s">
        <v>123</v>
      </c>
      <c r="F604" s="43">
        <v>27</v>
      </c>
      <c r="G604" s="43">
        <v>1</v>
      </c>
      <c r="H604" s="43">
        <v>17</v>
      </c>
      <c r="I604" s="187">
        <v>68</v>
      </c>
      <c r="J604" s="188">
        <v>17</v>
      </c>
      <c r="K604" s="206">
        <f t="shared" si="65"/>
        <v>17</v>
      </c>
      <c r="L604" s="207">
        <f>I604/J604</f>
        <v>4</v>
      </c>
      <c r="M604" s="191">
        <v>197367</v>
      </c>
      <c r="N604" s="189">
        <v>27826</v>
      </c>
      <c r="O604" s="218">
        <f t="shared" si="66"/>
        <v>7.0928987278085245</v>
      </c>
      <c r="P604" s="232">
        <v>1</v>
      </c>
    </row>
    <row r="605" spans="1:16" ht="15">
      <c r="A605" s="91">
        <v>602</v>
      </c>
      <c r="B605" s="55" t="s">
        <v>394</v>
      </c>
      <c r="C605" s="41">
        <v>39402</v>
      </c>
      <c r="D605" s="45" t="s">
        <v>41</v>
      </c>
      <c r="E605" s="44" t="s">
        <v>140</v>
      </c>
      <c r="F605" s="63">
        <v>20</v>
      </c>
      <c r="G605" s="63">
        <v>1</v>
      </c>
      <c r="H605" s="63">
        <v>11</v>
      </c>
      <c r="I605" s="197">
        <v>64</v>
      </c>
      <c r="J605" s="198">
        <v>16</v>
      </c>
      <c r="K605" s="206">
        <f t="shared" si="65"/>
        <v>16</v>
      </c>
      <c r="L605" s="207">
        <f>I605/J605</f>
        <v>4</v>
      </c>
      <c r="M605" s="199">
        <f>8296+141704+66729+20126+11859+581+2076+3662+3777+6557+1754+64</f>
        <v>267185</v>
      </c>
      <c r="N605" s="200">
        <f>702+12499+6089+1727+1871+101+444+549+663+1089+276+16</f>
        <v>26026</v>
      </c>
      <c r="O605" s="218">
        <f t="shared" si="66"/>
        <v>10.26608007377238</v>
      </c>
      <c r="P605" s="232"/>
    </row>
    <row r="606" spans="1:16" ht="15">
      <c r="A606" s="91">
        <v>603</v>
      </c>
      <c r="B606" s="56" t="s">
        <v>213</v>
      </c>
      <c r="C606" s="41">
        <v>39087</v>
      </c>
      <c r="D606" s="299" t="s">
        <v>41</v>
      </c>
      <c r="E606" s="299" t="s">
        <v>46</v>
      </c>
      <c r="F606" s="43">
        <v>80</v>
      </c>
      <c r="G606" s="43">
        <v>1</v>
      </c>
      <c r="H606" s="43">
        <v>32</v>
      </c>
      <c r="I606" s="187">
        <v>60</v>
      </c>
      <c r="J606" s="188">
        <v>20</v>
      </c>
      <c r="K606" s="206">
        <f t="shared" si="65"/>
        <v>20</v>
      </c>
      <c r="L606" s="207">
        <f>I606/J606</f>
        <v>3</v>
      </c>
      <c r="M606" s="191">
        <f>1367+686114+384405+247619+146119+85619+63759-1+18934+11869+10791+11315+6907+8812+6730+2628+1465+749+1063+756+276+1198+612+510+45+1062+592+1782+205+893+893+2490+691+2542+60</f>
        <v>1710871</v>
      </c>
      <c r="N606" s="189">
        <f>80773+116+46317+29887+17891+10484+7685+2801+1917+1334+1333+755+1517+932+417+307+136+369+126+23+122+85+45+5+126+49+510+33+296+296+415+68+356+20</f>
        <v>207546</v>
      </c>
      <c r="O606" s="218">
        <f t="shared" si="66"/>
        <v>8.24333400788259</v>
      </c>
      <c r="P606" s="232"/>
    </row>
    <row r="607" spans="1:16" ht="15">
      <c r="A607" s="91">
        <v>604</v>
      </c>
      <c r="B607" s="56" t="s">
        <v>470</v>
      </c>
      <c r="C607" s="41">
        <v>39430</v>
      </c>
      <c r="D607" s="46" t="s">
        <v>42</v>
      </c>
      <c r="E607" s="46" t="s">
        <v>251</v>
      </c>
      <c r="F607" s="43">
        <v>242</v>
      </c>
      <c r="G607" s="43">
        <v>1</v>
      </c>
      <c r="H607" s="43">
        <v>21</v>
      </c>
      <c r="I607" s="187">
        <v>60</v>
      </c>
      <c r="J607" s="188">
        <v>12</v>
      </c>
      <c r="K607" s="206">
        <f t="shared" si="65"/>
        <v>12</v>
      </c>
      <c r="L607" s="207">
        <f>+I607/J607</f>
        <v>5</v>
      </c>
      <c r="M607" s="191">
        <v>15281657</v>
      </c>
      <c r="N607" s="189">
        <v>1985251</v>
      </c>
      <c r="O607" s="218">
        <f t="shared" si="66"/>
        <v>7.697594409976371</v>
      </c>
      <c r="P607" s="232"/>
    </row>
    <row r="608" spans="1:16" ht="15">
      <c r="A608" s="91">
        <v>605</v>
      </c>
      <c r="B608" s="56" t="s">
        <v>382</v>
      </c>
      <c r="C608" s="42">
        <v>39437</v>
      </c>
      <c r="D608" s="46" t="s">
        <v>43</v>
      </c>
      <c r="E608" s="46" t="s">
        <v>383</v>
      </c>
      <c r="F608" s="43">
        <v>156</v>
      </c>
      <c r="G608" s="43">
        <v>2</v>
      </c>
      <c r="H608" s="43">
        <v>25</v>
      </c>
      <c r="I608" s="187">
        <v>57</v>
      </c>
      <c r="J608" s="188">
        <v>19</v>
      </c>
      <c r="K608" s="206">
        <f t="shared" si="65"/>
        <v>9.5</v>
      </c>
      <c r="L608" s="207">
        <f>I608/J608</f>
        <v>3</v>
      </c>
      <c r="M608" s="191">
        <f>1780127+1212579.5+721829.5+404706.5+230406+56484.5+45824+18497.5+10529+9795.5+1455+3484+1447+391+3673+4075.5+1032+2531+796+535+3062+45+30+54+57</f>
        <v>4513446.5</v>
      </c>
      <c r="N608" s="189">
        <f>240776+165120+97288+55998+35394+10296+9476+3143+2091+2258+337+991+436+98+918+697+200+844+138+94+766+15+10+18+19</f>
        <v>627421</v>
      </c>
      <c r="O608" s="218">
        <f t="shared" si="66"/>
        <v>7.193649080920148</v>
      </c>
      <c r="P608" s="232"/>
    </row>
    <row r="609" spans="1:16" ht="15">
      <c r="A609" s="91">
        <v>606</v>
      </c>
      <c r="B609" s="57" t="s">
        <v>411</v>
      </c>
      <c r="C609" s="42">
        <v>39220</v>
      </c>
      <c r="D609" s="47" t="s">
        <v>425</v>
      </c>
      <c r="E609" s="47" t="s">
        <v>50</v>
      </c>
      <c r="F609" s="88">
        <v>88</v>
      </c>
      <c r="G609" s="89">
        <v>1</v>
      </c>
      <c r="H609" s="88">
        <v>35</v>
      </c>
      <c r="I609" s="85">
        <v>56</v>
      </c>
      <c r="J609" s="93">
        <v>11</v>
      </c>
      <c r="K609" s="143">
        <f t="shared" si="65"/>
        <v>11</v>
      </c>
      <c r="L609" s="207">
        <f>I609/J609</f>
        <v>5.090909090909091</v>
      </c>
      <c r="M609" s="145">
        <v>589575</v>
      </c>
      <c r="N609" s="146">
        <v>87054</v>
      </c>
      <c r="O609" s="218">
        <f t="shared" si="66"/>
        <v>6.772520504514439</v>
      </c>
      <c r="P609" s="232"/>
    </row>
    <row r="610" spans="1:16" ht="15">
      <c r="A610" s="91">
        <v>607</v>
      </c>
      <c r="B610" s="56" t="s">
        <v>382</v>
      </c>
      <c r="C610" s="42">
        <v>39437</v>
      </c>
      <c r="D610" s="46" t="s">
        <v>43</v>
      </c>
      <c r="E610" s="46" t="s">
        <v>383</v>
      </c>
      <c r="F610" s="43">
        <v>156</v>
      </c>
      <c r="G610" s="43">
        <v>2</v>
      </c>
      <c r="H610" s="43">
        <v>24</v>
      </c>
      <c r="I610" s="187">
        <v>54</v>
      </c>
      <c r="J610" s="188">
        <v>18</v>
      </c>
      <c r="K610" s="206">
        <f t="shared" si="65"/>
        <v>9</v>
      </c>
      <c r="L610" s="207">
        <f>I610/J610</f>
        <v>3</v>
      </c>
      <c r="M610" s="191">
        <v>4513389.5</v>
      </c>
      <c r="N610" s="189">
        <v>627402</v>
      </c>
      <c r="O610" s="218">
        <f t="shared" si="66"/>
        <v>7.1937760797702275</v>
      </c>
      <c r="P610" s="232">
        <v>1</v>
      </c>
    </row>
    <row r="611" spans="1:16" ht="15">
      <c r="A611" s="91">
        <v>608</v>
      </c>
      <c r="B611" s="55" t="s">
        <v>517</v>
      </c>
      <c r="C611" s="41">
        <v>39444</v>
      </c>
      <c r="D611" s="45" t="s">
        <v>41</v>
      </c>
      <c r="E611" s="44" t="s">
        <v>52</v>
      </c>
      <c r="F611" s="63">
        <v>60</v>
      </c>
      <c r="G611" s="63">
        <v>5</v>
      </c>
      <c r="H611" s="63">
        <v>6</v>
      </c>
      <c r="I611" s="197">
        <v>52</v>
      </c>
      <c r="J611" s="198">
        <v>13</v>
      </c>
      <c r="K611" s="206">
        <f t="shared" si="65"/>
        <v>2.6</v>
      </c>
      <c r="L611" s="207">
        <f>I611/J611</f>
        <v>4</v>
      </c>
      <c r="M611" s="199">
        <f>211429+90759+13033+2807+2520+52</f>
        <v>320600</v>
      </c>
      <c r="N611" s="200">
        <f>22982+9879+1560+450+434+13</f>
        <v>35318</v>
      </c>
      <c r="O611" s="218">
        <f t="shared" si="66"/>
        <v>9.077524208618835</v>
      </c>
      <c r="P611" s="232">
        <v>1</v>
      </c>
    </row>
    <row r="612" spans="1:16" ht="15">
      <c r="A612" s="91">
        <v>609</v>
      </c>
      <c r="B612" s="56" t="s">
        <v>382</v>
      </c>
      <c r="C612" s="42">
        <v>39437</v>
      </c>
      <c r="D612" s="46" t="s">
        <v>43</v>
      </c>
      <c r="E612" s="46" t="s">
        <v>383</v>
      </c>
      <c r="F612" s="43">
        <v>156</v>
      </c>
      <c r="G612" s="43">
        <v>1</v>
      </c>
      <c r="H612" s="43">
        <v>26</v>
      </c>
      <c r="I612" s="135">
        <v>51</v>
      </c>
      <c r="J612" s="189">
        <v>17</v>
      </c>
      <c r="K612" s="189"/>
      <c r="L612" s="134"/>
      <c r="M612" s="135">
        <f>1780127+1212579.5+721829.5+404706.5+230406+56484.5+45824+18497.5+10529+9795.5+1455+3484+1447+391+3673+4075.5+1032+2531+796+535+3062+45+30+54+57+51</f>
        <v>4513497.5</v>
      </c>
      <c r="N612" s="189">
        <f>240776+165120+97288+55998+35394+10296+9476+3143+2091+2258+337+991+436+98+918+697+200+844+138+94+766+15+10+18+19+17</f>
        <v>627438</v>
      </c>
      <c r="O612" s="391"/>
      <c r="P612" s="232"/>
    </row>
    <row r="613" spans="1:16" ht="15">
      <c r="A613" s="91">
        <v>610</v>
      </c>
      <c r="B613" s="57" t="s">
        <v>353</v>
      </c>
      <c r="C613" s="41">
        <v>39444</v>
      </c>
      <c r="D613" s="47" t="s">
        <v>432</v>
      </c>
      <c r="E613" s="47" t="s">
        <v>98</v>
      </c>
      <c r="F613" s="64" t="s">
        <v>515</v>
      </c>
      <c r="G613" s="64" t="s">
        <v>424</v>
      </c>
      <c r="H613" s="64" t="s">
        <v>548</v>
      </c>
      <c r="I613" s="197">
        <v>50</v>
      </c>
      <c r="J613" s="198">
        <v>10</v>
      </c>
      <c r="K613" s="206">
        <f aca="true" t="shared" si="67" ref="K613:K619">J613/G613</f>
        <v>10</v>
      </c>
      <c r="L613" s="144">
        <f>I613/J613</f>
        <v>5</v>
      </c>
      <c r="M613" s="199">
        <v>21780.5</v>
      </c>
      <c r="N613" s="200">
        <v>2881</v>
      </c>
      <c r="O613" s="81">
        <f>+M613/N613</f>
        <v>7.560048594238112</v>
      </c>
      <c r="P613" s="333"/>
    </row>
    <row r="614" spans="1:16" ht="15">
      <c r="A614" s="91">
        <v>611</v>
      </c>
      <c r="B614" s="56" t="s">
        <v>252</v>
      </c>
      <c r="C614" s="41">
        <v>39437</v>
      </c>
      <c r="D614" s="46" t="s">
        <v>41</v>
      </c>
      <c r="E614" s="46" t="s">
        <v>551</v>
      </c>
      <c r="F614" s="43">
        <v>49</v>
      </c>
      <c r="G614" s="43">
        <v>1</v>
      </c>
      <c r="H614" s="43">
        <v>15</v>
      </c>
      <c r="I614" s="187">
        <v>50</v>
      </c>
      <c r="J614" s="188">
        <v>8</v>
      </c>
      <c r="K614" s="206">
        <f t="shared" si="67"/>
        <v>8</v>
      </c>
      <c r="L614" s="207">
        <f>I614/J614</f>
        <v>6.25</v>
      </c>
      <c r="M614" s="191">
        <f>265356+150950+36636+752+2313+871+2481+84+743+187+110+488+748+1242+50</f>
        <v>463011</v>
      </c>
      <c r="N614" s="189">
        <f>28419+15898+4109+157+424+163+412+14+140+31+21+106+161+211+8</f>
        <v>50274</v>
      </c>
      <c r="O614" s="218">
        <f>+M614/N614</f>
        <v>9.209750566893424</v>
      </c>
      <c r="P614" s="333"/>
    </row>
    <row r="615" spans="1:16" ht="15">
      <c r="A615" s="91">
        <v>612</v>
      </c>
      <c r="B615" s="56" t="s">
        <v>476</v>
      </c>
      <c r="C615" s="42">
        <v>39430</v>
      </c>
      <c r="D615" s="46" t="s">
        <v>43</v>
      </c>
      <c r="E615" s="46" t="s">
        <v>434</v>
      </c>
      <c r="F615" s="43">
        <v>43</v>
      </c>
      <c r="G615" s="43">
        <v>1</v>
      </c>
      <c r="H615" s="43">
        <v>5</v>
      </c>
      <c r="I615" s="187">
        <v>50</v>
      </c>
      <c r="J615" s="188">
        <v>5</v>
      </c>
      <c r="K615" s="189">
        <f t="shared" si="67"/>
        <v>5</v>
      </c>
      <c r="L615" s="190">
        <f>+I615/J615</f>
        <v>10</v>
      </c>
      <c r="M615" s="191">
        <f>43240+25728.5+5226.5+5207.5+50</f>
        <v>79452.5</v>
      </c>
      <c r="N615" s="189">
        <f>5272+3593+870+1171+5</f>
        <v>10911</v>
      </c>
      <c r="O615" s="215">
        <f>+M615/N615</f>
        <v>7.281871505819815</v>
      </c>
      <c r="P615" s="316"/>
    </row>
    <row r="616" spans="1:16" ht="15">
      <c r="A616" s="91">
        <v>613</v>
      </c>
      <c r="B616" s="56" t="s">
        <v>391</v>
      </c>
      <c r="C616" s="41">
        <v>39395</v>
      </c>
      <c r="D616" s="46" t="s">
        <v>41</v>
      </c>
      <c r="E616" s="46" t="s">
        <v>46</v>
      </c>
      <c r="F616" s="43">
        <v>56</v>
      </c>
      <c r="G616" s="43">
        <v>1</v>
      </c>
      <c r="H616" s="43">
        <v>10</v>
      </c>
      <c r="I616" s="187">
        <v>48</v>
      </c>
      <c r="J616" s="188">
        <v>12</v>
      </c>
      <c r="K616" s="206">
        <f t="shared" si="67"/>
        <v>12</v>
      </c>
      <c r="L616" s="207">
        <f>I616/J616</f>
        <v>4</v>
      </c>
      <c r="M616" s="191">
        <f>1295+255300+147780+51761+8278+8834+918+1598+1039+1455+48</f>
        <v>478306</v>
      </c>
      <c r="N616" s="189">
        <f>119+28097+15891+6021+1461+2448+162+667+158+291+12</f>
        <v>55327</v>
      </c>
      <c r="O616" s="218">
        <f>+M616/N616</f>
        <v>8.645073833752056</v>
      </c>
      <c r="P616" s="232"/>
    </row>
    <row r="617" spans="1:16" ht="15">
      <c r="A617" s="91">
        <v>614</v>
      </c>
      <c r="B617" s="56" t="s">
        <v>382</v>
      </c>
      <c r="C617" s="42">
        <v>39437</v>
      </c>
      <c r="D617" s="46" t="s">
        <v>43</v>
      </c>
      <c r="E617" s="46" t="s">
        <v>531</v>
      </c>
      <c r="F617" s="43">
        <v>156</v>
      </c>
      <c r="G617" s="43">
        <v>1</v>
      </c>
      <c r="H617" s="43">
        <v>22</v>
      </c>
      <c r="I617" s="191">
        <v>45</v>
      </c>
      <c r="J617" s="189">
        <v>15</v>
      </c>
      <c r="K617" s="211">
        <f t="shared" si="67"/>
        <v>15</v>
      </c>
      <c r="L617" s="212">
        <f>I617/J617</f>
        <v>3</v>
      </c>
      <c r="M617" s="191">
        <f>1780127+1212579.5+721829.5+404706.5+230406+56484.5+45824+18497.5+10529+9795.5+1455+3484+1447+391+3673+4075.5+1032+2531+796+535+3062+45</f>
        <v>4513305.5</v>
      </c>
      <c r="N617" s="189">
        <f>240776+165120+97288+55998+35394+10296+9476+3143+2091+2258+337+991+436+98+918+697+200+844+138+94+766+15</f>
        <v>627374</v>
      </c>
      <c r="O617" s="219">
        <f>M617/N617</f>
        <v>7.193963249991233</v>
      </c>
      <c r="P617" s="232">
        <v>1</v>
      </c>
    </row>
    <row r="618" spans="1:16" ht="15">
      <c r="A618" s="91">
        <v>615</v>
      </c>
      <c r="B618" s="56" t="s">
        <v>517</v>
      </c>
      <c r="C618" s="41">
        <v>39444</v>
      </c>
      <c r="D618" s="299" t="s">
        <v>41</v>
      </c>
      <c r="E618" s="299" t="s">
        <v>52</v>
      </c>
      <c r="F618" s="43">
        <v>60</v>
      </c>
      <c r="G618" s="43">
        <v>1</v>
      </c>
      <c r="H618" s="43">
        <v>8</v>
      </c>
      <c r="I618" s="187">
        <v>44</v>
      </c>
      <c r="J618" s="188">
        <v>11</v>
      </c>
      <c r="K618" s="206">
        <f t="shared" si="67"/>
        <v>11</v>
      </c>
      <c r="L618" s="207">
        <f>I618/J618</f>
        <v>4</v>
      </c>
      <c r="M618" s="191">
        <f>211429+90759+13033+2807+2520+52+375+44</f>
        <v>321019</v>
      </c>
      <c r="N618" s="189">
        <f>22982+9879+1560+450+434+13+81+11</f>
        <v>35410</v>
      </c>
      <c r="O618" s="218">
        <f>+M618/N618</f>
        <v>9.065772380683423</v>
      </c>
      <c r="P618" s="402">
        <v>1</v>
      </c>
    </row>
    <row r="619" spans="1:16" ht="15">
      <c r="A619" s="91">
        <v>616</v>
      </c>
      <c r="B619" s="265" t="s">
        <v>397</v>
      </c>
      <c r="C619" s="42">
        <v>39402</v>
      </c>
      <c r="D619" s="259" t="s">
        <v>42</v>
      </c>
      <c r="E619" s="259" t="s">
        <v>217</v>
      </c>
      <c r="F619" s="43">
        <v>130</v>
      </c>
      <c r="G619" s="43">
        <v>1</v>
      </c>
      <c r="H619" s="43">
        <v>14</v>
      </c>
      <c r="I619" s="187">
        <v>41</v>
      </c>
      <c r="J619" s="188">
        <v>7</v>
      </c>
      <c r="K619" s="206">
        <f t="shared" si="67"/>
        <v>7</v>
      </c>
      <c r="L619" s="207">
        <f>I619/J619</f>
        <v>5.857142857142857</v>
      </c>
      <c r="M619" s="191">
        <v>2095521</v>
      </c>
      <c r="N619" s="189">
        <v>264938</v>
      </c>
      <c r="O619" s="218">
        <f>+M619/N619</f>
        <v>7.909476934226121</v>
      </c>
      <c r="P619" s="402"/>
    </row>
    <row r="620" spans="1:16" ht="15">
      <c r="A620" s="91">
        <v>617</v>
      </c>
      <c r="B620" s="330" t="s">
        <v>475</v>
      </c>
      <c r="C620" s="323">
        <v>39430</v>
      </c>
      <c r="D620" s="322" t="s">
        <v>43</v>
      </c>
      <c r="E620" s="322" t="s">
        <v>44</v>
      </c>
      <c r="F620" s="324">
        <v>64</v>
      </c>
      <c r="G620" s="324">
        <v>1</v>
      </c>
      <c r="H620" s="324">
        <v>18</v>
      </c>
      <c r="I620" s="325">
        <v>40</v>
      </c>
      <c r="J620" s="326">
        <v>10</v>
      </c>
      <c r="K620" s="327">
        <f>+J620/G620</f>
        <v>10</v>
      </c>
      <c r="L620" s="328">
        <f>+I620/J620</f>
        <v>4</v>
      </c>
      <c r="M620" s="329">
        <f>183581+192120.5+67824+23763.5+5798.5+5467+22027+14042+2947+442+3097+2408.5+78+12+1060+830+20+40</f>
        <v>525558</v>
      </c>
      <c r="N620" s="327">
        <f>20071+21989+8620+4128+850+1010+3719+2499+595+78+775+602+26+4+192+166+5+10</f>
        <v>65339</v>
      </c>
      <c r="O620" s="331">
        <f>+M620/N620</f>
        <v>8.043557446548004</v>
      </c>
      <c r="P620" s="402"/>
    </row>
    <row r="621" spans="1:16" ht="15">
      <c r="A621" s="91">
        <v>618</v>
      </c>
      <c r="B621" s="56" t="s">
        <v>470</v>
      </c>
      <c r="C621" s="41">
        <v>39430</v>
      </c>
      <c r="D621" s="46" t="s">
        <v>42</v>
      </c>
      <c r="E621" s="46" t="s">
        <v>12</v>
      </c>
      <c r="F621" s="43">
        <v>242</v>
      </c>
      <c r="G621" s="43">
        <v>1</v>
      </c>
      <c r="H621" s="43">
        <v>18</v>
      </c>
      <c r="I621" s="86">
        <v>40</v>
      </c>
      <c r="J621" s="95">
        <v>8</v>
      </c>
      <c r="K621" s="143">
        <f>J621/G621</f>
        <v>8</v>
      </c>
      <c r="L621" s="144">
        <f>+I621/J621</f>
        <v>5</v>
      </c>
      <c r="M621" s="135">
        <v>15280922</v>
      </c>
      <c r="N621" s="133">
        <v>1984849</v>
      </c>
      <c r="O621" s="81">
        <f>+M621/N621</f>
        <v>7.698783131613538</v>
      </c>
      <c r="P621" s="402">
        <v>1</v>
      </c>
    </row>
    <row r="622" spans="1:16" ht="15">
      <c r="A622" s="91">
        <v>619</v>
      </c>
      <c r="B622" s="330" t="s">
        <v>398</v>
      </c>
      <c r="C622" s="323">
        <v>39402</v>
      </c>
      <c r="D622" s="322" t="s">
        <v>43</v>
      </c>
      <c r="E622" s="322" t="s">
        <v>467</v>
      </c>
      <c r="F622" s="324">
        <v>125</v>
      </c>
      <c r="G622" s="324">
        <v>1</v>
      </c>
      <c r="H622" s="324">
        <v>20</v>
      </c>
      <c r="I622" s="325">
        <v>40</v>
      </c>
      <c r="J622" s="326">
        <v>4</v>
      </c>
      <c r="K622" s="327">
        <f>J622/G622</f>
        <v>4</v>
      </c>
      <c r="L622" s="328">
        <f>I622/J622</f>
        <v>10</v>
      </c>
      <c r="M622" s="329">
        <f>676439.5+554539.5+408532.5+265092+4+63975.5-30+36417+32233.5+29355.5+9292+4684+3839.75+6311.5+292.5+748+464+444+276+606+730+40</f>
        <v>2094286.75</v>
      </c>
      <c r="N622" s="327">
        <f>91933+76364+57186+39863+2+10711+6714+6020+5300+2353+1269+898+1545+86+187+116+111+69+120+183+4</f>
        <v>301034</v>
      </c>
      <c r="O622" s="331">
        <f>+M622/N622</f>
        <v>6.95697745105204</v>
      </c>
      <c r="P622" s="402">
        <v>1</v>
      </c>
    </row>
    <row r="623" spans="1:16" ht="15">
      <c r="A623" s="91">
        <v>620</v>
      </c>
      <c r="B623" s="56" t="s">
        <v>275</v>
      </c>
      <c r="C623" s="41">
        <v>39416</v>
      </c>
      <c r="D623" s="46" t="s">
        <v>412</v>
      </c>
      <c r="E623" s="46" t="s">
        <v>293</v>
      </c>
      <c r="F623" s="43">
        <v>45</v>
      </c>
      <c r="G623" s="43">
        <v>1</v>
      </c>
      <c r="H623" s="43">
        <v>15</v>
      </c>
      <c r="I623" s="187">
        <v>36</v>
      </c>
      <c r="J623" s="188">
        <v>5</v>
      </c>
      <c r="K623" s="206">
        <v>92.17647058823529</v>
      </c>
      <c r="L623" s="207">
        <v>5.0644543714103385</v>
      </c>
      <c r="M623" s="191">
        <v>184426.5</v>
      </c>
      <c r="N623" s="189">
        <v>27823</v>
      </c>
      <c r="O623" s="218">
        <f>M623/N623</f>
        <v>6.628562699924523</v>
      </c>
      <c r="P623" s="402"/>
    </row>
    <row r="624" spans="1:16" ht="15">
      <c r="A624" s="91">
        <v>621</v>
      </c>
      <c r="B624" s="265" t="s">
        <v>397</v>
      </c>
      <c r="C624" s="42">
        <v>39402</v>
      </c>
      <c r="D624" s="259" t="s">
        <v>42</v>
      </c>
      <c r="E624" s="259" t="s">
        <v>217</v>
      </c>
      <c r="F624" s="43">
        <v>130</v>
      </c>
      <c r="G624" s="43">
        <v>1</v>
      </c>
      <c r="H624" s="43">
        <v>15</v>
      </c>
      <c r="I624" s="86">
        <v>32</v>
      </c>
      <c r="J624" s="95">
        <v>6</v>
      </c>
      <c r="K624" s="143">
        <f>J624/G624</f>
        <v>6</v>
      </c>
      <c r="L624" s="207">
        <f>I624/J624</f>
        <v>5.333333333333333</v>
      </c>
      <c r="M624" s="135">
        <v>2095553</v>
      </c>
      <c r="N624" s="133">
        <v>264944</v>
      </c>
      <c r="O624" s="218">
        <f>+M624/N624</f>
        <v>7.909418594118002</v>
      </c>
      <c r="P624" s="402"/>
    </row>
    <row r="625" spans="1:16" ht="15">
      <c r="A625" s="91">
        <v>622</v>
      </c>
      <c r="B625" s="56" t="s">
        <v>382</v>
      </c>
      <c r="C625" s="42">
        <v>39437</v>
      </c>
      <c r="D625" s="46" t="s">
        <v>43</v>
      </c>
      <c r="E625" s="46" t="s">
        <v>383</v>
      </c>
      <c r="F625" s="43">
        <v>156</v>
      </c>
      <c r="G625" s="43">
        <v>1</v>
      </c>
      <c r="H625" s="43">
        <v>23</v>
      </c>
      <c r="I625" s="86">
        <v>30</v>
      </c>
      <c r="J625" s="95">
        <v>10</v>
      </c>
      <c r="K625" s="140">
        <f>J625/G625</f>
        <v>10</v>
      </c>
      <c r="L625" s="141">
        <f>I625/J625</f>
        <v>3</v>
      </c>
      <c r="M625" s="135">
        <f>1780127+1212579.5+721829.5+404706.5+230406+56484.5+45824+18497.5+10529+9795.5+1455+3484+1447+391+3673+4075.5+1032+2531+796+535+3062+45+30</f>
        <v>4513335.5</v>
      </c>
      <c r="N625" s="381">
        <f>240776+165120+97288+55998+35394+10296+9476+3143+2091+2258+337+991+436+98+918+697+200+844+138+94+766+15+10</f>
        <v>627384</v>
      </c>
      <c r="O625" s="81">
        <f>+M625/N625</f>
        <v>7.193896401565867</v>
      </c>
      <c r="P625" s="402"/>
    </row>
    <row r="626" spans="1:16" ht="15">
      <c r="A626" s="91">
        <v>623</v>
      </c>
      <c r="B626" s="56" t="s">
        <v>438</v>
      </c>
      <c r="C626" s="42">
        <v>39318</v>
      </c>
      <c r="D626" s="87" t="s">
        <v>42</v>
      </c>
      <c r="E626" s="87" t="s">
        <v>45</v>
      </c>
      <c r="F626" s="43">
        <v>116</v>
      </c>
      <c r="G626" s="43">
        <v>1</v>
      </c>
      <c r="H626" s="43">
        <v>189</v>
      </c>
      <c r="I626" s="187">
        <v>27</v>
      </c>
      <c r="J626" s="188">
        <v>22</v>
      </c>
      <c r="K626" s="189">
        <f>J626/G626</f>
        <v>22</v>
      </c>
      <c r="L626" s="190">
        <f>+I626/J626</f>
        <v>1.2272727272727273</v>
      </c>
      <c r="M626" s="191">
        <v>2643760</v>
      </c>
      <c r="N626" s="189">
        <v>331546</v>
      </c>
      <c r="O626" s="215">
        <f>+M626/N626</f>
        <v>7.97403678524247</v>
      </c>
      <c r="P626" s="402">
        <v>1</v>
      </c>
    </row>
    <row r="627" spans="1:16" ht="15">
      <c r="A627" s="91">
        <v>624</v>
      </c>
      <c r="B627" s="77" t="s">
        <v>292</v>
      </c>
      <c r="C627" s="61">
        <v>39339</v>
      </c>
      <c r="D627" s="80" t="s">
        <v>412</v>
      </c>
      <c r="E627" s="80" t="s">
        <v>293</v>
      </c>
      <c r="F627" s="78">
        <v>79</v>
      </c>
      <c r="G627" s="79">
        <v>1</v>
      </c>
      <c r="H627" s="79">
        <v>26</v>
      </c>
      <c r="I627" s="348">
        <v>22</v>
      </c>
      <c r="J627" s="349">
        <v>4</v>
      </c>
      <c r="K627" s="203">
        <f>J627/G627</f>
        <v>4</v>
      </c>
      <c r="L627" s="204">
        <f>I627/J627</f>
        <v>5.5</v>
      </c>
      <c r="M627" s="205">
        <v>313447</v>
      </c>
      <c r="N627" s="206">
        <v>49806</v>
      </c>
      <c r="O627" s="217">
        <f>M627/N627</f>
        <v>6.293358229932137</v>
      </c>
      <c r="P627" s="333"/>
    </row>
    <row r="628" spans="1:16" ht="15">
      <c r="A628" s="91">
        <v>625</v>
      </c>
      <c r="B628" s="330" t="s">
        <v>319</v>
      </c>
      <c r="C628" s="323">
        <v>39423</v>
      </c>
      <c r="D628" s="322" t="s">
        <v>468</v>
      </c>
      <c r="E628" s="322" t="s">
        <v>468</v>
      </c>
      <c r="F628" s="324">
        <v>1</v>
      </c>
      <c r="G628" s="324">
        <v>1</v>
      </c>
      <c r="H628" s="324">
        <v>25</v>
      </c>
      <c r="I628" s="366">
        <v>20</v>
      </c>
      <c r="J628" s="367">
        <v>5</v>
      </c>
      <c r="K628" s="327">
        <f>+J628/G628</f>
        <v>5</v>
      </c>
      <c r="L628" s="328">
        <f>+I628/J628</f>
        <v>4</v>
      </c>
      <c r="M628" s="329">
        <v>26942</v>
      </c>
      <c r="N628" s="327">
        <v>2445</v>
      </c>
      <c r="O628" s="331">
        <f>+M628/N628</f>
        <v>11.019222903885481</v>
      </c>
      <c r="P628" s="232"/>
    </row>
    <row r="629" spans="1:16" ht="18">
      <c r="A629" s="91">
        <v>626</v>
      </c>
      <c r="B629" s="330" t="s">
        <v>475</v>
      </c>
      <c r="C629" s="323">
        <v>39430</v>
      </c>
      <c r="D629" s="322" t="s">
        <v>43</v>
      </c>
      <c r="E629" s="322" t="s">
        <v>44</v>
      </c>
      <c r="F629" s="324">
        <v>64</v>
      </c>
      <c r="G629" s="324">
        <v>1</v>
      </c>
      <c r="H629" s="324">
        <v>17</v>
      </c>
      <c r="I629" s="366">
        <v>20</v>
      </c>
      <c r="J629" s="367">
        <v>5</v>
      </c>
      <c r="K629" s="327">
        <f>J629/G629</f>
        <v>5</v>
      </c>
      <c r="L629" s="328">
        <f>I629/J629</f>
        <v>4</v>
      </c>
      <c r="M629" s="329">
        <f>183581+192120.5+67824+23763.5+5798.5+5467+22027+14042+2947+442+3097+2408.5+78+12+1060+830+20</f>
        <v>525518</v>
      </c>
      <c r="N629" s="327">
        <f>20071+21989+8620+4128+850+1010+3719+2499+595+78+775+602+26+4+192+166+5</f>
        <v>65329</v>
      </c>
      <c r="O629" s="331">
        <f>+M629/N629</f>
        <v>8.044176399455067</v>
      </c>
      <c r="P629" s="317"/>
    </row>
    <row r="630" spans="1:16" ht="15">
      <c r="A630" s="91">
        <v>627</v>
      </c>
      <c r="B630" s="56" t="s">
        <v>382</v>
      </c>
      <c r="C630" s="42">
        <v>39437</v>
      </c>
      <c r="D630" s="46" t="s">
        <v>43</v>
      </c>
      <c r="E630" s="46" t="s">
        <v>383</v>
      </c>
      <c r="F630" s="43">
        <v>156</v>
      </c>
      <c r="G630" s="43">
        <v>1</v>
      </c>
      <c r="H630" s="43">
        <v>28</v>
      </c>
      <c r="I630" s="86">
        <v>18</v>
      </c>
      <c r="J630" s="188">
        <v>6</v>
      </c>
      <c r="K630" s="206">
        <f>J630/G630</f>
        <v>6</v>
      </c>
      <c r="L630" s="207">
        <f>I630/J630</f>
        <v>3</v>
      </c>
      <c r="M630" s="135">
        <f>1780127+1212579.5+721829.5+404706.5+230406+56484.5+45824+18497.5+10529+9795.5+1455+3484+1447+391+3673+4075.5+1032+2531+796+535+3062+45+30+54+57+51+9+18</f>
        <v>4513524.5</v>
      </c>
      <c r="N630" s="189">
        <f>240776+165120+97288+55998+35394+10296+9476+3143+2091+2258+337+991+436+98+918+697+200+844+138+94+766+15+10+18+19+17+3+6</f>
        <v>627447</v>
      </c>
      <c r="O630" s="218">
        <f>+M630/N630</f>
        <v>7.193475305483969</v>
      </c>
      <c r="P630" s="402">
        <v>1</v>
      </c>
    </row>
    <row r="631" spans="1:16" ht="15">
      <c r="A631" s="91">
        <v>628</v>
      </c>
      <c r="B631" s="330" t="s">
        <v>398</v>
      </c>
      <c r="C631" s="323">
        <v>39402</v>
      </c>
      <c r="D631" s="322" t="s">
        <v>43</v>
      </c>
      <c r="E631" s="322" t="s">
        <v>467</v>
      </c>
      <c r="F631" s="324">
        <v>125</v>
      </c>
      <c r="G631" s="324">
        <v>1</v>
      </c>
      <c r="H631" s="324">
        <v>22</v>
      </c>
      <c r="I631" s="325">
        <v>18</v>
      </c>
      <c r="J631" s="326">
        <v>2</v>
      </c>
      <c r="K631" s="327">
        <v>2</v>
      </c>
      <c r="L631" s="328">
        <v>9</v>
      </c>
      <c r="M631" s="329">
        <v>2094318.75</v>
      </c>
      <c r="N631" s="327">
        <v>301038</v>
      </c>
      <c r="O631" s="331">
        <v>6.956991310067168</v>
      </c>
      <c r="P631" s="232"/>
    </row>
    <row r="632" spans="1:16" ht="15">
      <c r="A632" s="91">
        <v>629</v>
      </c>
      <c r="B632" s="56" t="s">
        <v>213</v>
      </c>
      <c r="C632" s="41">
        <v>39087</v>
      </c>
      <c r="D632" s="46" t="s">
        <v>41</v>
      </c>
      <c r="E632" s="46" t="s">
        <v>46</v>
      </c>
      <c r="F632" s="43">
        <v>80</v>
      </c>
      <c r="G632" s="43">
        <v>1</v>
      </c>
      <c r="H632" s="43">
        <v>40</v>
      </c>
      <c r="I632" s="187">
        <v>15</v>
      </c>
      <c r="J632" s="188">
        <v>3</v>
      </c>
      <c r="K632" s="206">
        <f aca="true" t="shared" si="68" ref="K632:K637">J632/G632</f>
        <v>3</v>
      </c>
      <c r="L632" s="207">
        <f>I632/J632</f>
        <v>5</v>
      </c>
      <c r="M632" s="191">
        <f>1367+686114+384405+247619+146119+85619+63759-1+18934+11869+10791+11315+6907+8812+6730+2628+1465+749+1063+756+276+1198+612+510+45+1062+592+1782+205+893+893+2490+691+2542+60+12+1977+1181+455+192+233+12+15</f>
        <v>1714948</v>
      </c>
      <c r="N632" s="189">
        <f>80773+116+46317+29887+17891+10484+7685+2801+1917+1334+1333+755+1517+932+417+307+136+369+126+23+122+85+45+5+126+49+510+33+296+296+415+68+356+20+4+312+121+50+20+26+4+3</f>
        <v>208086</v>
      </c>
      <c r="O632" s="218">
        <f aca="true" t="shared" si="69" ref="O632:O639">+M632/N632</f>
        <v>8.241534750055266</v>
      </c>
      <c r="P632" s="232"/>
    </row>
    <row r="633" spans="1:16" ht="18">
      <c r="A633" s="91">
        <v>630</v>
      </c>
      <c r="B633" s="330" t="s">
        <v>398</v>
      </c>
      <c r="C633" s="323">
        <v>39402</v>
      </c>
      <c r="D633" s="322" t="s">
        <v>43</v>
      </c>
      <c r="E633" s="322" t="s">
        <v>467</v>
      </c>
      <c r="F633" s="324">
        <v>125</v>
      </c>
      <c r="G633" s="324">
        <v>1</v>
      </c>
      <c r="H633" s="324">
        <v>21</v>
      </c>
      <c r="I633" s="325">
        <v>14</v>
      </c>
      <c r="J633" s="326">
        <v>2</v>
      </c>
      <c r="K633" s="327">
        <f t="shared" si="68"/>
        <v>2</v>
      </c>
      <c r="L633" s="328">
        <f>I633/J633</f>
        <v>7</v>
      </c>
      <c r="M633" s="329">
        <f>676439.5+554539.5+408532.5+265092+4+63975.5-30+36417+32233.5+29355.5+9292+4684+3839.75+6311.5+292.5+748+464+444+276+606+730+40+14</f>
        <v>2094300.75</v>
      </c>
      <c r="N633" s="327">
        <f>91933+76364+57186+39863+2+10711+6714+6020+5300+2353+1269+898+1545+86+187+116+111+69+120+183+4+2</f>
        <v>301036</v>
      </c>
      <c r="O633" s="331">
        <f t="shared" si="69"/>
        <v>6.956977736881967</v>
      </c>
      <c r="P633" s="317"/>
    </row>
    <row r="634" spans="1:16" ht="15">
      <c r="A634" s="91">
        <v>631</v>
      </c>
      <c r="B634" s="56" t="s">
        <v>213</v>
      </c>
      <c r="C634" s="41">
        <v>39087</v>
      </c>
      <c r="D634" s="46" t="s">
        <v>41</v>
      </c>
      <c r="E634" s="46" t="s">
        <v>46</v>
      </c>
      <c r="F634" s="43">
        <v>80</v>
      </c>
      <c r="G634" s="43">
        <v>1</v>
      </c>
      <c r="H634" s="43">
        <v>39</v>
      </c>
      <c r="I634" s="187">
        <v>12</v>
      </c>
      <c r="J634" s="188">
        <v>4</v>
      </c>
      <c r="K634" s="206">
        <f t="shared" si="68"/>
        <v>4</v>
      </c>
      <c r="L634" s="207">
        <f>I634/J634</f>
        <v>3</v>
      </c>
      <c r="M634" s="191">
        <f>1367+686114+384405+247619+146119+85619+63759-1+18934+11869+10791+11315+6907+8812+6730+2628+1465+749+1063+756+276+1198+612+510+45+1062+592+1782+205+893+893+2490+691+2542+60+12+1977+1181+455+192+233+12</f>
        <v>1714933</v>
      </c>
      <c r="N634" s="189">
        <f>80773+116+46317+29887+17891+10484+7685+2801+1917+1334+1333+755+1517+932+417+307+136+369+126+23+122+85+45+5+126+49+510+33+296+296+415+68+356+20+4+312+121+50+20+26+4</f>
        <v>208083</v>
      </c>
      <c r="O634" s="218">
        <f t="shared" si="69"/>
        <v>8.24158148431155</v>
      </c>
      <c r="P634" s="232"/>
    </row>
    <row r="635" spans="1:16" ht="15">
      <c r="A635" s="91">
        <v>632</v>
      </c>
      <c r="B635" s="481" t="s">
        <v>470</v>
      </c>
      <c r="C635" s="478">
        <v>39430</v>
      </c>
      <c r="D635" s="479" t="s">
        <v>42</v>
      </c>
      <c r="E635" s="480" t="s">
        <v>66</v>
      </c>
      <c r="F635" s="473">
        <v>242</v>
      </c>
      <c r="G635" s="473">
        <v>1</v>
      </c>
      <c r="H635" s="473">
        <v>40</v>
      </c>
      <c r="I635" s="474">
        <v>580</v>
      </c>
      <c r="J635" s="475">
        <v>200</v>
      </c>
      <c r="K635" s="475">
        <f t="shared" si="68"/>
        <v>200</v>
      </c>
      <c r="L635" s="476">
        <f>+I635/J635</f>
        <v>2.9</v>
      </c>
      <c r="M635" s="474">
        <v>15331514</v>
      </c>
      <c r="N635" s="475">
        <v>2002005</v>
      </c>
      <c r="O635" s="477">
        <f>+M635/N635</f>
        <v>7.658079775025537</v>
      </c>
      <c r="P635" s="232">
        <v>1</v>
      </c>
    </row>
    <row r="636" spans="1:16" ht="15">
      <c r="A636" s="91">
        <v>633</v>
      </c>
      <c r="B636" s="56" t="s">
        <v>213</v>
      </c>
      <c r="C636" s="41">
        <v>39087</v>
      </c>
      <c r="D636" s="46" t="s">
        <v>41</v>
      </c>
      <c r="E636" s="46" t="s">
        <v>46</v>
      </c>
      <c r="F636" s="43">
        <v>80</v>
      </c>
      <c r="G636" s="43">
        <v>1</v>
      </c>
      <c r="H636" s="43">
        <v>33</v>
      </c>
      <c r="I636" s="86">
        <v>12</v>
      </c>
      <c r="J636" s="95">
        <v>4</v>
      </c>
      <c r="K636" s="143">
        <f t="shared" si="68"/>
        <v>4</v>
      </c>
      <c r="L636" s="144">
        <f>I636/J636</f>
        <v>3</v>
      </c>
      <c r="M636" s="135">
        <f>1367+686114+384405+247619+146119+85619+63759-1+18934+11869+10791+11315+6907+8812+6730+2628+1465+749+1063+756+276+1198+612+510+45+1062+592+1782+205+893+893+2490+691+2542+60+12</f>
        <v>1710883</v>
      </c>
      <c r="N636" s="133">
        <f>80773+116+46317+29887+17891+10484+7685+2801+1917+1334+1333+755+1517+932+417+307+136+369+126+23+122+85+45+5+126+49+510+33+296+296+415+68+356+20+4</f>
        <v>207550</v>
      </c>
      <c r="O636" s="81">
        <f t="shared" si="69"/>
        <v>8.243232955914237</v>
      </c>
      <c r="P636" s="232"/>
    </row>
    <row r="637" spans="1:16" ht="15">
      <c r="A637" s="91">
        <v>634</v>
      </c>
      <c r="B637" s="56" t="s">
        <v>475</v>
      </c>
      <c r="C637" s="41">
        <v>39430</v>
      </c>
      <c r="D637" s="46" t="s">
        <v>43</v>
      </c>
      <c r="E637" s="46" t="s">
        <v>44</v>
      </c>
      <c r="F637" s="43">
        <v>64</v>
      </c>
      <c r="G637" s="43">
        <v>1</v>
      </c>
      <c r="H637" s="43">
        <v>14</v>
      </c>
      <c r="I637" s="187">
        <v>12</v>
      </c>
      <c r="J637" s="188">
        <v>4</v>
      </c>
      <c r="K637" s="206">
        <f t="shared" si="68"/>
        <v>4</v>
      </c>
      <c r="L637" s="207">
        <f>I637/J637</f>
        <v>3</v>
      </c>
      <c r="M637" s="191">
        <f>183581+192120.5+67824+23763.5+5798.5+5467+22027+14042+2947+442+3097+2408.5+78+12</f>
        <v>523608</v>
      </c>
      <c r="N637" s="189">
        <f>20071+21989+8620+4128+850+1010+3719+2499+595+78+775+602+26+4</f>
        <v>64966</v>
      </c>
      <c r="O637" s="218">
        <f t="shared" si="69"/>
        <v>8.059723547701875</v>
      </c>
      <c r="P637" s="232">
        <v>1</v>
      </c>
    </row>
    <row r="638" spans="1:16" ht="15">
      <c r="A638" s="91">
        <v>635</v>
      </c>
      <c r="B638" s="56" t="s">
        <v>319</v>
      </c>
      <c r="C638" s="41">
        <v>39423</v>
      </c>
      <c r="D638" s="46" t="s">
        <v>468</v>
      </c>
      <c r="E638" s="46" t="s">
        <v>468</v>
      </c>
      <c r="F638" s="43">
        <v>1</v>
      </c>
      <c r="G638" s="43">
        <v>1</v>
      </c>
      <c r="H638" s="43">
        <v>19</v>
      </c>
      <c r="I638" s="187">
        <v>10</v>
      </c>
      <c r="J638" s="188">
        <v>2</v>
      </c>
      <c r="K638" s="206">
        <f>+J638/G638</f>
        <v>2</v>
      </c>
      <c r="L638" s="207">
        <f>+I638/J638</f>
        <v>5</v>
      </c>
      <c r="M638" s="191">
        <v>26922</v>
      </c>
      <c r="N638" s="189">
        <v>2440</v>
      </c>
      <c r="O638" s="218">
        <f t="shared" si="69"/>
        <v>11.033606557377048</v>
      </c>
      <c r="P638" s="232"/>
    </row>
    <row r="639" spans="1:16" ht="15.75" thickBot="1">
      <c r="A639" s="91">
        <v>636</v>
      </c>
      <c r="B639" s="131" t="s">
        <v>382</v>
      </c>
      <c r="C639" s="383">
        <v>39437</v>
      </c>
      <c r="D639" s="248" t="s">
        <v>43</v>
      </c>
      <c r="E639" s="248" t="s">
        <v>383</v>
      </c>
      <c r="F639" s="132">
        <v>156</v>
      </c>
      <c r="G639" s="132">
        <v>1</v>
      </c>
      <c r="H639" s="132">
        <v>27</v>
      </c>
      <c r="I639" s="403">
        <v>9</v>
      </c>
      <c r="J639" s="404">
        <v>3</v>
      </c>
      <c r="K639" s="405">
        <f>J639/G639</f>
        <v>3</v>
      </c>
      <c r="L639" s="395">
        <f>I639/J639</f>
        <v>3</v>
      </c>
      <c r="M639" s="406">
        <f>1780127+1212579.5+721829.5+404706.5+230406+56484.5+45824+18497.5+10529+9795.5+1455+3484+1447+391+3673+4075.5+1032+2531+796+535+3062+45+30+54+57+51+9</f>
        <v>4513506.5</v>
      </c>
      <c r="N639" s="407">
        <f>240776+165120+97288+55998+35394+10296+9476+3143+2091+2258+337+991+436+98+918+697+200+844+138+94+766+15+10+18+19+17+3</f>
        <v>627441</v>
      </c>
      <c r="O639" s="396">
        <f t="shared" si="69"/>
        <v>7.19351540622943</v>
      </c>
      <c r="P639" s="232"/>
    </row>
    <row r="640" spans="1:15" ht="12.75">
      <c r="A640" s="124"/>
      <c r="B640" s="125"/>
      <c r="C640" s="126"/>
      <c r="D640" s="126"/>
      <c r="E640" s="126"/>
      <c r="F640" s="164"/>
      <c r="G640" s="165"/>
      <c r="H640" s="166"/>
      <c r="I640" s="252">
        <f>SUM(I4:I639)</f>
        <v>10656402.059999999</v>
      </c>
      <c r="J640" s="253">
        <f>SUM(J4:J639)</f>
        <v>1574266</v>
      </c>
      <c r="K640" s="128"/>
      <c r="L640" s="254"/>
      <c r="M640" s="127"/>
      <c r="N640" s="128"/>
      <c r="O640" s="254"/>
    </row>
    <row r="641" spans="1:7" ht="12.75">
      <c r="A641" s="34"/>
      <c r="B641" s="32"/>
      <c r="C641" s="24"/>
      <c r="D641" s="24"/>
      <c r="E641" s="24"/>
      <c r="F641" s="167"/>
      <c r="G641" s="168"/>
    </row>
    <row r="642" spans="1:15" ht="13.5">
      <c r="A642" s="34"/>
      <c r="B642" s="32"/>
      <c r="C642" s="121"/>
      <c r="D642" s="122"/>
      <c r="E642" s="122"/>
      <c r="F642" s="24"/>
      <c r="G642" s="24"/>
      <c r="K642" s="482" t="s">
        <v>508</v>
      </c>
      <c r="L642" s="518"/>
      <c r="M642" s="518"/>
      <c r="N642" s="518"/>
      <c r="O642" s="518"/>
    </row>
    <row r="643" spans="1:15" ht="12.75">
      <c r="A643" s="34"/>
      <c r="B643" s="32"/>
      <c r="C643" s="122"/>
      <c r="D643" s="122"/>
      <c r="E643" s="122"/>
      <c r="F643" s="24"/>
      <c r="G643" s="24"/>
      <c r="K643" s="518"/>
      <c r="L643" s="518"/>
      <c r="M643" s="518"/>
      <c r="N643" s="518"/>
      <c r="O643" s="518"/>
    </row>
    <row r="644" spans="1:15" ht="12.75">
      <c r="A644" s="34"/>
      <c r="B644" s="32"/>
      <c r="C644" s="122"/>
      <c r="D644" s="122"/>
      <c r="E644" s="122"/>
      <c r="F644" s="24"/>
      <c r="G644" s="24"/>
      <c r="K644" s="518"/>
      <c r="L644" s="518"/>
      <c r="M644" s="518"/>
      <c r="N644" s="518"/>
      <c r="O644" s="518"/>
    </row>
    <row r="645" spans="1:15" ht="12.75">
      <c r="A645" s="34"/>
      <c r="B645" s="32"/>
      <c r="C645" s="122"/>
      <c r="D645" s="122"/>
      <c r="E645" s="122"/>
      <c r="F645" s="24"/>
      <c r="G645" s="24"/>
      <c r="K645" s="518"/>
      <c r="L645" s="518"/>
      <c r="M645" s="518"/>
      <c r="N645" s="518"/>
      <c r="O645" s="518"/>
    </row>
    <row r="646" spans="1:15" ht="12.75">
      <c r="A646" s="34"/>
      <c r="B646" s="32"/>
      <c r="C646" s="122"/>
      <c r="D646" s="122"/>
      <c r="E646" s="122"/>
      <c r="F646" s="24"/>
      <c r="G646" s="24"/>
      <c r="K646" s="518"/>
      <c r="L646" s="518"/>
      <c r="M646" s="518"/>
      <c r="N646" s="518"/>
      <c r="O646" s="518"/>
    </row>
    <row r="647" spans="1:15" ht="12.75">
      <c r="A647" s="34"/>
      <c r="B647" s="32"/>
      <c r="C647" s="122"/>
      <c r="D647" s="122"/>
      <c r="E647" s="122"/>
      <c r="F647" s="24"/>
      <c r="G647" s="24"/>
      <c r="K647" s="518"/>
      <c r="L647" s="518"/>
      <c r="M647" s="518"/>
      <c r="N647" s="518"/>
      <c r="O647" s="518"/>
    </row>
    <row r="648" spans="1:15" ht="12.75">
      <c r="A648" s="34"/>
      <c r="B648" s="32"/>
      <c r="C648" s="24"/>
      <c r="D648" s="122"/>
      <c r="E648" s="122"/>
      <c r="F648" s="167"/>
      <c r="G648" s="168"/>
      <c r="K648" s="258"/>
      <c r="L648" s="256"/>
      <c r="M648" s="251"/>
      <c r="N648" s="92"/>
      <c r="O648" s="257"/>
    </row>
    <row r="649" spans="1:15" ht="13.5">
      <c r="A649" s="34"/>
      <c r="B649" s="32"/>
      <c r="C649" s="123"/>
      <c r="D649" s="122"/>
      <c r="E649" s="122"/>
      <c r="F649" s="24"/>
      <c r="G649" s="24"/>
      <c r="K649" s="523" t="s">
        <v>423</v>
      </c>
      <c r="L649" s="518"/>
      <c r="M649" s="518"/>
      <c r="N649" s="518"/>
      <c r="O649" s="518"/>
    </row>
    <row r="650" spans="1:15" ht="12.75">
      <c r="A650" s="34"/>
      <c r="B650" s="32"/>
      <c r="C650" s="122"/>
      <c r="D650" s="122"/>
      <c r="E650" s="122"/>
      <c r="F650" s="24"/>
      <c r="G650" s="24"/>
      <c r="K650" s="518"/>
      <c r="L650" s="518"/>
      <c r="M650" s="518"/>
      <c r="N650" s="518"/>
      <c r="O650" s="518"/>
    </row>
    <row r="651" spans="1:15" ht="12.75">
      <c r="A651" s="34"/>
      <c r="B651" s="32"/>
      <c r="C651" s="122"/>
      <c r="D651" s="122"/>
      <c r="E651" s="122"/>
      <c r="F651" s="24"/>
      <c r="G651" s="24"/>
      <c r="K651" s="518"/>
      <c r="L651" s="518"/>
      <c r="M651" s="518"/>
      <c r="N651" s="518"/>
      <c r="O651" s="518"/>
    </row>
    <row r="652" spans="1:15" ht="12.75">
      <c r="A652" s="34"/>
      <c r="B652" s="32"/>
      <c r="C652" s="122"/>
      <c r="D652" s="122"/>
      <c r="E652" s="122"/>
      <c r="F652" s="24"/>
      <c r="G652" s="24"/>
      <c r="K652" s="518"/>
      <c r="L652" s="518"/>
      <c r="M652" s="518"/>
      <c r="N652" s="518"/>
      <c r="O652" s="518"/>
    </row>
    <row r="653" spans="1:15" ht="12.75">
      <c r="A653" s="34"/>
      <c r="B653" s="32"/>
      <c r="C653" s="122"/>
      <c r="D653" s="122"/>
      <c r="E653" s="122"/>
      <c r="F653" s="24"/>
      <c r="G653" s="24"/>
      <c r="K653" s="518"/>
      <c r="L653" s="518"/>
      <c r="M653" s="518"/>
      <c r="N653" s="518"/>
      <c r="O653" s="518"/>
    </row>
    <row r="654" spans="1:15" ht="12.75">
      <c r="A654" s="34"/>
      <c r="B654" s="32"/>
      <c r="C654" s="122"/>
      <c r="D654" s="122"/>
      <c r="E654" s="122"/>
      <c r="F654" s="24"/>
      <c r="G654" s="24"/>
      <c r="K654" s="518"/>
      <c r="L654" s="518"/>
      <c r="M654" s="518"/>
      <c r="N654" s="518"/>
      <c r="O654" s="518"/>
    </row>
    <row r="655" spans="1:15" ht="12.75">
      <c r="A655" s="34"/>
      <c r="B655" s="32"/>
      <c r="C655" s="32"/>
      <c r="D655" s="32"/>
      <c r="E655" s="32"/>
      <c r="F655" s="24"/>
      <c r="G655" s="24"/>
      <c r="K655" s="524"/>
      <c r="L655" s="524"/>
      <c r="M655" s="524"/>
      <c r="N655" s="524"/>
      <c r="O655" s="524"/>
    </row>
    <row r="656" spans="1:7" ht="12.75">
      <c r="A656" s="34"/>
      <c r="B656" s="32"/>
      <c r="C656" s="24"/>
      <c r="D656" s="24"/>
      <c r="E656" s="24"/>
      <c r="F656" s="167"/>
      <c r="G656" s="168"/>
    </row>
    <row r="657" spans="1:7" ht="12.75">
      <c r="A657" s="34"/>
      <c r="B657" s="32"/>
      <c r="C657" s="24"/>
      <c r="D657" s="24"/>
      <c r="E657" s="24"/>
      <c r="F657" s="167"/>
      <c r="G657" s="168"/>
    </row>
  </sheetData>
  <sheetProtection/>
  <mergeCells count="12">
    <mergeCell ref="K649:O655"/>
    <mergeCell ref="G2:G3"/>
    <mergeCell ref="H2:H3"/>
    <mergeCell ref="I2:L2"/>
    <mergeCell ref="M2:O2"/>
    <mergeCell ref="E2:E3"/>
    <mergeCell ref="F2:F3"/>
    <mergeCell ref="A1:O1"/>
    <mergeCell ref="K642:O647"/>
    <mergeCell ref="B2:B3"/>
    <mergeCell ref="C2:C3"/>
    <mergeCell ref="D2:D3"/>
  </mergeCells>
  <printOptions/>
  <pageMargins left="0.75" right="0.75" top="1" bottom="1" header="0.5" footer="0.5"/>
  <pageSetup orientation="portrait" paperSize="9"/>
  <ignoredErrors>
    <ignoredError sqref="K55:L55 M10:N18 O55:O56 K10:L18 K19:L54 P10:P56 O10:O18 K58:L74 M75:M77 K57:L57 K75:L77 O58:O74" formula="1"/>
    <ignoredError sqref="F24:I37" numberStoredAsText="1"/>
    <ignoredError sqref="M19:N54 O19:O54 M55:N55 M57:M74" formula="1" unlockedFormula="1"/>
    <ignoredError sqref="N56:N74 M56" unlockedFormula="1"/>
  </ignoredErrors>
</worksheet>
</file>

<file path=xl/worksheets/sheet4.xml><?xml version="1.0" encoding="utf-8"?>
<worksheet xmlns="http://schemas.openxmlformats.org/spreadsheetml/2006/main" xmlns:r="http://schemas.openxmlformats.org/officeDocument/2006/relationships">
  <dimension ref="A1:S50"/>
  <sheetViews>
    <sheetView zoomScale="120" zoomScaleNormal="120" zoomScalePageLayoutView="0" workbookViewId="0" topLeftCell="A1">
      <selection activeCell="C1" sqref="C1"/>
    </sheetView>
  </sheetViews>
  <sheetFormatPr defaultColWidth="9.140625" defaultRowHeight="12.75"/>
  <cols>
    <col min="1" max="1" width="3.421875" style="285" bestFit="1" customWidth="1"/>
    <col min="2" max="2" width="6.28125" style="286" bestFit="1" customWidth="1"/>
    <col min="3" max="3" width="11.7109375" style="287" bestFit="1" customWidth="1"/>
    <col min="4" max="4" width="6.28125" style="288" bestFit="1" customWidth="1"/>
    <col min="5" max="5" width="16.00390625" style="289" bestFit="1" customWidth="1"/>
    <col min="6" max="6" width="11.7109375" style="288" bestFit="1" customWidth="1"/>
    <col min="7" max="7" width="2.28125" style="285" bestFit="1" customWidth="1"/>
    <col min="8" max="8" width="14.7109375" style="290" bestFit="1" customWidth="1"/>
    <col min="9" max="9" width="10.421875" style="291" bestFit="1" customWidth="1"/>
    <col min="10" max="10" width="7.7109375" style="292" bestFit="1" customWidth="1"/>
    <col min="11" max="11" width="3.421875" style="293" bestFit="1" customWidth="1"/>
    <col min="12" max="12" width="14.7109375" style="289" bestFit="1" customWidth="1"/>
    <col min="13" max="13" width="11.7109375" style="288" bestFit="1" customWidth="1"/>
    <col min="14" max="14" width="7.7109375" style="294" bestFit="1" customWidth="1"/>
    <col min="15" max="15" width="9.140625" style="277" customWidth="1"/>
    <col min="16" max="16" width="10.421875" style="277" bestFit="1" customWidth="1"/>
    <col min="17" max="16384" width="9.140625" style="277" customWidth="1"/>
  </cols>
  <sheetData>
    <row r="1" spans="1:14" ht="15.75" thickBot="1">
      <c r="A1" s="271">
        <v>1</v>
      </c>
      <c r="B1" s="272" t="s">
        <v>389</v>
      </c>
      <c r="C1" s="303" t="s">
        <v>509</v>
      </c>
      <c r="D1" s="302">
        <v>58</v>
      </c>
      <c r="E1" s="273">
        <v>5529440.2</v>
      </c>
      <c r="F1" s="304">
        <v>704032</v>
      </c>
      <c r="G1" s="301">
        <v>5</v>
      </c>
      <c r="H1" s="274">
        <v>1746028.5</v>
      </c>
      <c r="I1" s="275">
        <v>193534</v>
      </c>
      <c r="J1" s="306">
        <f aca="true" t="shared" si="0" ref="J1:J37">SUM(I1/F1)</f>
        <v>0.27489375482932593</v>
      </c>
      <c r="K1" s="302">
        <v>11</v>
      </c>
      <c r="L1" s="273">
        <v>2912032.2</v>
      </c>
      <c r="M1" s="276">
        <v>397934</v>
      </c>
      <c r="N1" s="307">
        <f aca="true" t="shared" si="1" ref="N1:N37">SUM(M1/F1)</f>
        <v>0.565221467206036</v>
      </c>
    </row>
    <row r="2" spans="1:14" ht="15.75" thickBot="1">
      <c r="A2" s="271">
        <v>2</v>
      </c>
      <c r="B2" s="272" t="s">
        <v>211</v>
      </c>
      <c r="C2" s="303" t="s">
        <v>509</v>
      </c>
      <c r="D2" s="276">
        <v>48</v>
      </c>
      <c r="E2" s="273">
        <v>7393668.19</v>
      </c>
      <c r="F2" s="304">
        <v>988537</v>
      </c>
      <c r="G2" s="301">
        <v>5</v>
      </c>
      <c r="H2" s="274">
        <v>4601743.5</v>
      </c>
      <c r="I2" s="275">
        <v>619525</v>
      </c>
      <c r="J2" s="306">
        <f t="shared" si="0"/>
        <v>0.6267089648642388</v>
      </c>
      <c r="K2" s="302">
        <v>11</v>
      </c>
      <c r="L2" s="273">
        <v>6046921.69</v>
      </c>
      <c r="M2" s="276">
        <v>829474</v>
      </c>
      <c r="N2" s="307">
        <f t="shared" si="1"/>
        <v>0.8390925175284284</v>
      </c>
    </row>
    <row r="3" spans="1:14" ht="15.75" thickBot="1">
      <c r="A3" s="271">
        <v>3</v>
      </c>
      <c r="B3" s="272" t="s">
        <v>146</v>
      </c>
      <c r="C3" s="303" t="s">
        <v>509</v>
      </c>
      <c r="D3" s="276">
        <v>57</v>
      </c>
      <c r="E3" s="273">
        <v>6770805.99</v>
      </c>
      <c r="F3" s="304">
        <v>912282</v>
      </c>
      <c r="G3" s="301">
        <v>6</v>
      </c>
      <c r="H3" s="274">
        <v>1362691</v>
      </c>
      <c r="I3" s="275">
        <v>150257</v>
      </c>
      <c r="J3" s="306">
        <f t="shared" si="0"/>
        <v>0.16470455407428844</v>
      </c>
      <c r="K3" s="302">
        <v>11</v>
      </c>
      <c r="L3" s="273">
        <v>4604346.99</v>
      </c>
      <c r="M3" s="276">
        <v>653796</v>
      </c>
      <c r="N3" s="307">
        <f t="shared" si="1"/>
        <v>0.7166599801377206</v>
      </c>
    </row>
    <row r="4" spans="1:14" ht="15.75" thickBot="1">
      <c r="A4" s="271">
        <v>4</v>
      </c>
      <c r="B4" s="272" t="s">
        <v>416</v>
      </c>
      <c r="C4" s="303" t="s">
        <v>509</v>
      </c>
      <c r="D4" s="276">
        <v>57</v>
      </c>
      <c r="E4" s="273">
        <v>7832354.38</v>
      </c>
      <c r="F4" s="304">
        <v>1009793</v>
      </c>
      <c r="G4" s="301">
        <v>5</v>
      </c>
      <c r="H4" s="274">
        <v>3882685</v>
      </c>
      <c r="I4" s="275">
        <v>469767</v>
      </c>
      <c r="J4" s="306">
        <f t="shared" si="0"/>
        <v>0.4652111868472053</v>
      </c>
      <c r="K4" s="302">
        <v>13</v>
      </c>
      <c r="L4" s="273">
        <v>4384975.89</v>
      </c>
      <c r="M4" s="276">
        <v>594193</v>
      </c>
      <c r="N4" s="307">
        <f t="shared" si="1"/>
        <v>0.5884305001123993</v>
      </c>
    </row>
    <row r="5" spans="1:14" ht="15.75" thickBot="1">
      <c r="A5" s="271">
        <v>5</v>
      </c>
      <c r="B5" s="272" t="s">
        <v>456</v>
      </c>
      <c r="C5" s="303" t="s">
        <v>457</v>
      </c>
      <c r="D5" s="276">
        <v>65</v>
      </c>
      <c r="E5" s="273">
        <v>7417932.18</v>
      </c>
      <c r="F5" s="304">
        <v>953505</v>
      </c>
      <c r="G5" s="301">
        <v>6</v>
      </c>
      <c r="H5" s="274">
        <v>2267238</v>
      </c>
      <c r="I5" s="275">
        <v>255970</v>
      </c>
      <c r="J5" s="306">
        <f t="shared" si="0"/>
        <v>0.26845165992836956</v>
      </c>
      <c r="K5" s="302">
        <v>15</v>
      </c>
      <c r="L5" s="273">
        <v>3220337.48</v>
      </c>
      <c r="M5" s="276">
        <v>450645</v>
      </c>
      <c r="N5" s="307">
        <f t="shared" si="1"/>
        <v>0.472619440904872</v>
      </c>
    </row>
    <row r="6" spans="1:14" ht="15.75" thickBot="1">
      <c r="A6" s="271">
        <v>6</v>
      </c>
      <c r="B6" s="272" t="s">
        <v>53</v>
      </c>
      <c r="C6" s="303" t="s">
        <v>457</v>
      </c>
      <c r="D6" s="276">
        <v>59</v>
      </c>
      <c r="E6" s="273">
        <v>5973210.4</v>
      </c>
      <c r="F6" s="304">
        <v>762952</v>
      </c>
      <c r="G6" s="301">
        <v>4</v>
      </c>
      <c r="H6" s="274">
        <v>1923349.5</v>
      </c>
      <c r="I6" s="275">
        <v>248258</v>
      </c>
      <c r="J6" s="306">
        <f t="shared" si="0"/>
        <v>0.32539137455567324</v>
      </c>
      <c r="K6" s="302">
        <v>12</v>
      </c>
      <c r="L6" s="273">
        <v>3023745.9</v>
      </c>
      <c r="M6" s="276">
        <v>423130</v>
      </c>
      <c r="N6" s="307">
        <f t="shared" si="1"/>
        <v>0.5545958330275037</v>
      </c>
    </row>
    <row r="7" spans="1:14" ht="15.75" thickBot="1">
      <c r="A7" s="271">
        <v>7</v>
      </c>
      <c r="B7" s="272" t="s">
        <v>219</v>
      </c>
      <c r="C7" s="303" t="s">
        <v>457</v>
      </c>
      <c r="D7" s="276">
        <v>63</v>
      </c>
      <c r="E7" s="273">
        <v>5101620.01</v>
      </c>
      <c r="F7" s="304">
        <v>663567</v>
      </c>
      <c r="G7" s="301">
        <v>8</v>
      </c>
      <c r="H7" s="274">
        <v>2638950</v>
      </c>
      <c r="I7" s="275">
        <v>320159</v>
      </c>
      <c r="J7" s="306">
        <f t="shared" si="0"/>
        <v>0.48248179912503186</v>
      </c>
      <c r="K7" s="302">
        <v>14</v>
      </c>
      <c r="L7" s="273">
        <v>2361343.51</v>
      </c>
      <c r="M7" s="276">
        <v>345515</v>
      </c>
      <c r="N7" s="307">
        <f t="shared" si="1"/>
        <v>0.5206934642620866</v>
      </c>
    </row>
    <row r="8" spans="1:14" ht="15.75" thickBot="1">
      <c r="A8" s="271">
        <v>8</v>
      </c>
      <c r="B8" s="272" t="s">
        <v>448</v>
      </c>
      <c r="C8" s="303" t="s">
        <v>457</v>
      </c>
      <c r="D8" s="276">
        <v>55</v>
      </c>
      <c r="E8" s="273">
        <v>14830113.61</v>
      </c>
      <c r="F8" s="304">
        <v>2015951</v>
      </c>
      <c r="G8" s="301">
        <v>5</v>
      </c>
      <c r="H8" s="274">
        <v>12271233.5</v>
      </c>
      <c r="I8" s="275">
        <v>1664501</v>
      </c>
      <c r="J8" s="306">
        <f t="shared" si="0"/>
        <v>0.8256654055579724</v>
      </c>
      <c r="K8" s="302">
        <v>14</v>
      </c>
      <c r="L8" s="273">
        <v>12916630.5</v>
      </c>
      <c r="M8" s="276">
        <v>1790601</v>
      </c>
      <c r="N8" s="307">
        <f t="shared" si="1"/>
        <v>0.8882165290723832</v>
      </c>
    </row>
    <row r="9" spans="1:14" ht="15.75" thickBot="1">
      <c r="A9" s="271">
        <v>9</v>
      </c>
      <c r="B9" s="272" t="s">
        <v>189</v>
      </c>
      <c r="C9" s="303" t="s">
        <v>148</v>
      </c>
      <c r="D9" s="276">
        <v>65</v>
      </c>
      <c r="E9" s="273">
        <v>12198717.51</v>
      </c>
      <c r="F9" s="304">
        <v>1654297</v>
      </c>
      <c r="G9" s="301">
        <v>8</v>
      </c>
      <c r="H9" s="274">
        <v>1829414.5</v>
      </c>
      <c r="I9" s="275">
        <v>224586</v>
      </c>
      <c r="J9" s="306">
        <f t="shared" si="0"/>
        <v>0.1357591774632971</v>
      </c>
      <c r="K9" s="302">
        <v>14</v>
      </c>
      <c r="L9" s="273">
        <v>10280301.99</v>
      </c>
      <c r="M9" s="276">
        <v>1423575</v>
      </c>
      <c r="N9" s="307">
        <f t="shared" si="1"/>
        <v>0.8605316941274753</v>
      </c>
    </row>
    <row r="10" spans="1:14" ht="15.75" thickBot="1">
      <c r="A10" s="271">
        <v>10</v>
      </c>
      <c r="B10" s="272" t="s">
        <v>205</v>
      </c>
      <c r="C10" s="303" t="s">
        <v>148</v>
      </c>
      <c r="D10" s="276">
        <v>82</v>
      </c>
      <c r="E10" s="273">
        <v>9179565.21</v>
      </c>
      <c r="F10" s="304">
        <v>1247776</v>
      </c>
      <c r="G10" s="301">
        <v>7</v>
      </c>
      <c r="H10" s="274">
        <v>2278725</v>
      </c>
      <c r="I10" s="275">
        <v>274038</v>
      </c>
      <c r="J10" s="306">
        <f t="shared" si="0"/>
        <v>0.21962114994999102</v>
      </c>
      <c r="K10" s="302">
        <v>22</v>
      </c>
      <c r="L10" s="273">
        <v>6019969.2</v>
      </c>
      <c r="M10" s="276">
        <v>856751</v>
      </c>
      <c r="N10" s="307">
        <f t="shared" si="1"/>
        <v>0.6866224386428333</v>
      </c>
    </row>
    <row r="11" spans="1:14" ht="15.75" thickBot="1">
      <c r="A11" s="271">
        <v>11</v>
      </c>
      <c r="B11" s="272" t="s">
        <v>409</v>
      </c>
      <c r="C11" s="303" t="s">
        <v>148</v>
      </c>
      <c r="D11" s="276">
        <v>67</v>
      </c>
      <c r="E11" s="273">
        <v>6027035.01</v>
      </c>
      <c r="F11" s="304">
        <v>839105</v>
      </c>
      <c r="G11" s="301">
        <v>5</v>
      </c>
      <c r="H11" s="274">
        <v>1277866.5</v>
      </c>
      <c r="I11" s="275">
        <v>142984</v>
      </c>
      <c r="J11" s="306">
        <f t="shared" si="0"/>
        <v>0.17040060540695146</v>
      </c>
      <c r="K11" s="302">
        <v>16</v>
      </c>
      <c r="L11" s="273">
        <v>3247124.01</v>
      </c>
      <c r="M11" s="276">
        <v>498014</v>
      </c>
      <c r="N11" s="307">
        <f t="shared" si="1"/>
        <v>0.5935061762234762</v>
      </c>
    </row>
    <row r="12" spans="1:14" ht="15.75" thickBot="1">
      <c r="A12" s="271">
        <v>12</v>
      </c>
      <c r="B12" s="272" t="s">
        <v>458</v>
      </c>
      <c r="C12" s="303" t="s">
        <v>148</v>
      </c>
      <c r="D12" s="276">
        <v>90</v>
      </c>
      <c r="E12" s="273">
        <v>4748145.86</v>
      </c>
      <c r="F12" s="304">
        <v>672357</v>
      </c>
      <c r="G12" s="301">
        <v>7</v>
      </c>
      <c r="H12" s="274">
        <v>1159903.5</v>
      </c>
      <c r="I12" s="275">
        <v>130378</v>
      </c>
      <c r="J12" s="306">
        <f t="shared" si="0"/>
        <v>0.19391186527395415</v>
      </c>
      <c r="K12" s="302">
        <v>24</v>
      </c>
      <c r="L12" s="273">
        <v>2100382.36</v>
      </c>
      <c r="M12" s="276">
        <v>351476</v>
      </c>
      <c r="N12" s="307">
        <f t="shared" si="1"/>
        <v>0.5227520498782641</v>
      </c>
    </row>
    <row r="13" spans="1:14" ht="15.75" thickBot="1">
      <c r="A13" s="271">
        <v>13</v>
      </c>
      <c r="B13" s="272" t="s">
        <v>344</v>
      </c>
      <c r="C13" s="303" t="s">
        <v>345</v>
      </c>
      <c r="D13" s="276">
        <v>77</v>
      </c>
      <c r="E13" s="273">
        <v>3739038.17</v>
      </c>
      <c r="F13" s="304">
        <v>538850</v>
      </c>
      <c r="G13" s="301">
        <v>6</v>
      </c>
      <c r="H13" s="274">
        <v>886164</v>
      </c>
      <c r="I13" s="275">
        <v>98315</v>
      </c>
      <c r="J13" s="306">
        <f t="shared" si="0"/>
        <v>0.18245337292381925</v>
      </c>
      <c r="K13" s="302">
        <v>14</v>
      </c>
      <c r="L13" s="273">
        <v>1207101.17</v>
      </c>
      <c r="M13" s="276">
        <v>229801</v>
      </c>
      <c r="N13" s="307">
        <f t="shared" si="1"/>
        <v>0.42646562123039805</v>
      </c>
    </row>
    <row r="14" spans="1:14" ht="15.75" thickBot="1">
      <c r="A14" s="271">
        <v>14</v>
      </c>
      <c r="B14" s="272" t="s">
        <v>389</v>
      </c>
      <c r="C14" s="303" t="s">
        <v>345</v>
      </c>
      <c r="D14" s="276">
        <v>88</v>
      </c>
      <c r="E14" s="273">
        <v>3639650</v>
      </c>
      <c r="F14" s="304">
        <v>520652</v>
      </c>
      <c r="G14" s="301">
        <v>6</v>
      </c>
      <c r="H14" s="274">
        <v>1201410.5</v>
      </c>
      <c r="I14" s="275">
        <v>129258</v>
      </c>
      <c r="J14" s="306">
        <f t="shared" si="0"/>
        <v>0.2482617948264868</v>
      </c>
      <c r="K14" s="302">
        <v>22</v>
      </c>
      <c r="L14" s="273">
        <v>1008844.78</v>
      </c>
      <c r="M14" s="276">
        <v>194100</v>
      </c>
      <c r="N14" s="307">
        <f t="shared" si="1"/>
        <v>0.3728017946728333</v>
      </c>
    </row>
    <row r="15" spans="1:14" ht="15.75" thickBot="1">
      <c r="A15" s="301">
        <v>15</v>
      </c>
      <c r="B15" s="272" t="s">
        <v>211</v>
      </c>
      <c r="C15" s="303" t="s">
        <v>345</v>
      </c>
      <c r="D15" s="276">
        <v>98</v>
      </c>
      <c r="E15" s="273">
        <v>2509757.36</v>
      </c>
      <c r="F15" s="304">
        <v>378354</v>
      </c>
      <c r="G15" s="301">
        <v>7</v>
      </c>
      <c r="H15" s="274">
        <v>809443</v>
      </c>
      <c r="I15" s="275">
        <v>84981</v>
      </c>
      <c r="J15" s="306">
        <f t="shared" si="0"/>
        <v>0.2246071139726288</v>
      </c>
      <c r="K15" s="302">
        <v>23</v>
      </c>
      <c r="L15" s="273">
        <v>705654.97</v>
      </c>
      <c r="M15" s="276">
        <v>142433</v>
      </c>
      <c r="N15" s="307">
        <f t="shared" si="1"/>
        <v>0.3764543258429936</v>
      </c>
    </row>
    <row r="16" spans="1:14" ht="15.75" thickBot="1">
      <c r="A16" s="301">
        <v>16</v>
      </c>
      <c r="B16" s="272" t="s">
        <v>146</v>
      </c>
      <c r="C16" s="303" t="s">
        <v>345</v>
      </c>
      <c r="D16" s="276">
        <v>98</v>
      </c>
      <c r="E16" s="273">
        <v>3758510.6</v>
      </c>
      <c r="F16" s="304">
        <v>510496</v>
      </c>
      <c r="G16" s="301">
        <v>6</v>
      </c>
      <c r="H16" s="274">
        <v>1896403</v>
      </c>
      <c r="I16" s="275">
        <v>223945</v>
      </c>
      <c r="J16" s="306">
        <f t="shared" si="0"/>
        <v>0.43868120416222656</v>
      </c>
      <c r="K16" s="302">
        <v>22</v>
      </c>
      <c r="L16" s="273">
        <v>416493.1</v>
      </c>
      <c r="M16" s="276">
        <v>83980</v>
      </c>
      <c r="N16" s="307">
        <f t="shared" si="1"/>
        <v>0.16450667586033973</v>
      </c>
    </row>
    <row r="17" spans="1:14" ht="15.75" thickBot="1">
      <c r="A17" s="301">
        <v>17</v>
      </c>
      <c r="B17" s="272" t="s">
        <v>552</v>
      </c>
      <c r="C17" s="303" t="s">
        <v>553</v>
      </c>
      <c r="D17" s="276">
        <v>106</v>
      </c>
      <c r="E17" s="273">
        <v>2583957.72</v>
      </c>
      <c r="F17" s="304">
        <v>357393</v>
      </c>
      <c r="G17" s="301">
        <v>8</v>
      </c>
      <c r="H17" s="274">
        <v>951471</v>
      </c>
      <c r="I17" s="275">
        <v>113969</v>
      </c>
      <c r="J17" s="306">
        <f t="shared" si="0"/>
        <v>0.3188898495493756</v>
      </c>
      <c r="K17" s="302">
        <v>19</v>
      </c>
      <c r="L17" s="273">
        <v>449440.72</v>
      </c>
      <c r="M17" s="276">
        <v>89651</v>
      </c>
      <c r="N17" s="307">
        <f t="shared" si="1"/>
        <v>0.2508471066864768</v>
      </c>
    </row>
    <row r="18" spans="1:14" ht="15.75" thickBot="1">
      <c r="A18" s="301">
        <v>18</v>
      </c>
      <c r="B18" s="272" t="s">
        <v>267</v>
      </c>
      <c r="C18" s="303" t="s">
        <v>553</v>
      </c>
      <c r="D18" s="276">
        <v>110</v>
      </c>
      <c r="E18" s="273">
        <v>3239539.17</v>
      </c>
      <c r="F18" s="304">
        <v>475765</v>
      </c>
      <c r="G18" s="301">
        <v>7</v>
      </c>
      <c r="H18" s="274">
        <v>1643808</v>
      </c>
      <c r="I18" s="275">
        <v>187846</v>
      </c>
      <c r="J18" s="306">
        <f t="shared" si="0"/>
        <v>0.39482938005107565</v>
      </c>
      <c r="K18" s="302">
        <v>21</v>
      </c>
      <c r="L18" s="273">
        <v>425300.67</v>
      </c>
      <c r="M18" s="276">
        <v>120633</v>
      </c>
      <c r="N18" s="307">
        <f t="shared" si="1"/>
        <v>0.25355585215389953</v>
      </c>
    </row>
    <row r="19" spans="1:19" ht="15.75" thickBot="1">
      <c r="A19" s="301">
        <v>19</v>
      </c>
      <c r="B19" s="272" t="s">
        <v>68</v>
      </c>
      <c r="C19" s="303" t="s">
        <v>553</v>
      </c>
      <c r="D19" s="276">
        <v>98</v>
      </c>
      <c r="E19" s="273">
        <v>2823197.84</v>
      </c>
      <c r="F19" s="304">
        <v>397095</v>
      </c>
      <c r="G19" s="301">
        <v>9</v>
      </c>
      <c r="H19" s="274">
        <v>1392214.92</v>
      </c>
      <c r="I19" s="275">
        <v>160722</v>
      </c>
      <c r="J19" s="306">
        <f t="shared" si="0"/>
        <v>0.404744456616175</v>
      </c>
      <c r="K19" s="302">
        <v>15</v>
      </c>
      <c r="L19" s="273">
        <v>242805.5</v>
      </c>
      <c r="M19" s="276">
        <v>69566</v>
      </c>
      <c r="N19" s="307">
        <f t="shared" si="1"/>
        <v>0.1751872977499087</v>
      </c>
      <c r="R19" s="312"/>
      <c r="S19" s="313"/>
    </row>
    <row r="20" spans="1:16" ht="15.75" thickBot="1">
      <c r="A20" s="301">
        <v>20</v>
      </c>
      <c r="B20" s="272" t="s">
        <v>322</v>
      </c>
      <c r="C20" s="303" t="s">
        <v>553</v>
      </c>
      <c r="D20" s="276">
        <v>97</v>
      </c>
      <c r="E20" s="273">
        <v>3795665.08</v>
      </c>
      <c r="F20" s="304">
        <v>477662</v>
      </c>
      <c r="G20" s="301">
        <v>5</v>
      </c>
      <c r="H20" s="274">
        <v>2150400.58</v>
      </c>
      <c r="I20" s="275">
        <v>257358</v>
      </c>
      <c r="J20" s="306">
        <f t="shared" si="0"/>
        <v>0.5387868409042377</v>
      </c>
      <c r="K20" s="302">
        <v>19</v>
      </c>
      <c r="L20" s="273">
        <v>1856634.08</v>
      </c>
      <c r="M20" s="276">
        <v>239788</v>
      </c>
      <c r="N20" s="307">
        <f t="shared" si="1"/>
        <v>0.5020035087572384</v>
      </c>
      <c r="P20" s="312"/>
    </row>
    <row r="21" spans="1:14" ht="15.75" thickBot="1">
      <c r="A21" s="301">
        <v>21</v>
      </c>
      <c r="B21" s="272" t="s">
        <v>351</v>
      </c>
      <c r="C21" s="303" t="s">
        <v>553</v>
      </c>
      <c r="D21" s="276">
        <v>86</v>
      </c>
      <c r="E21" s="273">
        <v>3598727.13</v>
      </c>
      <c r="F21" s="304">
        <v>455975</v>
      </c>
      <c r="G21" s="301">
        <v>2</v>
      </c>
      <c r="H21" s="274">
        <v>1479769.5</v>
      </c>
      <c r="I21" s="275">
        <v>164061</v>
      </c>
      <c r="J21" s="306">
        <f t="shared" si="0"/>
        <v>0.35980262075771696</v>
      </c>
      <c r="K21" s="302">
        <v>16</v>
      </c>
      <c r="L21" s="273">
        <v>1320780.3</v>
      </c>
      <c r="M21" s="276">
        <v>182297</v>
      </c>
      <c r="N21" s="307">
        <f t="shared" si="1"/>
        <v>0.39979604144964087</v>
      </c>
    </row>
    <row r="22" spans="1:14" ht="15.75" thickBot="1">
      <c r="A22" s="301">
        <v>22</v>
      </c>
      <c r="B22" s="272" t="s">
        <v>83</v>
      </c>
      <c r="C22" s="303" t="s">
        <v>84</v>
      </c>
      <c r="D22" s="276">
        <v>95</v>
      </c>
      <c r="E22" s="273">
        <v>3084032.35</v>
      </c>
      <c r="F22" s="304">
        <v>379748</v>
      </c>
      <c r="G22" s="301">
        <v>9</v>
      </c>
      <c r="H22" s="274">
        <v>1141863</v>
      </c>
      <c r="I22" s="275">
        <v>113684</v>
      </c>
      <c r="J22" s="306">
        <f t="shared" si="0"/>
        <v>0.29936694860802426</v>
      </c>
      <c r="K22" s="302">
        <v>13</v>
      </c>
      <c r="L22" s="273">
        <v>781824.45</v>
      </c>
      <c r="M22" s="276">
        <v>111227</v>
      </c>
      <c r="N22" s="307">
        <f t="shared" si="1"/>
        <v>0.29289686844960344</v>
      </c>
    </row>
    <row r="23" spans="1:14" ht="15.75" thickBot="1">
      <c r="A23" s="301">
        <v>23</v>
      </c>
      <c r="B23" s="272" t="s">
        <v>99</v>
      </c>
      <c r="C23" s="303" t="s">
        <v>84</v>
      </c>
      <c r="D23" s="276">
        <v>100</v>
      </c>
      <c r="E23" s="273">
        <v>3023181.41</v>
      </c>
      <c r="F23" s="304">
        <v>383034</v>
      </c>
      <c r="G23" s="301">
        <v>3</v>
      </c>
      <c r="H23" s="274">
        <v>726871</v>
      </c>
      <c r="I23" s="275">
        <v>79418</v>
      </c>
      <c r="J23" s="306">
        <f t="shared" si="0"/>
        <v>0.2073392962504634</v>
      </c>
      <c r="K23" s="302">
        <v>17</v>
      </c>
      <c r="L23" s="273">
        <v>704966.41</v>
      </c>
      <c r="M23" s="276">
        <v>101948</v>
      </c>
      <c r="N23" s="307">
        <f t="shared" si="1"/>
        <v>0.2661591399196938</v>
      </c>
    </row>
    <row r="24" spans="1:14" ht="15.75" thickBot="1">
      <c r="A24" s="301">
        <v>24</v>
      </c>
      <c r="B24" s="272" t="s">
        <v>190</v>
      </c>
      <c r="C24" s="303" t="s">
        <v>84</v>
      </c>
      <c r="D24" s="276">
        <v>83</v>
      </c>
      <c r="E24" s="273">
        <v>2858163.53</v>
      </c>
      <c r="F24" s="304">
        <v>371400</v>
      </c>
      <c r="G24" s="301">
        <v>4</v>
      </c>
      <c r="H24" s="274">
        <v>1190413.5</v>
      </c>
      <c r="I24" s="275">
        <v>141280</v>
      </c>
      <c r="J24" s="306">
        <f t="shared" si="0"/>
        <v>0.38039849219170707</v>
      </c>
      <c r="K24" s="302">
        <v>14</v>
      </c>
      <c r="L24" s="273">
        <v>457189.82</v>
      </c>
      <c r="M24" s="276">
        <v>73669</v>
      </c>
      <c r="N24" s="307">
        <f t="shared" si="1"/>
        <v>0.198354873451804</v>
      </c>
    </row>
    <row r="25" spans="1:14" ht="15.75" thickBot="1">
      <c r="A25" s="301">
        <v>25</v>
      </c>
      <c r="B25" s="272" t="s">
        <v>69</v>
      </c>
      <c r="C25" s="303" t="s">
        <v>84</v>
      </c>
      <c r="D25" s="276">
        <v>94</v>
      </c>
      <c r="E25" s="273">
        <v>2175462.63</v>
      </c>
      <c r="F25" s="304">
        <v>297168</v>
      </c>
      <c r="G25" s="301">
        <v>6</v>
      </c>
      <c r="H25" s="274">
        <v>569130.5</v>
      </c>
      <c r="I25" s="275">
        <v>61344</v>
      </c>
      <c r="J25" s="306">
        <f t="shared" si="0"/>
        <v>0.20642868680342433</v>
      </c>
      <c r="K25" s="302">
        <v>14</v>
      </c>
      <c r="L25" s="273">
        <v>283825.63</v>
      </c>
      <c r="M25" s="276">
        <v>51427</v>
      </c>
      <c r="N25" s="307">
        <f t="shared" si="1"/>
        <v>0.1730569913315027</v>
      </c>
    </row>
    <row r="26" spans="1:14" ht="15.75" thickBot="1">
      <c r="A26" s="301">
        <v>26</v>
      </c>
      <c r="B26" s="272" t="s">
        <v>439</v>
      </c>
      <c r="C26" s="303" t="s">
        <v>440</v>
      </c>
      <c r="D26" s="276">
        <v>93</v>
      </c>
      <c r="E26" s="273">
        <v>2374939.89</v>
      </c>
      <c r="F26" s="304">
        <v>309913</v>
      </c>
      <c r="G26" s="301">
        <v>3</v>
      </c>
      <c r="H26" s="274">
        <v>1144519</v>
      </c>
      <c r="I26" s="275">
        <v>134940</v>
      </c>
      <c r="J26" s="306">
        <f t="shared" si="0"/>
        <v>0.43541251899726696</v>
      </c>
      <c r="K26" s="302">
        <v>15</v>
      </c>
      <c r="L26" s="273">
        <v>203452.3</v>
      </c>
      <c r="M26" s="276">
        <v>37578</v>
      </c>
      <c r="N26" s="307">
        <f t="shared" si="1"/>
        <v>0.12125338401422335</v>
      </c>
    </row>
    <row r="27" spans="1:14" ht="15.75" thickBot="1">
      <c r="A27" s="301">
        <v>27</v>
      </c>
      <c r="B27" s="272" t="s">
        <v>389</v>
      </c>
      <c r="C27" s="303" t="s">
        <v>440</v>
      </c>
      <c r="D27" s="276">
        <v>89</v>
      </c>
      <c r="E27" s="273">
        <v>3011740.69</v>
      </c>
      <c r="F27" s="304">
        <v>385033</v>
      </c>
      <c r="G27" s="301">
        <v>4</v>
      </c>
      <c r="H27" s="274">
        <v>1952984</v>
      </c>
      <c r="I27" s="275">
        <v>236249</v>
      </c>
      <c r="J27" s="306">
        <f t="shared" si="0"/>
        <v>0.6135811735617467</v>
      </c>
      <c r="K27" s="302">
        <v>20</v>
      </c>
      <c r="L27" s="273">
        <v>85755.75</v>
      </c>
      <c r="M27" s="276">
        <v>20527</v>
      </c>
      <c r="N27" s="307">
        <f t="shared" si="1"/>
        <v>0.053312313490012544</v>
      </c>
    </row>
    <row r="28" spans="1:14" ht="15.75" thickBot="1">
      <c r="A28" s="301">
        <v>28</v>
      </c>
      <c r="B28" s="272" t="s">
        <v>211</v>
      </c>
      <c r="C28" s="303" t="s">
        <v>440</v>
      </c>
      <c r="D28" s="276">
        <v>81</v>
      </c>
      <c r="E28" s="273">
        <v>2777992.5</v>
      </c>
      <c r="F28" s="304">
        <v>358903</v>
      </c>
      <c r="G28" s="301">
        <v>3</v>
      </c>
      <c r="H28" s="274">
        <v>1018406</v>
      </c>
      <c r="I28" s="275">
        <v>123309</v>
      </c>
      <c r="J28" s="306">
        <f t="shared" si="0"/>
        <v>0.34357194005065433</v>
      </c>
      <c r="K28" s="302">
        <v>17</v>
      </c>
      <c r="L28" s="273">
        <v>66684</v>
      </c>
      <c r="M28" s="276">
        <v>16001</v>
      </c>
      <c r="N28" s="307">
        <f t="shared" si="1"/>
        <v>0.04458307676447397</v>
      </c>
    </row>
    <row r="29" spans="1:14" ht="15.75" thickBot="1">
      <c r="A29" s="301">
        <v>29</v>
      </c>
      <c r="B29" s="272" t="s">
        <v>146</v>
      </c>
      <c r="C29" s="303" t="s">
        <v>440</v>
      </c>
      <c r="D29" s="276">
        <v>86</v>
      </c>
      <c r="E29" s="273">
        <v>3151345.04</v>
      </c>
      <c r="F29" s="304">
        <v>384014</v>
      </c>
      <c r="G29" s="301">
        <v>5</v>
      </c>
      <c r="H29" s="274" t="s">
        <v>113</v>
      </c>
      <c r="I29" s="275">
        <v>163101</v>
      </c>
      <c r="J29" s="306">
        <f t="shared" si="0"/>
        <v>0.4247267026722984</v>
      </c>
      <c r="K29" s="302">
        <v>16</v>
      </c>
      <c r="L29" s="273" t="s">
        <v>112</v>
      </c>
      <c r="M29" s="276">
        <v>24464</v>
      </c>
      <c r="N29" s="307">
        <f t="shared" si="1"/>
        <v>0.06370601071835923</v>
      </c>
    </row>
    <row r="30" spans="1:14" ht="15.75" thickBot="1">
      <c r="A30" s="301">
        <v>30</v>
      </c>
      <c r="B30" s="272" t="s">
        <v>416</v>
      </c>
      <c r="C30" s="303" t="s">
        <v>440</v>
      </c>
      <c r="D30" s="276">
        <v>80</v>
      </c>
      <c r="E30" s="273">
        <v>3719455</v>
      </c>
      <c r="F30" s="304">
        <v>459631</v>
      </c>
      <c r="G30" s="301">
        <v>3</v>
      </c>
      <c r="H30" s="274">
        <v>1596170</v>
      </c>
      <c r="I30" s="275">
        <v>178558</v>
      </c>
      <c r="J30" s="306">
        <f t="shared" si="0"/>
        <v>0.3884811946974856</v>
      </c>
      <c r="K30" s="302">
        <v>15</v>
      </c>
      <c r="L30" s="273">
        <v>145027.5</v>
      </c>
      <c r="M30" s="276">
        <v>45650</v>
      </c>
      <c r="N30" s="307">
        <f t="shared" si="1"/>
        <v>0.09931880138632947</v>
      </c>
    </row>
    <row r="31" spans="1:14" ht="15.75" thickBot="1">
      <c r="A31" s="301">
        <v>31</v>
      </c>
      <c r="B31" s="272" t="s">
        <v>456</v>
      </c>
      <c r="C31" s="303" t="s">
        <v>197</v>
      </c>
      <c r="D31" s="276">
        <v>82</v>
      </c>
      <c r="E31" s="273">
        <v>3602446</v>
      </c>
      <c r="F31" s="304">
        <v>442462</v>
      </c>
      <c r="G31" s="301">
        <v>2</v>
      </c>
      <c r="H31" s="274">
        <v>1384718.5</v>
      </c>
      <c r="I31" s="275">
        <v>170017</v>
      </c>
      <c r="J31" s="306">
        <f t="shared" si="0"/>
        <v>0.38425220696918605</v>
      </c>
      <c r="K31" s="302">
        <v>14</v>
      </c>
      <c r="L31" s="273">
        <v>40295.5</v>
      </c>
      <c r="M31" s="276">
        <v>11860</v>
      </c>
      <c r="N31" s="307">
        <f t="shared" si="1"/>
        <v>0.026804561747675506</v>
      </c>
    </row>
    <row r="32" spans="1:14" ht="15.75" thickBot="1">
      <c r="A32" s="301">
        <v>32</v>
      </c>
      <c r="B32" s="272" t="s">
        <v>53</v>
      </c>
      <c r="C32" s="303" t="s">
        <v>197</v>
      </c>
      <c r="D32" s="276">
        <v>73</v>
      </c>
      <c r="E32" s="273">
        <v>2808588</v>
      </c>
      <c r="F32" s="304">
        <v>372064</v>
      </c>
      <c r="G32" s="301">
        <v>5</v>
      </c>
      <c r="H32" s="274">
        <v>414206</v>
      </c>
      <c r="I32" s="275">
        <v>44901</v>
      </c>
      <c r="J32" s="306">
        <f t="shared" si="0"/>
        <v>0.1206808506063473</v>
      </c>
      <c r="K32" s="302">
        <v>9</v>
      </c>
      <c r="L32" s="273">
        <v>121292</v>
      </c>
      <c r="M32" s="276">
        <v>39607</v>
      </c>
      <c r="N32" s="307">
        <f t="shared" si="1"/>
        <v>0.10645211576502968</v>
      </c>
    </row>
    <row r="33" spans="1:14" ht="15.75" thickBot="1">
      <c r="A33" s="301">
        <v>33</v>
      </c>
      <c r="B33" s="272" t="s">
        <v>219</v>
      </c>
      <c r="C33" s="303" t="s">
        <v>197</v>
      </c>
      <c r="D33" s="276">
        <v>96</v>
      </c>
      <c r="E33" s="273">
        <v>2557862.5</v>
      </c>
      <c r="F33" s="304">
        <v>317037</v>
      </c>
      <c r="G33" s="301">
        <v>4</v>
      </c>
      <c r="H33" s="274">
        <v>733461.5</v>
      </c>
      <c r="I33" s="275">
        <v>77402</v>
      </c>
      <c r="J33" s="306">
        <f t="shared" si="0"/>
        <v>0.24414185095115082</v>
      </c>
      <c r="K33" s="302">
        <v>12</v>
      </c>
      <c r="L33" s="273">
        <v>20450</v>
      </c>
      <c r="M33" s="276">
        <v>5912</v>
      </c>
      <c r="N33" s="307">
        <f t="shared" si="1"/>
        <v>0.01864766572986749</v>
      </c>
    </row>
    <row r="34" spans="1:14" ht="15.75" thickBot="1">
      <c r="A34" s="301">
        <v>34</v>
      </c>
      <c r="B34" s="272" t="s">
        <v>448</v>
      </c>
      <c r="C34" s="303" t="s">
        <v>197</v>
      </c>
      <c r="D34" s="276">
        <v>103</v>
      </c>
      <c r="E34" s="273">
        <v>2271460.54</v>
      </c>
      <c r="F34" s="304">
        <v>288743</v>
      </c>
      <c r="G34" s="301">
        <v>5</v>
      </c>
      <c r="H34" s="274">
        <v>590556</v>
      </c>
      <c r="I34" s="275">
        <v>63024</v>
      </c>
      <c r="J34" s="306">
        <f t="shared" si="0"/>
        <v>0.2182702264643645</v>
      </c>
      <c r="K34" s="302">
        <v>20</v>
      </c>
      <c r="L34" s="273">
        <v>50677.04</v>
      </c>
      <c r="M34" s="276">
        <v>14978</v>
      </c>
      <c r="N34" s="307">
        <f t="shared" si="1"/>
        <v>0.051873119002019095</v>
      </c>
    </row>
    <row r="35" spans="1:14" ht="15.75" thickBot="1">
      <c r="A35" s="301">
        <v>35</v>
      </c>
      <c r="B35" s="272" t="s">
        <v>0</v>
      </c>
      <c r="C35" s="303" t="s">
        <v>1</v>
      </c>
      <c r="D35" s="276">
        <v>87</v>
      </c>
      <c r="E35" s="273">
        <v>2406533.5</v>
      </c>
      <c r="F35" s="304">
        <v>295008</v>
      </c>
      <c r="G35" s="301">
        <v>4</v>
      </c>
      <c r="H35" s="274">
        <v>908245.5</v>
      </c>
      <c r="I35" s="275">
        <v>104619</v>
      </c>
      <c r="J35" s="306">
        <f t="shared" si="0"/>
        <v>0.35463106085258705</v>
      </c>
      <c r="K35" s="302">
        <v>14</v>
      </c>
      <c r="L35" s="273">
        <v>64373.59</v>
      </c>
      <c r="M35" s="276">
        <v>12377</v>
      </c>
      <c r="N35" s="307">
        <f t="shared" si="1"/>
        <v>0.0419547944462523</v>
      </c>
    </row>
    <row r="36" spans="1:14" ht="15.75" thickBot="1">
      <c r="A36" s="301">
        <v>36</v>
      </c>
      <c r="B36" s="272" t="s">
        <v>568</v>
      </c>
      <c r="C36" s="303" t="s">
        <v>1</v>
      </c>
      <c r="D36" s="276">
        <v>94</v>
      </c>
      <c r="E36" s="273">
        <v>2024148.5</v>
      </c>
      <c r="F36" s="304">
        <v>246636</v>
      </c>
      <c r="G36" s="301">
        <v>6</v>
      </c>
      <c r="H36" s="274">
        <v>580082.5</v>
      </c>
      <c r="I36" s="275">
        <v>53345</v>
      </c>
      <c r="J36" s="306">
        <f t="shared" si="0"/>
        <v>0.21629040367180785</v>
      </c>
      <c r="K36" s="302">
        <v>11</v>
      </c>
      <c r="L36" s="273">
        <v>42730</v>
      </c>
      <c r="M36" s="276">
        <v>9438</v>
      </c>
      <c r="N36" s="307">
        <f t="shared" si="1"/>
        <v>0.038266919671094246</v>
      </c>
    </row>
    <row r="37" spans="1:14" ht="15.75" thickBot="1">
      <c r="A37" s="301">
        <v>37</v>
      </c>
      <c r="B37" s="272" t="s">
        <v>586</v>
      </c>
      <c r="C37" s="303" t="s">
        <v>1</v>
      </c>
      <c r="D37" s="276">
        <v>103</v>
      </c>
      <c r="E37" s="273">
        <v>1915770.5</v>
      </c>
      <c r="F37" s="304">
        <v>226120</v>
      </c>
      <c r="G37" s="301">
        <v>7</v>
      </c>
      <c r="H37" s="274">
        <v>776338.5</v>
      </c>
      <c r="I37" s="275">
        <v>78893</v>
      </c>
      <c r="J37" s="306">
        <f t="shared" si="0"/>
        <v>0.3488988147886078</v>
      </c>
      <c r="K37" s="302">
        <v>19</v>
      </c>
      <c r="L37" s="273">
        <v>54927.5</v>
      </c>
      <c r="M37" s="276">
        <v>10809</v>
      </c>
      <c r="N37" s="307">
        <f t="shared" si="1"/>
        <v>0.04780205200778348</v>
      </c>
    </row>
    <row r="38" spans="1:14" ht="15">
      <c r="A38" s="278"/>
      <c r="B38" s="279"/>
      <c r="C38" s="387"/>
      <c r="D38" s="280"/>
      <c r="E38" s="281"/>
      <c r="F38" s="305"/>
      <c r="G38" s="278"/>
      <c r="H38" s="282"/>
      <c r="I38" s="283"/>
      <c r="J38" s="386"/>
      <c r="K38" s="284"/>
      <c r="L38" s="281"/>
      <c r="M38" s="280"/>
      <c r="N38" s="400"/>
    </row>
    <row r="39" spans="1:14" ht="15">
      <c r="A39" s="278"/>
      <c r="B39" s="279"/>
      <c r="C39" s="387"/>
      <c r="D39" s="280"/>
      <c r="E39" s="281"/>
      <c r="F39" s="305"/>
      <c r="G39" s="278"/>
      <c r="H39" s="282"/>
      <c r="I39" s="283"/>
      <c r="J39" s="386"/>
      <c r="K39" s="284"/>
      <c r="L39" s="281"/>
      <c r="M39" s="280"/>
      <c r="N39" s="400"/>
    </row>
    <row r="40" spans="1:14" ht="15">
      <c r="A40" s="278"/>
      <c r="B40" s="279"/>
      <c r="C40" s="387"/>
      <c r="D40" s="280"/>
      <c r="E40" s="281"/>
      <c r="F40" s="305"/>
      <c r="G40" s="278"/>
      <c r="H40" s="282"/>
      <c r="I40" s="283"/>
      <c r="J40" s="386"/>
      <c r="K40" s="284"/>
      <c r="L40" s="281"/>
      <c r="M40" s="280"/>
      <c r="N40" s="400"/>
    </row>
    <row r="41" spans="1:14" ht="15">
      <c r="A41" s="278"/>
      <c r="B41" s="279"/>
      <c r="C41" s="387"/>
      <c r="F41" s="305"/>
      <c r="J41" s="386"/>
      <c r="N41" s="400"/>
    </row>
    <row r="42" spans="1:14" ht="15">
      <c r="A42" s="278"/>
      <c r="B42" s="279"/>
      <c r="C42" s="387"/>
      <c r="F42" s="305"/>
      <c r="J42" s="386"/>
      <c r="N42" s="400"/>
    </row>
    <row r="43" spans="1:14" ht="15">
      <c r="A43" s="278"/>
      <c r="B43" s="279"/>
      <c r="C43" s="387"/>
      <c r="F43" s="305"/>
      <c r="J43" s="386"/>
      <c r="N43" s="400"/>
    </row>
    <row r="44" spans="1:14" ht="15">
      <c r="A44" s="530">
        <v>2008</v>
      </c>
      <c r="B44" s="531"/>
      <c r="C44" s="532"/>
      <c r="D44" s="280">
        <f>SUM(D1:D43)</f>
        <v>3063</v>
      </c>
      <c r="E44" s="281">
        <f>SUM(E1:E43)</f>
        <v>166453774.19999996</v>
      </c>
      <c r="F44" s="305">
        <f>SUM(F1:F43)</f>
        <v>22053310</v>
      </c>
      <c r="G44" s="278"/>
      <c r="H44" s="282">
        <f>SUM(H1:H43)</f>
        <v>64378878.5</v>
      </c>
      <c r="I44" s="283">
        <f>SUM(I1:I43)</f>
        <v>7938496</v>
      </c>
      <c r="J44" s="386"/>
      <c r="K44" s="284"/>
      <c r="L44" s="281">
        <f>SUM(L1:L43)</f>
        <v>71874638.5</v>
      </c>
      <c r="M44" s="280">
        <f>SUM(M1:M43)</f>
        <v>10554825</v>
      </c>
      <c r="N44" s="400">
        <f>SUM(M44/F44)</f>
        <v>0.47860502573083136</v>
      </c>
    </row>
    <row r="45" spans="1:14" s="295" customFormat="1" ht="15">
      <c r="A45" s="533"/>
      <c r="B45" s="534"/>
      <c r="C45" s="535"/>
      <c r="D45" s="284"/>
      <c r="E45" s="281"/>
      <c r="F45" s="305"/>
      <c r="G45" s="278"/>
      <c r="H45" s="282"/>
      <c r="I45" s="283"/>
      <c r="J45" s="386"/>
      <c r="K45" s="284"/>
      <c r="L45" s="281"/>
      <c r="M45" s="280"/>
      <c r="N45" s="400"/>
    </row>
    <row r="46" spans="1:14" ht="15">
      <c r="A46" s="278"/>
      <c r="B46" s="279"/>
      <c r="C46" s="387"/>
      <c r="D46" s="280"/>
      <c r="E46" s="281"/>
      <c r="F46" s="305"/>
      <c r="G46" s="296"/>
      <c r="H46" s="282"/>
      <c r="I46" s="283"/>
      <c r="J46" s="386"/>
      <c r="K46" s="284"/>
      <c r="L46" s="281"/>
      <c r="M46" s="280"/>
      <c r="N46" s="400"/>
    </row>
    <row r="47" spans="1:14" ht="15">
      <c r="A47" s="278"/>
      <c r="B47" s="279"/>
      <c r="C47" s="387"/>
      <c r="D47" s="280"/>
      <c r="E47" s="281"/>
      <c r="F47" s="305"/>
      <c r="G47" s="278"/>
      <c r="H47" s="282"/>
      <c r="I47" s="283"/>
      <c r="J47" s="386"/>
      <c r="K47" s="284"/>
      <c r="L47" s="281"/>
      <c r="M47" s="280"/>
      <c r="N47" s="400"/>
    </row>
    <row r="50" ht="15">
      <c r="L50" s="288"/>
    </row>
  </sheetData>
  <sheetProtection/>
  <mergeCells count="2">
    <mergeCell ref="A44:C44"/>
    <mergeCell ref="A45:C45"/>
  </mergeCells>
  <printOptions/>
  <pageMargins left="0.75" right="0.75" top="1" bottom="1" header="0.5" footer="0.5"/>
  <pageSetup orientation="portrait" paperSize="9"/>
  <ignoredErrors>
    <ignoredError sqref="B2 B6 B10 B15 B28 B19 B32 B37" twoDigitTextYear="1"/>
    <ignoredError sqref="J26 D44:N44"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2008-09-20T05:35:44Z</dcterms:modified>
  <cp:category/>
  <cp:version/>
  <cp:contentType/>
  <cp:contentStatus/>
</cp:coreProperties>
</file>