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20" windowWidth="19440" windowHeight="12240" tabRatio="832" activeTab="0"/>
  </bookViews>
  <sheets>
    <sheet name="23-29 May' '08 (WK 21)" sheetId="1" r:id="rId1"/>
    <sheet name="04 Jan'-29 May' (Annual)" sheetId="2" r:id="rId2"/>
    <sheet name="Ex years releases (Annual)" sheetId="3" r:id="rId3"/>
    <sheet name="Week by Week" sheetId="4" r:id="rId4"/>
  </sheets>
  <definedNames>
    <definedName name="HTML_CodePage" hidden="1">1254</definedName>
    <definedName name="HTML_Control" localSheetId="0" hidden="1">{"'WEEK 41'!$A$1:$K$25","'WEEK 41'!$C$3:$K$23"}</definedName>
    <definedName name="HTML_Control" hidden="1">{"'WEEK 41'!$A$1:$K$25","'WEEK 41'!$C$3:$K$23"}</definedName>
    <definedName name="HTML_Description" hidden="1">""</definedName>
    <definedName name="HTML_Email" hidden="1">"gelyetistiren@superonline.com"</definedName>
    <definedName name="HTML_Header" hidden="1">"WEEK 41"</definedName>
    <definedName name="HTML_LastUpdate" hidden="1">"25.05.2001"</definedName>
    <definedName name="HTML_LineAfter" hidden="1">TRUE</definedName>
    <definedName name="HTML_LineBefore" hidden="1">TRUE</definedName>
    <definedName name="HTML_Name" hidden="1">"Gökhan Elyetiştiren"</definedName>
    <definedName name="HTML_OBDlg2" hidden="1">TRUE</definedName>
    <definedName name="HTML_OBDlg3" hidden="1">TRUE</definedName>
    <definedName name="HTML_OBDlg4" hidden="1">TRUE</definedName>
    <definedName name="HTML_OS" hidden="1">0</definedName>
    <definedName name="HTML_PathFile" hidden="1">"C:\Belgelerim\MyHTML.htm"</definedName>
    <definedName name="HTML_PathTemplate" hidden="1">"C:\Belgelerim\MyHTML.htm"</definedName>
    <definedName name="HTML_Title" hidden="1">"WK - BO &amp; Adm"</definedName>
    <definedName name="_xlnm.Print_Area" localSheetId="1">'04 Jan'-29 May' (Annual)'!$A$4:$J$133</definedName>
    <definedName name="_xlnm.Print_Area" localSheetId="0">'23-29 May' '08 (WK 21)'!$A$1:$O$111</definedName>
  </definedNames>
  <calcPr fullCalcOnLoad="1"/>
</workbook>
</file>

<file path=xl/sharedStrings.xml><?xml version="1.0" encoding="utf-8"?>
<sst xmlns="http://schemas.openxmlformats.org/spreadsheetml/2006/main" count="2388" uniqueCount="452">
  <si>
    <r>
      <t>2008 Türkiye Ex Years Releases Annual Box Office Report</t>
    </r>
    <r>
      <rPr>
        <b/>
        <sz val="26"/>
        <color indexed="9"/>
        <rFont val="Impact"/>
        <family val="2"/>
      </rPr>
      <t xml:space="preserve">  </t>
    </r>
    <r>
      <rPr>
        <b/>
        <sz val="16"/>
        <color indexed="9"/>
        <rFont val="Impact"/>
        <family val="2"/>
      </rPr>
      <t>04 January 2008 - 29 May 2008</t>
    </r>
  </si>
  <si>
    <t>MR MAGORIUM'S WONDER EMPORIUM</t>
  </si>
  <si>
    <t>JOHN RAMBO</t>
  </si>
  <si>
    <t>SINETEL</t>
  </si>
  <si>
    <t>GONE BABY GONE</t>
  </si>
  <si>
    <t>FIDA-FILMA-CASS</t>
  </si>
  <si>
    <t>CELLULOID DREAMS</t>
  </si>
  <si>
    <t>A.E. FILM</t>
  </si>
  <si>
    <t>İLK AŞK</t>
  </si>
  <si>
    <t>TIM'S</t>
  </si>
  <si>
    <t>KÜÇÜK KIYAMET</t>
  </si>
  <si>
    <t>LIMON</t>
  </si>
  <si>
    <t>BORDERTOWN</t>
  </si>
  <si>
    <t>OZEN-FILMSAN</t>
  </si>
  <si>
    <t>YANLIŞ ZAMAN YOLCULARI</t>
  </si>
  <si>
    <t>MEDSER</t>
  </si>
  <si>
    <t>13</t>
  </si>
  <si>
    <t>RUINS, THE</t>
  </si>
  <si>
    <t>STREET KINGS</t>
  </si>
  <si>
    <t>VESAİRE VESAİRE</t>
  </si>
  <si>
    <t>HAYTA FILM</t>
  </si>
  <si>
    <t>MAMA'S BOY</t>
  </si>
  <si>
    <t>FORTISSIMO</t>
  </si>
  <si>
    <t>FOX AND THE CHILD, THE</t>
  </si>
  <si>
    <t>FERMAT'S ROOM</t>
  </si>
  <si>
    <t>A+ FILM</t>
  </si>
  <si>
    <t>YEAR MY PARENTS WENT ON VACATION, THE</t>
  </si>
  <si>
    <t>FILMS DISTRIBUTION</t>
  </si>
  <si>
    <t>SON OSMANLI "YANDIM ALİ"</t>
  </si>
  <si>
    <t xml:space="preserve">OZEN </t>
  </si>
  <si>
    <t>19</t>
  </si>
  <si>
    <t>SPOT FILM</t>
  </si>
  <si>
    <t>IRINA PALM</t>
  </si>
  <si>
    <t>FALL DOWN DEAD</t>
  </si>
  <si>
    <t>NEW FILMS</t>
  </si>
  <si>
    <t>NIM'S ISLAND</t>
  </si>
  <si>
    <t>HORTON</t>
  </si>
  <si>
    <t>DEFINITELY, MAYBE</t>
  </si>
  <si>
    <t>SAVAGE GRACE</t>
  </si>
  <si>
    <t>50</t>
  </si>
  <si>
    <t>NOCTURNA</t>
  </si>
  <si>
    <t>KARAKEDI FILM</t>
  </si>
  <si>
    <t>ANIMALS IN LOVE</t>
  </si>
  <si>
    <t>BLAME IT ON FIDEL</t>
  </si>
  <si>
    <t>A.S.K.D</t>
  </si>
  <si>
    <t>VANTAGE POINT</t>
  </si>
  <si>
    <t>OPEN SEASON</t>
  </si>
  <si>
    <t>TWO DAYS IN PARIS</t>
  </si>
  <si>
    <t>I COULD NEVER BE YOUR WOMAN</t>
  </si>
  <si>
    <t>CHARLIE WILSON'S WAR</t>
  </si>
  <si>
    <t>FIDA FILM</t>
  </si>
  <si>
    <t>FIDA    FILMACASS</t>
  </si>
  <si>
    <t>15-21</t>
  </si>
  <si>
    <t>POSTA</t>
  </si>
  <si>
    <t>CLOVERFIELD</t>
  </si>
  <si>
    <t>P.S I LOVE YOU</t>
  </si>
  <si>
    <t>Weekly Movie Magazine Antrakt Presents - Haftalık Antrakt Sinema Gazetesi Sunar</t>
  </si>
  <si>
    <t>35 MILIM</t>
  </si>
  <si>
    <t>AVSAR FILM</t>
  </si>
  <si>
    <t>IMPY'S ISLAND</t>
  </si>
  <si>
    <t>BESTLINE</t>
  </si>
  <si>
    <t>HARRY POTTER AND THE ORDER OF THE PHOENIX</t>
  </si>
  <si>
    <t>OZEN-UMUT</t>
  </si>
  <si>
    <t xml:space="preserve">NATIVITY STORY, THE </t>
  </si>
  <si>
    <t>25-31</t>
  </si>
  <si>
    <t>I AM LEGEND</t>
  </si>
  <si>
    <t>ULAK</t>
  </si>
  <si>
    <t>RED KIT</t>
  </si>
  <si>
    <t>DONKEY XOTE</t>
  </si>
  <si>
    <t>INSIDE</t>
  </si>
  <si>
    <t>CALL ME ELISABETH</t>
  </si>
  <si>
    <t>PYRAMIDE</t>
  </si>
  <si>
    <t>HALLOWEEN</t>
  </si>
  <si>
    <t>YUMURTA</t>
  </si>
  <si>
    <t>KAPLAN</t>
  </si>
  <si>
    <t>20</t>
  </si>
  <si>
    <t>12</t>
  </si>
  <si>
    <t xml:space="preserve">AN OLD MISTRESS </t>
  </si>
  <si>
    <t>02-08</t>
  </si>
  <si>
    <t xml:space="preserve">IRON MAN </t>
  </si>
  <si>
    <t>FOOL'S GOLD</t>
  </si>
  <si>
    <t>WAZ</t>
  </si>
  <si>
    <t>GIRL CUT IN TWO, A</t>
  </si>
  <si>
    <t>BEREKETLİ TOPRAKLAR ÜZERİNDE</t>
  </si>
  <si>
    <t>IRMAK FILM</t>
  </si>
  <si>
    <t>TROPA DE ELITE</t>
  </si>
  <si>
    <t>EVENING</t>
  </si>
  <si>
    <t>FIDA FILM-FILMACASS</t>
  </si>
  <si>
    <t>HAIRSPRAY</t>
  </si>
  <si>
    <t>09-15</t>
  </si>
  <si>
    <t>23-29</t>
  </si>
  <si>
    <t>O..ÇOCUKLARI</t>
  </si>
  <si>
    <t>INDIANA JONES AND THE KINGDOM OF CRYSTAL SKULL</t>
  </si>
  <si>
    <t>OTHER BOLEYN GIRL, THE</t>
  </si>
  <si>
    <t>IRON MAN</t>
  </si>
  <si>
    <t>NEVER BACK DOWN</t>
  </si>
  <si>
    <t>STEP UP: STREETS, THE</t>
  </si>
  <si>
    <t>HOTTIE &amp; NOTTIE, THE</t>
  </si>
  <si>
    <t xml:space="preserve">BARBAR </t>
  </si>
  <si>
    <t>PERİ TOZU</t>
  </si>
  <si>
    <t>IMAGINE FILM PRODUCTIONS</t>
  </si>
  <si>
    <t>A CRIME</t>
  </si>
  <si>
    <t>DIJITAL SANATLAR &amp; UMIT UNAL</t>
  </si>
  <si>
    <r>
      <t xml:space="preserve">2008 Türkiye Annual Box Office Report  </t>
    </r>
    <r>
      <rPr>
        <sz val="16"/>
        <color indexed="9"/>
        <rFont val="Impact"/>
        <family val="2"/>
      </rPr>
      <t>04 January 2008 - 29 May 2008</t>
    </r>
  </si>
  <si>
    <t>PARAMOUNT</t>
  </si>
  <si>
    <t>TIGLON</t>
  </si>
  <si>
    <t>WEINSTEIN CO.</t>
  </si>
  <si>
    <t>FIDA</t>
  </si>
  <si>
    <t>08-14</t>
  </si>
  <si>
    <t>SEMUM</t>
  </si>
  <si>
    <t>CALINOS</t>
  </si>
  <si>
    <t>ASTERIX AT THE OLYMPIC GAMES</t>
  </si>
  <si>
    <t>SON DERS</t>
  </si>
  <si>
    <t>RENKLER SANAT</t>
  </si>
  <si>
    <t>61</t>
  </si>
  <si>
    <t>UNKNOWN, THE</t>
  </si>
  <si>
    <t>BOYUT FİLM</t>
  </si>
  <si>
    <t>OZEN-AKSOY YAPIM</t>
  </si>
  <si>
    <t>SLEUTH</t>
  </si>
  <si>
    <t>58</t>
  </si>
  <si>
    <t>ONE WAY</t>
  </si>
  <si>
    <t>SARAN GROUP</t>
  </si>
  <si>
    <t>REVOLVER</t>
  </si>
  <si>
    <t>ROMULUS MY FATHER</t>
  </si>
  <si>
    <t>Yukarıdaki Turkey's Weekend Market Datas adlı tablo Türkiye'deki film dağıtıcısı şirketlerin ülkemizde yukarıda belirtilen haftalarda dağıttıkları sinema filmlerinin gene yukarıda belirttikleri haftalarda ulaştıkları seyirci sayısını ve yaptıkları hasılatı göstermektedir. Liste ve ekinde bulunan diğer sayfalar bütün dağıtıcıların ortak görüşü sonucunda Haftalık Antrakt Sinema Gazetesi'ne hazırlattırılmaktadır. Haftalık Antrakt Sinema Gazetesi yukarıdaki ve ekindeki tabloları dağıtımcı firmalardan gönderilen özel bilgileri bir araya getirerek oluşturmaktadır. Yukarıdaki ve ekindeki tabloların içerdiği veriler çoğaltılamaz, satılamaz. Alıntı veya kopyalama yapılırken Haftalık Antrakt Sinema Gazetesi'nden izin alınmalıdır.</t>
  </si>
  <si>
    <t>1</t>
  </si>
  <si>
    <t>BIR FILM</t>
  </si>
  <si>
    <t>WILD BUNCH</t>
  </si>
  <si>
    <t>Admission</t>
  </si>
  <si>
    <t>5</t>
  </si>
  <si>
    <t>TMNT</t>
  </si>
  <si>
    <t>10</t>
  </si>
  <si>
    <t>2</t>
  </si>
  <si>
    <t>KENDA</t>
  </si>
  <si>
    <t>Title</t>
  </si>
  <si>
    <t>Release
Date</t>
  </si>
  <si>
    <t># of
Prints</t>
  </si>
  <si>
    <t>Week</t>
  </si>
  <si>
    <t>Cumulative</t>
  </si>
  <si>
    <t>G.B.O.</t>
  </si>
  <si>
    <t>Adm.</t>
  </si>
  <si>
    <t>Avg.
Ticket</t>
  </si>
  <si>
    <t xml:space="preserve">Avg.
Ticket </t>
  </si>
  <si>
    <t># of
Screen</t>
  </si>
  <si>
    <t>WARNER BROS.</t>
  </si>
  <si>
    <t>Weeks in Release</t>
  </si>
  <si>
    <t>SAW IV</t>
  </si>
  <si>
    <t>ANKA FILM</t>
  </si>
  <si>
    <t>PERSEPOLIS</t>
  </si>
  <si>
    <t>CELLULOID</t>
  </si>
  <si>
    <t>18-24</t>
  </si>
  <si>
    <t>AMERICAN GANGSTER</t>
  </si>
  <si>
    <t>WE OWN THE NIGHT</t>
  </si>
  <si>
    <t>ÇOCUK</t>
  </si>
  <si>
    <t>63</t>
  </si>
  <si>
    <t>DIVING BELL AND THE BUTTERFLY, THE</t>
  </si>
  <si>
    <t xml:space="preserve">GOLDEN COMPASS, THE </t>
  </si>
  <si>
    <t>BİR İHTİMAL DAHA VAR</t>
  </si>
  <si>
    <t>CINEMEDYA - E.S.E.K.</t>
  </si>
  <si>
    <t>DIE HARD 4.0</t>
  </si>
  <si>
    <t>DEATH AT A FUNERAL</t>
  </si>
  <si>
    <t>SINEMAJANS</t>
  </si>
  <si>
    <t>11</t>
  </si>
  <si>
    <t>SOOM</t>
  </si>
  <si>
    <t>EL VIOLIN</t>
  </si>
  <si>
    <t>ASKD</t>
  </si>
  <si>
    <t>NO RESERVATION</t>
  </si>
  <si>
    <t>GARFIELD 2</t>
  </si>
  <si>
    <t>KREK</t>
  </si>
  <si>
    <t>CHURCHIL; HOLLYWOOD YEARS, THE</t>
  </si>
  <si>
    <t>ZEYNEP'IN SEKIZ GUNU</t>
  </si>
  <si>
    <t>MARADONA THE HAND OF GOD</t>
  </si>
  <si>
    <t>BELGE</t>
  </si>
  <si>
    <t>11-17</t>
  </si>
  <si>
    <t>ÇILGIN DERSANE KAMPTA</t>
  </si>
  <si>
    <t>AKSOY YAPIM</t>
  </si>
  <si>
    <t>FIDA-ARZU</t>
  </si>
  <si>
    <t>FIDA-FILMACASS</t>
  </si>
  <si>
    <t>MY BLUEBERRY NIGHTS</t>
  </si>
  <si>
    <t>PROMISE ME THIS</t>
  </si>
  <si>
    <t>4 MONTHS, 3 WEEKS, 2 DAYS</t>
  </si>
  <si>
    <t>7</t>
  </si>
  <si>
    <t>SURF'S UP</t>
  </si>
  <si>
    <t>ZEYNEP'İN SEKİZ GÜNÜ</t>
  </si>
  <si>
    <t>NANNY DIARIES, THE</t>
  </si>
  <si>
    <t>FİKRET BEY</t>
  </si>
  <si>
    <t>OYUNCULAR</t>
  </si>
  <si>
    <t>PLANETE BLANCHE, LA</t>
  </si>
  <si>
    <t>PI-YALAN DUNYA</t>
  </si>
  <si>
    <t>SÖZÜN BİTTİĞİ YER</t>
  </si>
  <si>
    <t>ISTANBUL GUNESI</t>
  </si>
  <si>
    <t>LA VIE EN ROSE</t>
  </si>
  <si>
    <t>LICENSE TO WED</t>
  </si>
  <si>
    <t>BRATZ</t>
  </si>
  <si>
    <t>I KNOW WHO KILLED ME</t>
  </si>
  <si>
    <t>MONGOL</t>
  </si>
  <si>
    <t>BETA</t>
  </si>
  <si>
    <t>SPIDERWICK CHRONICLES</t>
  </si>
  <si>
    <t>FLOCK, THE</t>
  </si>
  <si>
    <t>MİRAS</t>
  </si>
  <si>
    <t>RH POLITIK</t>
  </si>
  <si>
    <t>AN OLD MISTRESS</t>
  </si>
  <si>
    <t>14-20</t>
  </si>
  <si>
    <t>DEATHS OF IAN STONE</t>
  </si>
  <si>
    <t>TWICE UPON A TIME</t>
  </si>
  <si>
    <t xml:space="preserve"> "Turkey's Weekend Market Datas" chart which is given above displays the number of admissions and box offices of the films which are released in the stated week by Turkish distributors. The chart and the attached pages is being prepared by Weekly Antrakt Cinema Newspaper as a common acknowledgement of all Turkish distributors. Weekly Antrakt Cinema Newspaper is preparing this chart as collecting all data from distributors and organizing them. It is not permitted to multiply or to sell these data which are displayed on this chart and attachments. It is necessary to ask approval of Weekly Antrakt Cinema Newspaper in order to quote, to copy or to publish.</t>
  </si>
  <si>
    <t>January</t>
  </si>
  <si>
    <t>30 DAYS OF NIGHT</t>
  </si>
  <si>
    <t>DONDURMAM GAYMAK</t>
  </si>
  <si>
    <t>HERMES</t>
  </si>
  <si>
    <t>REZO</t>
  </si>
  <si>
    <t>TUYA'S MARRIAGE</t>
  </si>
  <si>
    <t>9</t>
  </si>
  <si>
    <t>6</t>
  </si>
  <si>
    <t>MR. WOODCOCK</t>
  </si>
  <si>
    <t>DEATH SENTENCE</t>
  </si>
  <si>
    <t>VIDEOTEK</t>
  </si>
  <si>
    <t>İYİ SENELER LONDRA</t>
  </si>
  <si>
    <t>PATE</t>
  </si>
  <si>
    <t>SINEMA AJANS</t>
  </si>
  <si>
    <t>2 DAYS IN PARIS</t>
  </si>
  <si>
    <t>Production Company</t>
  </si>
  <si>
    <t>Türkiye Distributor</t>
  </si>
  <si>
    <t>WALT DISNEY</t>
  </si>
  <si>
    <t>LIONS FOR LAMBS</t>
  </si>
  <si>
    <t>GIDAM</t>
  </si>
  <si>
    <t>NATIONAL TREASURE: BOOK OF SECRET</t>
  </si>
  <si>
    <t>RENDITION</t>
  </si>
  <si>
    <t>UNICVISIONS</t>
  </si>
  <si>
    <t>ARA</t>
  </si>
  <si>
    <t>PARANOID PARK</t>
  </si>
  <si>
    <t>17</t>
  </si>
  <si>
    <t>RUSH HOUR 3</t>
  </si>
  <si>
    <t>NO MAN'S LAND</t>
  </si>
  <si>
    <t>UMUT SANAT</t>
  </si>
  <si>
    <t>WORKS, THE</t>
  </si>
  <si>
    <t>POLİS</t>
  </si>
  <si>
    <t>EFLATUN</t>
  </si>
  <si>
    <t>HOODWINKED</t>
  </si>
  <si>
    <t>LES CHORISTES</t>
  </si>
  <si>
    <t>PATHE</t>
  </si>
  <si>
    <t xml:space="preserve">EPITAPH </t>
  </si>
  <si>
    <t>28-03</t>
  </si>
  <si>
    <t>April</t>
  </si>
  <si>
    <t>IN THE NAME OF THE KING</t>
  </si>
  <si>
    <t>IN THE VALLEY OF ELAH</t>
  </si>
  <si>
    <t>DRAGON HUNTERS</t>
  </si>
  <si>
    <t>COUNTERFEITERS</t>
  </si>
  <si>
    <t>MY FATHER ROMULUS</t>
  </si>
  <si>
    <t>MASKELI BEŞLER: KIBRIS</t>
  </si>
  <si>
    <t>CINECLICK</t>
  </si>
  <si>
    <t>NEW LINE</t>
  </si>
  <si>
    <t>MARSH, THE</t>
  </si>
  <si>
    <t>WELCOME BACK PINOCCHIO</t>
  </si>
  <si>
    <t>HORIZON</t>
  </si>
  <si>
    <t>*Sorted according to Week Total G.B.O. - Haftalık toplam hasılat sütununa göre sıralanmıştır.</t>
  </si>
  <si>
    <t>MEDYAVIZYON</t>
  </si>
  <si>
    <t>TOTAL</t>
  </si>
  <si>
    <t>Company</t>
  </si>
  <si>
    <t>Distributor</t>
  </si>
  <si>
    <t>WB</t>
  </si>
  <si>
    <t>UIP</t>
  </si>
  <si>
    <t>OZEN</t>
  </si>
  <si>
    <t>FOX</t>
  </si>
  <si>
    <t>BUENA VISTA</t>
  </si>
  <si>
    <t>COLUMBIA</t>
  </si>
  <si>
    <t>UNIVERSAL</t>
  </si>
  <si>
    <t>CHANTIER</t>
  </si>
  <si>
    <t>LES FILMS DES TOURNELLES</t>
  </si>
  <si>
    <t>MÜNFERİT</t>
  </si>
  <si>
    <t>YENIDEN FILM</t>
  </si>
  <si>
    <t>SINGER, THE</t>
  </si>
  <si>
    <t>SINETEL FILM</t>
  </si>
  <si>
    <t>FLIGHT OF THE RED BALLOON</t>
  </si>
  <si>
    <t>ALEXANDRA</t>
  </si>
  <si>
    <t xml:space="preserve">BARBAR  </t>
  </si>
  <si>
    <t>FAUTE A FIDEL, LA</t>
  </si>
  <si>
    <t>THERE WILL BE BLOOD</t>
  </si>
  <si>
    <t>WEDDING DAZE</t>
  </si>
  <si>
    <t>16-22</t>
  </si>
  <si>
    <t>SMA</t>
  </si>
  <si>
    <t>LIST, THE</t>
  </si>
  <si>
    <t>THREE ROBBERS</t>
  </si>
  <si>
    <t>BEFORE THE DEVIL KNOWS YOU'RE DEAD</t>
  </si>
  <si>
    <t>REDACTED</t>
  </si>
  <si>
    <t>14</t>
  </si>
  <si>
    <t xml:space="preserve">HORIZON </t>
  </si>
  <si>
    <t>ACROSS THE UNIVERSE</t>
  </si>
  <si>
    <t>GARFIELD: A TAIL OF TWO KITTIES</t>
  </si>
  <si>
    <t>22-28</t>
  </si>
  <si>
    <t>ZEYNEP'İN SEKIZ GUNU</t>
  </si>
  <si>
    <t>BUCKET LIST</t>
  </si>
  <si>
    <t>GARFIELD: A TAIL OF TWO KITTIES,</t>
  </si>
  <si>
    <t>KREK FILM</t>
  </si>
  <si>
    <t>ICE AGE 2;  MELTDOWN, THE</t>
  </si>
  <si>
    <t>NO RESERVATIONS</t>
  </si>
  <si>
    <t>PLATO FILM</t>
  </si>
  <si>
    <t>01-07</t>
  </si>
  <si>
    <t>February</t>
  </si>
  <si>
    <t>21-27</t>
  </si>
  <si>
    <t>AWAKE</t>
  </si>
  <si>
    <t>BANK JOB</t>
  </si>
  <si>
    <t>JUNO</t>
  </si>
  <si>
    <t>GİRDAP</t>
  </si>
  <si>
    <t>KUZEY FILM</t>
  </si>
  <si>
    <t>KITE RUNNER</t>
  </si>
  <si>
    <t>BROKEN ANGEL</t>
  </si>
  <si>
    <t>HITMAN</t>
  </si>
  <si>
    <t>MIA-DADA</t>
  </si>
  <si>
    <t>PINEMA</t>
  </si>
  <si>
    <t>GOLDEN COMPASS, THE</t>
  </si>
  <si>
    <t>KABADAYI</t>
  </si>
  <si>
    <t xml:space="preserve">FIDA </t>
  </si>
  <si>
    <t>BEE MOVIE</t>
  </si>
  <si>
    <t>O KADIN</t>
  </si>
  <si>
    <t>80</t>
  </si>
  <si>
    <t>ALVIN AND THE CHIPMUNKS</t>
  </si>
  <si>
    <t>HİCRAN SOKAĞI</t>
  </si>
  <si>
    <t>MAG FILM</t>
  </si>
  <si>
    <t>3</t>
  </si>
  <si>
    <t>4</t>
  </si>
  <si>
    <t xml:space="preserve">KINGDOM, THE </t>
  </si>
  <si>
    <t>FILMSAN</t>
  </si>
  <si>
    <t>KUTSAL DAMACANA</t>
  </si>
  <si>
    <t>ZERO FILM</t>
  </si>
  <si>
    <t>ENCHANTED</t>
  </si>
  <si>
    <t>CASSANDRA'S DREAM</t>
  </si>
  <si>
    <t>MARTIAN CHILD</t>
  </si>
  <si>
    <t>25</t>
  </si>
  <si>
    <t>STUDIO 2.0</t>
  </si>
  <si>
    <t>04-10</t>
  </si>
  <si>
    <t>DENK AJANS</t>
  </si>
  <si>
    <t>SUPERBAD</t>
  </si>
  <si>
    <t>YAŞAMIN KIYISINDA</t>
  </si>
  <si>
    <t>ANKA KUŞU: BANA SIRRINI AÇ</t>
  </si>
  <si>
    <t>ASSASSINATION OF JESSE JAMES</t>
  </si>
  <si>
    <t>BEYAZ MELEK</t>
  </si>
  <si>
    <t>BOYUT FILM</t>
  </si>
  <si>
    <t>GARFIELD GETS REAL</t>
  </si>
  <si>
    <t>MUSALLAT</t>
  </si>
  <si>
    <t>RIZA</t>
  </si>
  <si>
    <t>ZUZI FILM</t>
  </si>
  <si>
    <t>DEATH A FUNERAL</t>
  </si>
  <si>
    <t>RECEP İVEDİK</t>
  </si>
  <si>
    <t>FILMA</t>
  </si>
  <si>
    <t>BAYRAMPAŞA: BEN FAZLA KALMAYACAĞIM</t>
  </si>
  <si>
    <t>TURKMAX</t>
  </si>
  <si>
    <t>IZGNANIE</t>
  </si>
  <si>
    <t>BARBAR</t>
  </si>
  <si>
    <t>INTERCINEMA</t>
  </si>
  <si>
    <t>FRACTURE</t>
  </si>
  <si>
    <t>16</t>
  </si>
  <si>
    <t>ANGEL</t>
  </si>
  <si>
    <t>ANKA KUŞU BANA SIRRINI AÇ</t>
  </si>
  <si>
    <t>15</t>
  </si>
  <si>
    <t>29-06</t>
  </si>
  <si>
    <t>March</t>
  </si>
  <si>
    <t>PLAJDA</t>
  </si>
  <si>
    <t>130</t>
  </si>
  <si>
    <t>MIST, THE</t>
  </si>
  <si>
    <t>TMC</t>
  </si>
  <si>
    <t>EYE, THE</t>
  </si>
  <si>
    <t>27 DRESSES</t>
  </si>
  <si>
    <t>GAME PLAN</t>
  </si>
  <si>
    <t>AUGUST RUSH</t>
  </si>
  <si>
    <t>CHARLIE BARTLETT</t>
  </si>
  <si>
    <t>HAZAN MEVSİMİ: BİR PANAYIR HİKAYESİ</t>
  </si>
  <si>
    <t>CAN FILM</t>
  </si>
  <si>
    <t>SHOOT'EM UP</t>
  </si>
  <si>
    <t>TALES FROM EARTHSEA</t>
  </si>
  <si>
    <t>BECOMING JANE</t>
  </si>
  <si>
    <t>VIOLIN, EL</t>
  </si>
  <si>
    <t>A.S.K.D.</t>
  </si>
  <si>
    <t>FILM POP</t>
  </si>
  <si>
    <t>07-13</t>
  </si>
  <si>
    <t>10,000 BC</t>
  </si>
  <si>
    <t>NO COUNTRY FOR OLD MAN</t>
  </si>
  <si>
    <t>JUMPER</t>
  </si>
  <si>
    <t>LOVE IN THE TIME OF CHOLERA</t>
  </si>
  <si>
    <t>HAYATTAN KORKMA</t>
  </si>
  <si>
    <t xml:space="preserve">24 KARE </t>
  </si>
  <si>
    <t>59</t>
  </si>
  <si>
    <t>MÜLTECİ</t>
  </si>
  <si>
    <t>SICKO</t>
  </si>
  <si>
    <t>MASKELİ BEŞLER IRAK</t>
  </si>
  <si>
    <t>ICE AGE 2: THE MELTDOWN</t>
  </si>
  <si>
    <t>GOYA'S GHOSTS</t>
  </si>
  <si>
    <t>HANWAY</t>
  </si>
  <si>
    <t>RENAISSANCE</t>
  </si>
  <si>
    <t>WICKER PARK</t>
  </si>
  <si>
    <t>LAKESHORE</t>
  </si>
  <si>
    <t>I'M NOT THERE</t>
  </si>
  <si>
    <t>WINX CLUB: THE SECRET OF THE LOST KINGDOM</t>
  </si>
  <si>
    <t>GYD AJANS</t>
  </si>
  <si>
    <t>BREATH</t>
  </si>
  <si>
    <t>FIDA FILM-ARZU FILM</t>
  </si>
  <si>
    <t>ANKA KUŞU: BANA SIRRINI SÖYLE</t>
  </si>
  <si>
    <t>FIDA FILM- FILMACASS</t>
  </si>
  <si>
    <t>NANNY DIARIES</t>
  </si>
  <si>
    <t>CENNET</t>
  </si>
  <si>
    <t>D.F.G.S</t>
  </si>
  <si>
    <t xml:space="preserve"> "Turkey's Weekend Market Datas" chart which is given above displays the number of admissions and box offices of the films which are released in the  stated week by Turkish distributors. The chart and the attached pages is being prepared by Weekly Antrakt Cinema Newspaper as a common acknowledgement of all Turkish distributors. Weekly Antrakt Cinema Newspaper is preparing this chart as collecting all data from distributors and organizing them. It is not permitted to multiply or to sell these data which are displayed on this chart and attachments. It is necessary to ask approval of Weekly Antrakt Cinema Newspaper in order to quote, to copy or to publish.</t>
  </si>
  <si>
    <t>GAUMONT</t>
  </si>
  <si>
    <t>Screen Avg. (Adm.)</t>
  </si>
  <si>
    <t>Release Date</t>
  </si>
  <si>
    <t>Week in Release</t>
  </si>
  <si>
    <t>Avg. Ticket Price</t>
  </si>
  <si>
    <t>G.B.O. YTL</t>
  </si>
  <si>
    <t>MARS</t>
  </si>
  <si>
    <t>EVERYONE'S HERO</t>
  </si>
  <si>
    <t>8</t>
  </si>
  <si>
    <t>57</t>
  </si>
  <si>
    <t>D PRODUCTIONS</t>
  </si>
  <si>
    <t>FILMPOP</t>
  </si>
  <si>
    <t>25-01</t>
  </si>
  <si>
    <t>May</t>
  </si>
  <si>
    <t>ONE MISSED CALL</t>
  </si>
  <si>
    <t>MEVLANA CELALEDDİN-İ RUMİ: AŞKIN DANSI</t>
  </si>
  <si>
    <t xml:space="preserve">IMAGINE FILM PRODUCTIONS </t>
  </si>
  <si>
    <t>RESERVATION ROAD</t>
  </si>
  <si>
    <t>FOCUS</t>
  </si>
  <si>
    <t>BE KIND REWIND</t>
  </si>
  <si>
    <t>SEMI PRO</t>
  </si>
  <si>
    <t>AGE OF IGNORANCE, THE</t>
  </si>
  <si>
    <t>UMUT-OZEN</t>
  </si>
  <si>
    <t>ERMAN FILM</t>
  </si>
  <si>
    <t>CORAZON-ANKA FILM</t>
  </si>
  <si>
    <t>TMC-AVSAR FILM</t>
  </si>
  <si>
    <t>QUEEN, THE</t>
  </si>
  <si>
    <t>18</t>
  </si>
  <si>
    <t>SOUTHLAND TALES</t>
  </si>
  <si>
    <t>SHREK THE THIRD</t>
  </si>
  <si>
    <t>4: RISE OF THE SILVER SURFER</t>
  </si>
  <si>
    <t>OUTLAW</t>
  </si>
  <si>
    <t>RATATOUILLE</t>
  </si>
  <si>
    <t xml:space="preserve">ELIZABETH: GOLDEN AGE                    </t>
  </si>
  <si>
    <t>EASTERN PROMISES</t>
  </si>
  <si>
    <t>36</t>
  </si>
  <si>
    <t>ISLAND OF LOST SOULS</t>
  </si>
  <si>
    <t>MY BROTHER IS ONLY CHILD</t>
  </si>
  <si>
    <t>40</t>
  </si>
  <si>
    <t>UNE VIEILLE MAITRESSE</t>
  </si>
  <si>
    <t>BRAVE ONE</t>
  </si>
  <si>
    <t>MICHAEL CLAYTON</t>
  </si>
  <si>
    <t>BEOWULF</t>
  </si>
  <si>
    <t>SUNA</t>
  </si>
  <si>
    <t>SWEENEY TODD</t>
  </si>
  <si>
    <t>FORBIDDEN KINGDOM</t>
  </si>
  <si>
    <t>WHAT HAPPENS IN VEGAS</t>
  </si>
  <si>
    <t>TAKEN</t>
  </si>
  <si>
    <t>WAVE, THE</t>
  </si>
  <si>
    <t>CARAMEL</t>
  </si>
</sst>
</file>

<file path=xl/styles.xml><?xml version="1.0" encoding="utf-8"?>
<styleSheet xmlns="http://schemas.openxmlformats.org/spreadsheetml/2006/main">
  <numFmts count="54">
    <numFmt numFmtId="5" formatCode="#,##0\ &quot;YTL&quot;;\-#,##0\ &quot;YTL&quot;"/>
    <numFmt numFmtId="6" formatCode="#,##0\ &quot;YTL&quot;;[Red]\-#,##0\ &quot;YTL&quot;"/>
    <numFmt numFmtId="7" formatCode="#,##0.00\ &quot;YTL&quot;;\-#,##0.00\ &quot;YTL&quot;"/>
    <numFmt numFmtId="8" formatCode="#,##0.00\ &quot;YTL&quot;;[Red]\-#,##0.00\ &quot;YTL&quot;"/>
    <numFmt numFmtId="42" formatCode="_-* #,##0\ &quot;YTL&quot;_-;\-* #,##0\ &quot;YTL&quot;_-;_-* &quot;-&quot;\ &quot;YTL&quot;_-;_-@_-"/>
    <numFmt numFmtId="41" formatCode="_-* #,##0\ _Y_T_L_-;\-* #,##0\ _Y_T_L_-;_-* &quot;-&quot;\ _Y_T_L_-;_-@_-"/>
    <numFmt numFmtId="44" formatCode="_-* #,##0.00\ &quot;YTL&quot;_-;\-* #,##0.00\ &quot;YTL&quot;_-;_-* &quot;-&quot;??\ &quot;YTL&quot;_-;_-@_-"/>
    <numFmt numFmtId="43" formatCode="_-* #,##0.00\ _Y_T_L_-;\-* #,##0.00\ _Y_T_L_-;_-* &quot;-&quot;??\ _Y_T_L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TL&quot;;\-#,##0\ &quot;TL&quot;"/>
    <numFmt numFmtId="173" formatCode="#,##0\ &quot;TL&quot;;[Red]\-#,##0\ &quot;TL&quot;"/>
    <numFmt numFmtId="174" formatCode="#,##0.00\ &quot;TL&quot;;\-#,##0.00\ &quot;TL&quot;"/>
    <numFmt numFmtId="175" formatCode="#,##0.00\ &quot;TL&quot;;[Red]\-#,##0.00\ &quot;TL&quot;"/>
    <numFmt numFmtId="176" formatCode="_-* #,##0\ &quot;TL&quot;_-;\-* #,##0\ &quot;TL&quot;_-;_-* &quot;-&quot;\ &quot;TL&quot;_-;_-@_-"/>
    <numFmt numFmtId="177" formatCode="_-* #,##0\ _T_L_-;\-* #,##0\ _T_L_-;_-* &quot;-&quot;\ _T_L_-;_-@_-"/>
    <numFmt numFmtId="178" formatCode="_-* #,##0.00\ &quot;TL&quot;_-;\-* #,##0.00\ &quot;TL&quot;_-;_-* &quot;-&quot;??\ &quot;TL&quot;_-;_-@_-"/>
    <numFmt numFmtId="179" formatCode="_-* #,##0.00\ _T_L_-;\-* #,##0.00\ _T_L_-;_-* &quot;-&quot;??\ _T_L_-;_-@_-"/>
    <numFmt numFmtId="180" formatCode="dd\-mmm\-yy"/>
    <numFmt numFmtId="181" formatCode="_(* #,##0_);_(* \(#,##0\);_(* &quot;-&quot;??_);_(@_)"/>
    <numFmt numFmtId="182" formatCode="_-* #,##0\ _T_L_-;\-* #,##0\ _T_L_-;_-* &quot;-&quot;??\ _T_L_-;_-@_-"/>
    <numFmt numFmtId="183" formatCode="mm/dd/yy"/>
    <numFmt numFmtId="184" formatCode="dd/mm/yy"/>
    <numFmt numFmtId="185" formatCode="#,##0\ \ "/>
    <numFmt numFmtId="186" formatCode="#,##0_ ;[Red]\-#,##0\ "/>
    <numFmt numFmtId="187" formatCode="#,##0.00\ \ "/>
    <numFmt numFmtId="188" formatCode="&quot;Yes&quot;;&quot;Yes&quot;;&quot;No&quot;"/>
    <numFmt numFmtId="189" formatCode="&quot;True&quot;;&quot;True&quot;;&quot;False&quot;"/>
    <numFmt numFmtId="190" formatCode="&quot;On&quot;;&quot;On&quot;;&quot;Off&quot;"/>
    <numFmt numFmtId="191" formatCode="[$€-2]\ #,##0.00_);[Red]\([$€-2]\ #,##0.00\)"/>
    <numFmt numFmtId="192" formatCode="0.00\ "/>
    <numFmt numFmtId="193" formatCode="#,##0\ "/>
    <numFmt numFmtId="194" formatCode="[$-41F]d\ mmmm\ yyyy;@"/>
    <numFmt numFmtId="195" formatCode="#,##0.00_ ;\-#,##0.00\ "/>
    <numFmt numFmtId="196" formatCode="#,##0.00\ &quot;YTL&quot;"/>
    <numFmt numFmtId="197" formatCode="dd/mm/yy;@"/>
    <numFmt numFmtId="198" formatCode="#,##0_-"/>
    <numFmt numFmtId="199" formatCode="#,##0.00;[Red]#,##0.00"/>
    <numFmt numFmtId="200" formatCode="#,##0.00\ "/>
    <numFmt numFmtId="201" formatCode="[$-41F]dd\ mmmm\ yyyy\ dddd"/>
    <numFmt numFmtId="202" formatCode="mmm/yyyy"/>
    <numFmt numFmtId="203" formatCode="[$-41F]d\ mmmm\ yy;@"/>
    <numFmt numFmtId="204" formatCode="[$-41F]d\ mmm\ yyyy;@"/>
    <numFmt numFmtId="205" formatCode="[$-41F]dd\ mmmm\ yy;@"/>
    <numFmt numFmtId="206" formatCode="m/d/yyyy"/>
    <numFmt numFmtId="207" formatCode="&quot;Evet&quot;;&quot;Evet&quot;;&quot;Hayır&quot;"/>
    <numFmt numFmtId="208" formatCode="&quot;Doğru&quot;;&quot;Doğru&quot;;&quot;Yanlış&quot;"/>
    <numFmt numFmtId="209" formatCode="&quot;Açık&quot;;&quot;Açık&quot;;&quot;Kapalı&quot;"/>
  </numFmts>
  <fonts count="92">
    <font>
      <sz val="10"/>
      <name val="Arial"/>
      <family val="0"/>
    </font>
    <font>
      <u val="single"/>
      <sz val="8"/>
      <color indexed="36"/>
      <name val="Arial"/>
      <family val="0"/>
    </font>
    <font>
      <u val="single"/>
      <sz val="8"/>
      <color indexed="12"/>
      <name val="Arial"/>
      <family val="0"/>
    </font>
    <font>
      <sz val="14"/>
      <name val="Impact"/>
      <family val="2"/>
    </font>
    <font>
      <sz val="12"/>
      <name val="Impact"/>
      <family val="2"/>
    </font>
    <font>
      <sz val="10"/>
      <name val="Impact"/>
      <family val="2"/>
    </font>
    <font>
      <sz val="14"/>
      <name val="Arial"/>
      <family val="2"/>
    </font>
    <font>
      <sz val="16"/>
      <color indexed="9"/>
      <name val="Impact"/>
      <family val="2"/>
    </font>
    <font>
      <b/>
      <sz val="8"/>
      <name val="Trebuchet MS"/>
      <family val="2"/>
    </font>
    <font>
      <sz val="8"/>
      <name val="Trebuchet MS"/>
      <family val="2"/>
    </font>
    <font>
      <b/>
      <sz val="10"/>
      <name val="Arial"/>
      <family val="0"/>
    </font>
    <font>
      <sz val="20"/>
      <name val="Impact"/>
      <family val="2"/>
    </font>
    <font>
      <sz val="10"/>
      <name val="Trebuchet MS"/>
      <family val="2"/>
    </font>
    <font>
      <i/>
      <sz val="9"/>
      <name val="Arial"/>
      <family val="2"/>
    </font>
    <font>
      <b/>
      <sz val="10"/>
      <color indexed="9"/>
      <name val="Trebuchet MS"/>
      <family val="2"/>
    </font>
    <font>
      <sz val="10"/>
      <color indexed="9"/>
      <name val="Trebuchet MS"/>
      <family val="2"/>
    </font>
    <font>
      <sz val="8"/>
      <name val="Arial"/>
      <family val="2"/>
    </font>
    <font>
      <i/>
      <sz val="10"/>
      <color indexed="10"/>
      <name val="Arial"/>
      <family val="2"/>
    </font>
    <font>
      <b/>
      <sz val="14"/>
      <color indexed="18"/>
      <name val="Impact"/>
      <family val="2"/>
    </font>
    <font>
      <b/>
      <sz val="8"/>
      <color indexed="18"/>
      <name val="Trebuchet MS"/>
      <family val="0"/>
    </font>
    <font>
      <b/>
      <sz val="14"/>
      <color indexed="18"/>
      <name val="Arial"/>
      <family val="2"/>
    </font>
    <font>
      <b/>
      <sz val="10"/>
      <name val="Arial Narrow"/>
      <family val="2"/>
    </font>
    <font>
      <b/>
      <sz val="10"/>
      <color indexed="9"/>
      <name val="Arial Narrow"/>
      <family val="2"/>
    </font>
    <font>
      <b/>
      <sz val="11"/>
      <name val="Arial Narrow"/>
      <family val="2"/>
    </font>
    <font>
      <b/>
      <sz val="11"/>
      <name val="Century Gothic"/>
      <family val="2"/>
    </font>
    <font>
      <b/>
      <sz val="11"/>
      <color indexed="9"/>
      <name val="Arial Narrow"/>
      <family val="2"/>
    </font>
    <font>
      <b/>
      <sz val="11"/>
      <name val="Arial"/>
      <family val="0"/>
    </font>
    <font>
      <sz val="9"/>
      <name val="Trebuchet MS"/>
      <family val="2"/>
    </font>
    <font>
      <sz val="26"/>
      <color indexed="9"/>
      <name val="Impact"/>
      <family val="2"/>
    </font>
    <font>
      <i/>
      <sz val="10"/>
      <name val="Arial"/>
      <family val="2"/>
    </font>
    <font>
      <sz val="10"/>
      <color indexed="9"/>
      <name val="Arial"/>
      <family val="0"/>
    </font>
    <font>
      <b/>
      <sz val="8"/>
      <color indexed="9"/>
      <name val="Trebuchet MS"/>
      <family val="0"/>
    </font>
    <font>
      <b/>
      <sz val="10"/>
      <name val="Trebuchet MS"/>
      <family val="2"/>
    </font>
    <font>
      <sz val="7"/>
      <color indexed="9"/>
      <name val="Impact"/>
      <family val="2"/>
    </font>
    <font>
      <b/>
      <sz val="10"/>
      <color indexed="9"/>
      <name val="Arial"/>
      <family val="2"/>
    </font>
    <font>
      <b/>
      <sz val="7"/>
      <color indexed="9"/>
      <name val="Impact"/>
      <family val="2"/>
    </font>
    <font>
      <b/>
      <sz val="10"/>
      <name val="Impact"/>
      <family val="2"/>
    </font>
    <font>
      <b/>
      <sz val="11"/>
      <color indexed="9"/>
      <name val="Century Gothic"/>
      <family val="2"/>
    </font>
    <font>
      <b/>
      <sz val="10"/>
      <color indexed="9"/>
      <name val="Impact"/>
      <family val="2"/>
    </font>
    <font>
      <b/>
      <sz val="10"/>
      <name val="Century Gothic"/>
      <family val="2"/>
    </font>
    <font>
      <sz val="8"/>
      <color indexed="9"/>
      <name val="Arial"/>
      <family val="2"/>
    </font>
    <font>
      <sz val="20"/>
      <color indexed="61"/>
      <name val="GoudyLight"/>
      <family val="0"/>
    </font>
    <font>
      <sz val="8"/>
      <color indexed="9"/>
      <name val="Trebuchet MS"/>
      <family val="2"/>
    </font>
    <font>
      <sz val="12"/>
      <color indexed="9"/>
      <name val="Trebuchet MS"/>
      <family val="2"/>
    </font>
    <font>
      <b/>
      <sz val="14"/>
      <name val="Arial"/>
      <family val="2"/>
    </font>
    <font>
      <b/>
      <sz val="14"/>
      <name val="Impact"/>
      <family val="2"/>
    </font>
    <font>
      <b/>
      <sz val="10"/>
      <color indexed="61"/>
      <name val="Trebuchet MS"/>
      <family val="0"/>
    </font>
    <font>
      <sz val="10"/>
      <color indexed="61"/>
      <name val="Trebuchet MS"/>
      <family val="0"/>
    </font>
    <font>
      <b/>
      <sz val="10"/>
      <color indexed="10"/>
      <name val="Trebuchet MS"/>
      <family val="0"/>
    </font>
    <font>
      <b/>
      <sz val="16"/>
      <color indexed="9"/>
      <name val="Impact"/>
      <family val="2"/>
    </font>
    <font>
      <b/>
      <sz val="26"/>
      <color indexed="9"/>
      <name val="Impact"/>
      <family val="2"/>
    </font>
    <font>
      <b/>
      <sz val="26"/>
      <name val="Arial"/>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14"/>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40"/>
      <color indexed="9"/>
      <name val="Impact"/>
      <family val="0"/>
    </font>
    <font>
      <sz val="40"/>
      <color indexed="9"/>
      <name val="Arial"/>
      <family val="0"/>
    </font>
    <font>
      <sz val="20"/>
      <color indexed="9"/>
      <name val="Impact"/>
      <family val="0"/>
    </font>
    <font>
      <b/>
      <u val="single"/>
      <sz val="8"/>
      <color indexed="8"/>
      <name val="Arial"/>
      <family val="0"/>
    </font>
    <font>
      <sz val="8"/>
      <color indexed="8"/>
      <name val="Arial"/>
      <family val="0"/>
    </font>
    <font>
      <b/>
      <sz val="8"/>
      <color indexed="8"/>
      <name val="Arial"/>
      <family val="0"/>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8"/>
        <bgColor indexed="64"/>
      </patternFill>
    </fill>
    <fill>
      <patternFill patternType="solid">
        <fgColor indexed="45"/>
        <bgColor indexed="64"/>
      </patternFill>
    </fill>
    <fill>
      <patternFill patternType="solid">
        <fgColor indexed="47"/>
        <bgColor indexed="64"/>
      </patternFill>
    </fill>
    <fill>
      <patternFill patternType="solid">
        <fgColor indexed="61"/>
        <bgColor indexed="64"/>
      </patternFill>
    </fill>
  </fills>
  <borders count="58">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medium"/>
      <right>
        <color indexed="63"/>
      </right>
      <top style="medium"/>
      <bottom>
        <color indexed="63"/>
      </bottom>
    </border>
    <border>
      <left style="thin"/>
      <right style="thin"/>
      <top style="thin"/>
      <bottom>
        <color indexed="63"/>
      </bottom>
    </border>
    <border>
      <left style="hair"/>
      <right style="hair"/>
      <top>
        <color indexed="63"/>
      </top>
      <bottom style="hair"/>
    </border>
    <border>
      <left style="hair"/>
      <right style="medium"/>
      <top>
        <color indexed="63"/>
      </top>
      <bottom style="hair"/>
    </border>
    <border>
      <left style="hair"/>
      <right style="hair"/>
      <top style="hair"/>
      <bottom style="hair"/>
    </border>
    <border>
      <left style="hair"/>
      <right style="hair"/>
      <top style="medium"/>
      <bottom style="hair"/>
    </border>
    <border>
      <left style="medium"/>
      <right>
        <color indexed="63"/>
      </right>
      <top>
        <color indexed="63"/>
      </top>
      <bottom>
        <color indexed="63"/>
      </bottom>
    </border>
    <border>
      <left style="medium"/>
      <right style="hair"/>
      <top style="hair"/>
      <bottom style="hair"/>
    </border>
    <border>
      <left style="thin"/>
      <right style="medium"/>
      <top style="thin"/>
      <bottom>
        <color indexed="63"/>
      </bottom>
    </border>
    <border>
      <left style="hair"/>
      <right style="medium"/>
      <top style="hair"/>
      <bottom style="hair"/>
    </border>
    <border>
      <left style="hair"/>
      <right>
        <color indexed="63"/>
      </right>
      <top style="hair"/>
      <bottom style="hair"/>
    </border>
    <border>
      <left style="hair"/>
      <right>
        <color indexed="63"/>
      </right>
      <top>
        <color indexed="63"/>
      </top>
      <bottom style="hair"/>
    </border>
    <border>
      <left style="medium"/>
      <right>
        <color indexed="63"/>
      </right>
      <top>
        <color indexed="63"/>
      </top>
      <bottom style="hair"/>
    </border>
    <border>
      <left style="hair"/>
      <right style="hair"/>
      <top style="hair"/>
      <bottom style="medium"/>
    </border>
    <border>
      <left style="medium"/>
      <right style="hair"/>
      <top style="medium"/>
      <bottom style="hair"/>
    </border>
    <border>
      <left style="medium"/>
      <right style="hair"/>
      <top style="hair"/>
      <bottom style="medium"/>
    </border>
    <border>
      <left style="hair"/>
      <right style="medium"/>
      <top style="medium"/>
      <bottom style="hair"/>
    </border>
    <border>
      <left style="hair"/>
      <right style="medium"/>
      <top style="hair"/>
      <bottom style="medium"/>
    </border>
    <border>
      <left style="medium"/>
      <right style="hair"/>
      <top>
        <color indexed="63"/>
      </top>
      <bottom style="hair"/>
    </border>
    <border>
      <left style="hair"/>
      <right style="hair"/>
      <top style="hair"/>
      <bottom>
        <color indexed="63"/>
      </bottom>
    </border>
    <border>
      <left style="hair"/>
      <right style="medium"/>
      <top style="hair"/>
      <bottom>
        <color indexed="63"/>
      </bottom>
    </border>
    <border>
      <left style="thin"/>
      <right style="thin"/>
      <top style="thin"/>
      <bottom style="medium"/>
    </border>
    <border>
      <left style="thin"/>
      <right style="medium"/>
      <top style="thin"/>
      <bottom style="medium"/>
    </border>
    <border>
      <left>
        <color indexed="63"/>
      </left>
      <right style="hair"/>
      <top style="hair"/>
      <bottom style="hair"/>
    </border>
    <border>
      <left style="medium"/>
      <right style="hair"/>
      <top style="hair"/>
      <bottom>
        <color indexed="63"/>
      </bottom>
    </border>
    <border>
      <left style="medium"/>
      <right>
        <color indexed="63"/>
      </right>
      <top style="hair"/>
      <bottom style="medium"/>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color indexed="63"/>
      </left>
      <right style="thin"/>
      <top>
        <color indexed="63"/>
      </top>
      <bottom>
        <color indexed="63"/>
      </bottom>
    </border>
    <border>
      <left style="hair"/>
      <right>
        <color indexed="63"/>
      </right>
      <top style="hair"/>
      <bottom style="thin"/>
    </border>
    <border>
      <left style="medium"/>
      <right style="hair"/>
      <top style="hair"/>
      <bottom style="thin"/>
    </border>
    <border>
      <left style="hair"/>
      <right style="hair"/>
      <top style="hair"/>
      <bottom style="thin"/>
    </border>
    <border>
      <left>
        <color indexed="63"/>
      </left>
      <right>
        <color indexed="63"/>
      </right>
      <top>
        <color indexed="63"/>
      </top>
      <bottom style="thin"/>
    </border>
    <border>
      <left style="hair"/>
      <right style="medium"/>
      <top style="hair"/>
      <bottom style="thin"/>
    </border>
    <border>
      <left>
        <color indexed="63"/>
      </left>
      <right style="hair"/>
      <top>
        <color indexed="63"/>
      </top>
      <bottom style="hair"/>
    </border>
    <border>
      <left style="thin"/>
      <right style="thin"/>
      <top style="medium"/>
      <bottom style="thin"/>
    </border>
    <border>
      <left style="thin"/>
      <right style="medium"/>
      <top style="medium"/>
      <bottom style="thin"/>
    </border>
    <border>
      <left style="thin"/>
      <right style="thin"/>
      <top style="medium"/>
      <bottom>
        <color indexed="63"/>
      </bottom>
    </border>
    <border>
      <left style="thin"/>
      <right style="thin"/>
      <top>
        <color indexed="63"/>
      </top>
      <bottom>
        <color indexed="63"/>
      </bottom>
    </border>
    <border>
      <left style="thin"/>
      <right>
        <color indexed="63"/>
      </right>
      <top style="medium"/>
      <bottom style="thin"/>
    </border>
    <border>
      <left>
        <color indexed="63"/>
      </left>
      <right style="thin"/>
      <top style="medium"/>
      <bottom style="thin"/>
    </border>
    <border>
      <left style="thin"/>
      <right style="medium"/>
      <top style="medium"/>
      <bottom>
        <color indexed="63"/>
      </bottom>
    </border>
    <border>
      <left style="thin"/>
      <right style="medium"/>
      <top>
        <color indexed="63"/>
      </top>
      <bottom>
        <color indexed="63"/>
      </bottom>
    </border>
    <border>
      <left>
        <color indexed="63"/>
      </left>
      <right>
        <color indexed="63"/>
      </right>
      <top>
        <color indexed="63"/>
      </top>
      <bottom style="medium"/>
    </border>
    <border>
      <left style="medium"/>
      <right style="thin"/>
      <top style="medium"/>
      <bottom style="thin"/>
    </border>
    <border>
      <left style="medium"/>
      <right style="thin"/>
      <top style="thin"/>
      <bottom style="medium"/>
    </border>
    <border>
      <left style="thin"/>
      <right style="thin"/>
      <top>
        <color indexed="63"/>
      </top>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5" fillId="2" borderId="0" applyNumberFormat="0" applyBorder="0" applyAlignment="0" applyProtection="0"/>
    <xf numFmtId="0" fontId="75" fillId="3" borderId="0" applyNumberFormat="0" applyBorder="0" applyAlignment="0" applyProtection="0"/>
    <xf numFmtId="0" fontId="75" fillId="4" borderId="0" applyNumberFormat="0" applyBorder="0" applyAlignment="0" applyProtection="0"/>
    <xf numFmtId="0" fontId="75" fillId="5" borderId="0" applyNumberFormat="0" applyBorder="0" applyAlignment="0" applyProtection="0"/>
    <xf numFmtId="0" fontId="75" fillId="6" borderId="0" applyNumberFormat="0" applyBorder="0" applyAlignment="0" applyProtection="0"/>
    <xf numFmtId="0" fontId="75" fillId="7" borderId="0" applyNumberFormat="0" applyBorder="0" applyAlignment="0" applyProtection="0"/>
    <xf numFmtId="0" fontId="75" fillId="8" borderId="0" applyNumberFormat="0" applyBorder="0" applyAlignment="0" applyProtection="0"/>
    <xf numFmtId="0" fontId="75" fillId="9" borderId="0" applyNumberFormat="0" applyBorder="0" applyAlignment="0" applyProtection="0"/>
    <xf numFmtId="0" fontId="75" fillId="10" borderId="0" applyNumberFormat="0" applyBorder="0" applyAlignment="0" applyProtection="0"/>
    <xf numFmtId="0" fontId="75" fillId="11" borderId="0" applyNumberFormat="0" applyBorder="0" applyAlignment="0" applyProtection="0"/>
    <xf numFmtId="0" fontId="75" fillId="12" borderId="0" applyNumberFormat="0" applyBorder="0" applyAlignment="0" applyProtection="0"/>
    <xf numFmtId="0" fontId="75" fillId="13" borderId="0" applyNumberFormat="0" applyBorder="0" applyAlignment="0" applyProtection="0"/>
    <xf numFmtId="0" fontId="76" fillId="14" borderId="0" applyNumberFormat="0" applyBorder="0" applyAlignment="0" applyProtection="0"/>
    <xf numFmtId="0" fontId="76" fillId="15" borderId="0" applyNumberFormat="0" applyBorder="0" applyAlignment="0" applyProtection="0"/>
    <xf numFmtId="0" fontId="76" fillId="16" borderId="0" applyNumberFormat="0" applyBorder="0" applyAlignment="0" applyProtection="0"/>
    <xf numFmtId="0" fontId="76" fillId="17" borderId="0" applyNumberFormat="0" applyBorder="0" applyAlignment="0" applyProtection="0"/>
    <xf numFmtId="0" fontId="76" fillId="18" borderId="0" applyNumberFormat="0" applyBorder="0" applyAlignment="0" applyProtection="0"/>
    <xf numFmtId="0" fontId="76" fillId="19" borderId="0" applyNumberFormat="0" applyBorder="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79" fillId="0" borderId="1" applyNumberFormat="0" applyFill="0" applyAlignment="0" applyProtection="0"/>
    <xf numFmtId="0" fontId="80" fillId="0" borderId="2" applyNumberFormat="0" applyFill="0" applyAlignment="0" applyProtection="0"/>
    <xf numFmtId="0" fontId="81" fillId="0" borderId="3" applyNumberFormat="0" applyFill="0" applyAlignment="0" applyProtection="0"/>
    <xf numFmtId="0" fontId="82" fillId="0" borderId="4" applyNumberFormat="0" applyFill="0" applyAlignment="0" applyProtection="0"/>
    <xf numFmtId="0" fontId="8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83" fillId="20" borderId="5" applyNumberFormat="0" applyAlignment="0" applyProtection="0"/>
    <xf numFmtId="0" fontId="84" fillId="21" borderId="6" applyNumberFormat="0" applyAlignment="0" applyProtection="0"/>
    <xf numFmtId="0" fontId="85" fillId="20" borderId="6" applyNumberFormat="0" applyAlignment="0" applyProtection="0"/>
    <xf numFmtId="0" fontId="86" fillId="22" borderId="7" applyNumberFormat="0" applyAlignment="0" applyProtection="0"/>
    <xf numFmtId="0" fontId="87" fillId="23" borderId="0" applyNumberFormat="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88" fillId="24" borderId="0" applyNumberFormat="0" applyBorder="0" applyAlignment="0" applyProtection="0"/>
    <xf numFmtId="1" fontId="0" fillId="0" borderId="0">
      <alignment/>
      <protection/>
    </xf>
    <xf numFmtId="0" fontId="0" fillId="0" borderId="0">
      <alignment/>
      <protection/>
    </xf>
    <xf numFmtId="0" fontId="0" fillId="25" borderId="8" applyNumberFormat="0" applyFont="0" applyAlignment="0" applyProtection="0"/>
    <xf numFmtId="0" fontId="89" fillId="26" borderId="0" applyNumberFormat="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90" fillId="0" borderId="9" applyNumberFormat="0" applyFill="0" applyAlignment="0" applyProtection="0"/>
    <xf numFmtId="0" fontId="91" fillId="0" borderId="0" applyNumberFormat="0" applyFill="0" applyBorder="0" applyAlignment="0" applyProtection="0"/>
    <xf numFmtId="0" fontId="76" fillId="27" borderId="0" applyNumberFormat="0" applyBorder="0" applyAlignment="0" applyProtection="0"/>
    <xf numFmtId="0" fontId="76" fillId="28" borderId="0" applyNumberFormat="0" applyBorder="0" applyAlignment="0" applyProtection="0"/>
    <xf numFmtId="0" fontId="76" fillId="29" borderId="0" applyNumberFormat="0" applyBorder="0" applyAlignment="0" applyProtection="0"/>
    <xf numFmtId="0" fontId="76" fillId="30" borderId="0" applyNumberFormat="0" applyBorder="0" applyAlignment="0" applyProtection="0"/>
    <xf numFmtId="0" fontId="76" fillId="31" borderId="0" applyNumberFormat="0" applyBorder="0" applyAlignment="0" applyProtection="0"/>
    <xf numFmtId="0" fontId="76" fillId="32" borderId="0" applyNumberFormat="0" applyBorder="0" applyAlignment="0" applyProtection="0"/>
    <xf numFmtId="9" fontId="0" fillId="0" borderId="0" applyFont="0" applyFill="0" applyBorder="0" applyAlignment="0" applyProtection="0"/>
  </cellStyleXfs>
  <cellXfs count="497">
    <xf numFmtId="0" fontId="0" fillId="0" borderId="0" xfId="0" applyAlignment="1">
      <alignment/>
    </xf>
    <xf numFmtId="179" fontId="3" fillId="0" borderId="0" xfId="40" applyFont="1" applyFill="1" applyBorder="1" applyAlignment="1" applyProtection="1">
      <alignment vertical="center"/>
      <protection/>
    </xf>
    <xf numFmtId="0" fontId="3" fillId="0" borderId="0" xfId="0" applyFont="1" applyFill="1" applyBorder="1" applyAlignment="1" applyProtection="1">
      <alignment vertical="center"/>
      <protection locked="0"/>
    </xf>
    <xf numFmtId="0" fontId="5" fillId="0" borderId="0" xfId="0" applyFont="1" applyFill="1" applyBorder="1" applyAlignment="1" applyProtection="1">
      <alignment horizontal="center" vertical="center"/>
      <protection locked="0"/>
    </xf>
    <xf numFmtId="0" fontId="6" fillId="0" borderId="0" xfId="0" applyFont="1" applyFill="1" applyBorder="1" applyAlignment="1" applyProtection="1">
      <alignment vertical="center"/>
      <protection locked="0"/>
    </xf>
    <xf numFmtId="0" fontId="3" fillId="0" borderId="0" xfId="0" applyNumberFormat="1" applyFont="1" applyFill="1" applyBorder="1" applyAlignment="1" applyProtection="1">
      <alignment horizontal="center" vertical="center"/>
      <protection/>
    </xf>
    <xf numFmtId="0" fontId="6" fillId="0" borderId="0" xfId="0" applyNumberFormat="1" applyFont="1" applyFill="1" applyBorder="1" applyAlignment="1" applyProtection="1">
      <alignment horizontal="center" vertical="center"/>
      <protection locked="0"/>
    </xf>
    <xf numFmtId="0" fontId="9" fillId="0" borderId="0" xfId="0" applyFont="1" applyFill="1" applyBorder="1" applyAlignment="1" applyProtection="1">
      <alignment vertical="center"/>
      <protection locked="0"/>
    </xf>
    <xf numFmtId="0" fontId="9" fillId="0" borderId="0" xfId="0" applyNumberFormat="1" applyFont="1" applyFill="1" applyBorder="1" applyAlignment="1" applyProtection="1">
      <alignment horizontal="center" vertical="center"/>
      <protection locked="0"/>
    </xf>
    <xf numFmtId="0" fontId="11" fillId="0" borderId="0" xfId="0" applyFont="1" applyFill="1" applyBorder="1" applyAlignment="1" applyProtection="1">
      <alignment vertical="center"/>
      <protection locked="0"/>
    </xf>
    <xf numFmtId="184" fontId="3" fillId="0" borderId="0" xfId="0" applyNumberFormat="1" applyFont="1" applyFill="1" applyBorder="1" applyAlignment="1" applyProtection="1">
      <alignment horizontal="center" vertical="center"/>
      <protection/>
    </xf>
    <xf numFmtId="184" fontId="9" fillId="0" borderId="0" xfId="0" applyNumberFormat="1" applyFont="1" applyFill="1" applyBorder="1" applyAlignment="1" applyProtection="1">
      <alignment horizontal="center" vertical="center"/>
      <protection locked="0"/>
    </xf>
    <xf numFmtId="184" fontId="6" fillId="0" borderId="0" xfId="0" applyNumberFormat="1" applyFont="1" applyFill="1" applyBorder="1" applyAlignment="1" applyProtection="1">
      <alignment horizontal="center" vertical="center"/>
      <protection locked="0"/>
    </xf>
    <xf numFmtId="0" fontId="3" fillId="0" borderId="0" xfId="0" applyFont="1" applyFill="1" applyBorder="1" applyAlignment="1" applyProtection="1">
      <alignment horizontal="left" vertical="center"/>
      <protection/>
    </xf>
    <xf numFmtId="0" fontId="9" fillId="0" borderId="0" xfId="0" applyFont="1" applyFill="1" applyBorder="1" applyAlignment="1" applyProtection="1">
      <alignment horizontal="left" vertical="center"/>
      <protection locked="0"/>
    </xf>
    <xf numFmtId="0" fontId="6" fillId="0" borderId="0" xfId="0" applyFont="1" applyFill="1" applyBorder="1" applyAlignment="1" applyProtection="1">
      <alignment horizontal="left" vertical="center"/>
      <protection locked="0"/>
    </xf>
    <xf numFmtId="0" fontId="10" fillId="0" borderId="0" xfId="0" applyFont="1" applyBorder="1" applyAlignment="1">
      <alignment horizontal="center" vertical="center"/>
    </xf>
    <xf numFmtId="187" fontId="8" fillId="0" borderId="0" xfId="0" applyNumberFormat="1" applyFont="1" applyFill="1" applyBorder="1" applyAlignment="1" applyProtection="1">
      <alignment horizontal="center" vertical="center"/>
      <protection locked="0"/>
    </xf>
    <xf numFmtId="0" fontId="12" fillId="0" borderId="0" xfId="0" applyNumberFormat="1" applyFont="1" applyFill="1" applyBorder="1" applyAlignment="1" applyProtection="1">
      <alignment horizontal="center" vertical="center"/>
      <protection locked="0"/>
    </xf>
    <xf numFmtId="0" fontId="12" fillId="0" borderId="0" xfId="0" applyFont="1" applyFill="1" applyBorder="1" applyAlignment="1" applyProtection="1">
      <alignment vertical="center"/>
      <protection locked="0"/>
    </xf>
    <xf numFmtId="192" fontId="3" fillId="0" borderId="0" xfId="0" applyNumberFormat="1" applyFont="1" applyFill="1" applyBorder="1" applyAlignment="1" applyProtection="1">
      <alignment horizontal="right" vertical="center"/>
      <protection/>
    </xf>
    <xf numFmtId="192" fontId="9" fillId="0" borderId="0" xfId="0" applyNumberFormat="1" applyFont="1" applyFill="1" applyBorder="1" applyAlignment="1" applyProtection="1">
      <alignment horizontal="right" vertical="center"/>
      <protection locked="0"/>
    </xf>
    <xf numFmtId="192" fontId="6" fillId="0" borderId="0" xfId="0" applyNumberFormat="1" applyFont="1" applyFill="1" applyBorder="1" applyAlignment="1" applyProtection="1">
      <alignment horizontal="right" vertical="center"/>
      <protection locked="0"/>
    </xf>
    <xf numFmtId="0" fontId="0" fillId="0" borderId="0" xfId="0" applyFont="1" applyBorder="1" applyAlignment="1">
      <alignment horizontal="center"/>
    </xf>
    <xf numFmtId="0" fontId="0" fillId="0" borderId="0" xfId="0" applyBorder="1" applyAlignment="1">
      <alignment horizontal="center" vertical="center"/>
    </xf>
    <xf numFmtId="1" fontId="21" fillId="0" borderId="0" xfId="0" applyNumberFormat="1" applyFont="1" applyFill="1" applyBorder="1" applyAlignment="1" applyProtection="1">
      <alignment horizontal="right" vertical="center"/>
      <protection/>
    </xf>
    <xf numFmtId="1" fontId="21" fillId="0" borderId="0" xfId="0" applyNumberFormat="1" applyFont="1" applyFill="1" applyBorder="1" applyAlignment="1" applyProtection="1">
      <alignment horizontal="right" vertical="center"/>
      <protection locked="0"/>
    </xf>
    <xf numFmtId="0" fontId="0" fillId="0" borderId="0" xfId="0" applyAlignment="1">
      <alignment vertical="center" readingOrder="1"/>
    </xf>
    <xf numFmtId="1" fontId="23" fillId="0" borderId="10" xfId="0" applyNumberFormat="1" applyFont="1" applyFill="1" applyBorder="1" applyAlignment="1" applyProtection="1">
      <alignment horizontal="center" vertical="center" wrapText="1"/>
      <protection/>
    </xf>
    <xf numFmtId="193" fontId="24" fillId="0" borderId="11" xfId="0" applyNumberFormat="1" applyFont="1" applyFill="1" applyBorder="1" applyAlignment="1" applyProtection="1">
      <alignment horizontal="center" vertical="center" wrapText="1"/>
      <protection/>
    </xf>
    <xf numFmtId="0" fontId="16" fillId="0" borderId="0" xfId="0" applyFont="1" applyBorder="1" applyAlignment="1">
      <alignment vertical="center"/>
    </xf>
    <xf numFmtId="0" fontId="24" fillId="0" borderId="0" xfId="0" applyFont="1" applyFill="1" applyBorder="1" applyAlignment="1">
      <alignment horizontal="center" vertical="center"/>
    </xf>
    <xf numFmtId="0" fontId="0" fillId="0" borderId="0" xfId="0" applyBorder="1" applyAlignment="1">
      <alignment vertical="center"/>
    </xf>
    <xf numFmtId="192" fontId="0" fillId="0" borderId="0" xfId="0" applyNumberFormat="1" applyBorder="1" applyAlignment="1">
      <alignment horizontal="right" vertical="center" indent="1"/>
    </xf>
    <xf numFmtId="0" fontId="21" fillId="0" borderId="0" xfId="0" applyFont="1" applyBorder="1" applyAlignment="1">
      <alignment horizontal="right" vertical="center"/>
    </xf>
    <xf numFmtId="0" fontId="21" fillId="0" borderId="10" xfId="0" applyFont="1" applyFill="1" applyBorder="1" applyAlignment="1">
      <alignment horizontal="center" vertical="center"/>
    </xf>
    <xf numFmtId="184" fontId="15" fillId="33" borderId="12" xfId="0" applyNumberFormat="1" applyFont="1" applyFill="1" applyBorder="1" applyAlignment="1">
      <alignment horizontal="center" vertical="center"/>
    </xf>
    <xf numFmtId="0" fontId="15" fillId="33" borderId="12" xfId="0" applyFont="1" applyFill="1" applyBorder="1" applyAlignment="1">
      <alignment horizontal="center" vertical="center"/>
    </xf>
    <xf numFmtId="3" fontId="15" fillId="33" borderId="12" xfId="0" applyNumberFormat="1" applyFont="1" applyFill="1" applyBorder="1" applyAlignment="1">
      <alignment horizontal="center" vertical="center"/>
    </xf>
    <xf numFmtId="192" fontId="15" fillId="33" borderId="13" xfId="0" applyNumberFormat="1" applyFont="1" applyFill="1" applyBorder="1" applyAlignment="1">
      <alignment horizontal="right" vertical="center"/>
    </xf>
    <xf numFmtId="0" fontId="31" fillId="0" borderId="0" xfId="0" applyFont="1" applyFill="1" applyBorder="1" applyAlignment="1" applyProtection="1">
      <alignment vertical="center"/>
      <protection locked="0"/>
    </xf>
    <xf numFmtId="184" fontId="12" fillId="0" borderId="14" xfId="0" applyNumberFormat="1" applyFont="1" applyFill="1" applyBorder="1" applyAlignment="1" applyProtection="1">
      <alignment horizontal="center" vertical="center"/>
      <protection locked="0"/>
    </xf>
    <xf numFmtId="184" fontId="12" fillId="0" borderId="14" xfId="0" applyNumberFormat="1" applyFont="1" applyFill="1" applyBorder="1" applyAlignment="1">
      <alignment horizontal="center" vertical="center"/>
    </xf>
    <xf numFmtId="0" fontId="12" fillId="0" borderId="14" xfId="0" applyFont="1" applyFill="1" applyBorder="1" applyAlignment="1">
      <alignment horizontal="center" vertical="center"/>
    </xf>
    <xf numFmtId="0" fontId="12" fillId="0" borderId="14" xfId="0" applyFont="1" applyFill="1" applyBorder="1" applyAlignment="1" applyProtection="1">
      <alignment horizontal="left" vertical="center"/>
      <protection locked="0"/>
    </xf>
    <xf numFmtId="184" fontId="12" fillId="0" borderId="14" xfId="0" applyNumberFormat="1" applyFont="1" applyFill="1" applyBorder="1" applyAlignment="1" applyProtection="1">
      <alignment horizontal="left" vertical="center"/>
      <protection locked="0"/>
    </xf>
    <xf numFmtId="0" fontId="12" fillId="0" borderId="14" xfId="0" applyFont="1" applyFill="1" applyBorder="1" applyAlignment="1">
      <alignment horizontal="left" vertical="center"/>
    </xf>
    <xf numFmtId="49" fontId="12" fillId="0" borderId="14" xfId="0" applyNumberFormat="1" applyFont="1" applyFill="1" applyBorder="1" applyAlignment="1" applyProtection="1">
      <alignment horizontal="left" vertical="center"/>
      <protection locked="0"/>
    </xf>
    <xf numFmtId="0" fontId="12" fillId="0" borderId="14" xfId="0" applyFont="1" applyFill="1" applyBorder="1" applyAlignment="1" applyProtection="1">
      <alignment horizontal="left" vertical="center"/>
      <protection/>
    </xf>
    <xf numFmtId="0" fontId="30" fillId="0" borderId="0" xfId="0" applyFont="1" applyFill="1" applyBorder="1" applyAlignment="1">
      <alignment horizontal="center" vertical="center"/>
    </xf>
    <xf numFmtId="184" fontId="0" fillId="0" borderId="0" xfId="0" applyNumberFormat="1" applyAlignment="1">
      <alignment horizontal="center" vertical="center"/>
    </xf>
    <xf numFmtId="184" fontId="12" fillId="0" borderId="15" xfId="0" applyNumberFormat="1" applyFont="1" applyFill="1" applyBorder="1" applyAlignment="1">
      <alignment horizontal="center" vertical="center"/>
    </xf>
    <xf numFmtId="0" fontId="22" fillId="0" borderId="16" xfId="0" applyFont="1" applyFill="1" applyBorder="1" applyAlignment="1">
      <alignment horizontal="center" vertical="center"/>
    </xf>
    <xf numFmtId="0" fontId="14" fillId="33" borderId="12" xfId="0" applyFont="1" applyFill="1" applyBorder="1" applyAlignment="1">
      <alignment horizontal="center" vertical="center"/>
    </xf>
    <xf numFmtId="3" fontId="14" fillId="33" borderId="12" xfId="0" applyNumberFormat="1" applyFont="1" applyFill="1" applyBorder="1" applyAlignment="1">
      <alignment horizontal="center" vertical="center"/>
    </xf>
    <xf numFmtId="0" fontId="12" fillId="0" borderId="17" xfId="0" applyFont="1" applyFill="1" applyBorder="1" applyAlignment="1" applyProtection="1">
      <alignment horizontal="left" vertical="center"/>
      <protection locked="0"/>
    </xf>
    <xf numFmtId="0" fontId="12" fillId="0" borderId="17" xfId="0" applyFont="1" applyFill="1" applyBorder="1" applyAlignment="1">
      <alignment horizontal="left" vertical="center"/>
    </xf>
    <xf numFmtId="49" fontId="12" fillId="0" borderId="17" xfId="0" applyNumberFormat="1" applyFont="1" applyFill="1" applyBorder="1" applyAlignment="1" applyProtection="1">
      <alignment horizontal="left" vertical="center"/>
      <protection locked="0"/>
    </xf>
    <xf numFmtId="0" fontId="12" fillId="0" borderId="14" xfId="0" applyNumberFormat="1" applyFont="1" applyFill="1" applyBorder="1" applyAlignment="1" applyProtection="1">
      <alignment horizontal="center" vertical="center"/>
      <protection locked="0"/>
    </xf>
    <xf numFmtId="192" fontId="24" fillId="0" borderId="11" xfId="0" applyNumberFormat="1" applyFont="1" applyFill="1" applyBorder="1" applyAlignment="1" applyProtection="1">
      <alignment horizontal="center" wrapText="1"/>
      <protection/>
    </xf>
    <xf numFmtId="192" fontId="24" fillId="0" borderId="18" xfId="0" applyNumberFormat="1" applyFont="1" applyFill="1" applyBorder="1" applyAlignment="1" applyProtection="1">
      <alignment horizontal="center" wrapText="1"/>
      <protection/>
    </xf>
    <xf numFmtId="184" fontId="12" fillId="0" borderId="14" xfId="51" applyNumberFormat="1" applyFont="1" applyFill="1" applyBorder="1" applyAlignment="1" applyProtection="1">
      <alignment horizontal="center" vertical="center"/>
      <protection/>
    </xf>
    <xf numFmtId="0" fontId="12" fillId="0" borderId="17" xfId="0" applyNumberFormat="1" applyFont="1" applyFill="1" applyBorder="1" applyAlignment="1" applyProtection="1">
      <alignment horizontal="left" vertical="center"/>
      <protection locked="0"/>
    </xf>
    <xf numFmtId="0" fontId="12" fillId="0" borderId="14" xfId="0" applyFont="1" applyFill="1" applyBorder="1" applyAlignment="1" applyProtection="1">
      <alignment horizontal="center" vertical="center"/>
      <protection locked="0"/>
    </xf>
    <xf numFmtId="49" fontId="12" fillId="0" borderId="14" xfId="0" applyNumberFormat="1" applyFont="1" applyFill="1" applyBorder="1" applyAlignment="1" applyProtection="1">
      <alignment horizontal="center" vertical="center"/>
      <protection locked="0"/>
    </xf>
    <xf numFmtId="3" fontId="24" fillId="0" borderId="0" xfId="0" applyNumberFormat="1" applyFont="1" applyFill="1" applyBorder="1" applyAlignment="1">
      <alignment horizontal="center" vertical="center"/>
    </xf>
    <xf numFmtId="3" fontId="30" fillId="0" borderId="0" xfId="0" applyNumberFormat="1" applyFont="1" applyFill="1" applyBorder="1" applyAlignment="1">
      <alignment horizontal="center" vertical="center"/>
    </xf>
    <xf numFmtId="3" fontId="0" fillId="0" borderId="0" xfId="0" applyNumberFormat="1" applyBorder="1" applyAlignment="1">
      <alignment vertical="center"/>
    </xf>
    <xf numFmtId="4" fontId="24" fillId="0" borderId="0" xfId="0" applyNumberFormat="1" applyFont="1" applyFill="1" applyBorder="1" applyAlignment="1">
      <alignment horizontal="center" vertical="center"/>
    </xf>
    <xf numFmtId="4" fontId="30" fillId="0" borderId="0" xfId="0" applyNumberFormat="1" applyFont="1" applyFill="1" applyBorder="1" applyAlignment="1">
      <alignment horizontal="center" vertical="center"/>
    </xf>
    <xf numFmtId="4" fontId="0" fillId="0" borderId="0" xfId="0" applyNumberFormat="1" applyBorder="1" applyAlignment="1">
      <alignment vertical="center"/>
    </xf>
    <xf numFmtId="4" fontId="16" fillId="0" borderId="0" xfId="0" applyNumberFormat="1" applyFont="1" applyFill="1" applyBorder="1" applyAlignment="1">
      <alignment vertical="center"/>
    </xf>
    <xf numFmtId="3" fontId="16" fillId="0" borderId="0" xfId="0" applyNumberFormat="1" applyFont="1" applyFill="1" applyBorder="1" applyAlignment="1">
      <alignment vertical="center"/>
    </xf>
    <xf numFmtId="0" fontId="0" fillId="0" borderId="0" xfId="0" applyAlignment="1">
      <alignment horizontal="center" vertical="center"/>
    </xf>
    <xf numFmtId="192" fontId="0" fillId="0" borderId="0" xfId="0" applyNumberFormat="1" applyAlignment="1">
      <alignment horizontal="right" vertical="center"/>
    </xf>
    <xf numFmtId="192" fontId="15" fillId="33" borderId="12" xfId="0" applyNumberFormat="1" applyFont="1" applyFill="1" applyBorder="1" applyAlignment="1">
      <alignment horizontal="right" vertical="center"/>
    </xf>
    <xf numFmtId="0" fontId="12" fillId="0" borderId="14" xfId="0" applyFont="1" applyFill="1" applyBorder="1" applyAlignment="1" applyProtection="1">
      <alignment horizontal="center" vertical="center"/>
      <protection/>
    </xf>
    <xf numFmtId="0" fontId="12" fillId="0" borderId="17" xfId="51" applyFont="1" applyFill="1" applyBorder="1" applyAlignment="1" applyProtection="1">
      <alignment horizontal="left" vertical="center"/>
      <protection/>
    </xf>
    <xf numFmtId="0" fontId="12" fillId="0" borderId="14" xfId="51" applyNumberFormat="1" applyFont="1" applyFill="1" applyBorder="1" applyAlignment="1" applyProtection="1">
      <alignment horizontal="center" vertical="center"/>
      <protection/>
    </xf>
    <xf numFmtId="0" fontId="12" fillId="0" borderId="14" xfId="51" applyFont="1" applyFill="1" applyBorder="1" applyAlignment="1" applyProtection="1">
      <alignment horizontal="center" vertical="center"/>
      <protection/>
    </xf>
    <xf numFmtId="0" fontId="12" fillId="0" borderId="14" xfId="51" applyFont="1" applyFill="1" applyBorder="1" applyAlignment="1" applyProtection="1">
      <alignment horizontal="left" vertical="center"/>
      <protection/>
    </xf>
    <xf numFmtId="192" fontId="12" fillId="0" borderId="19" xfId="40" applyNumberFormat="1" applyFont="1" applyFill="1" applyBorder="1" applyAlignment="1" applyProtection="1">
      <alignment horizontal="right" vertical="center"/>
      <protection/>
    </xf>
    <xf numFmtId="0" fontId="0" fillId="0" borderId="0" xfId="0" applyAlignment="1">
      <alignment horizontal="center"/>
    </xf>
    <xf numFmtId="0" fontId="32" fillId="0" borderId="20" xfId="0" applyFont="1" applyBorder="1" applyAlignment="1" applyProtection="1">
      <alignment vertical="center"/>
      <protection locked="0"/>
    </xf>
    <xf numFmtId="0" fontId="32" fillId="0" borderId="21" xfId="0" applyFont="1" applyBorder="1" applyAlignment="1" applyProtection="1">
      <alignment vertical="center"/>
      <protection locked="0"/>
    </xf>
    <xf numFmtId="200" fontId="32" fillId="0" borderId="14" xfId="40" applyNumberFormat="1" applyFont="1" applyFill="1" applyBorder="1" applyAlignment="1" applyProtection="1">
      <alignment horizontal="right" vertical="center"/>
      <protection locked="0"/>
    </xf>
    <xf numFmtId="200" fontId="32" fillId="0" borderId="14" xfId="0" applyNumberFormat="1" applyFont="1" applyFill="1" applyBorder="1" applyAlignment="1">
      <alignment horizontal="right" vertical="center"/>
    </xf>
    <xf numFmtId="14" fontId="12" fillId="0" borderId="14" xfId="0" applyNumberFormat="1" applyFont="1" applyFill="1" applyBorder="1" applyAlignment="1">
      <alignment horizontal="left" vertical="center"/>
    </xf>
    <xf numFmtId="1" fontId="12" fillId="0" borderId="14" xfId="0" applyNumberFormat="1" applyFont="1" applyFill="1" applyBorder="1" applyAlignment="1" applyProtection="1">
      <alignment horizontal="center" vertical="center"/>
      <protection locked="0"/>
    </xf>
    <xf numFmtId="1" fontId="12" fillId="0" borderId="14" xfId="0" applyNumberFormat="1" applyFont="1" applyFill="1" applyBorder="1" applyAlignment="1">
      <alignment horizontal="center" vertical="center"/>
    </xf>
    <xf numFmtId="200" fontId="24" fillId="0" borderId="11" xfId="0" applyNumberFormat="1" applyFont="1" applyFill="1" applyBorder="1" applyAlignment="1" applyProtection="1">
      <alignment horizontal="center" vertical="center" wrapText="1"/>
      <protection/>
    </xf>
    <xf numFmtId="0" fontId="21" fillId="0" borderId="22" xfId="0" applyFont="1" applyFill="1" applyBorder="1" applyAlignment="1" applyProtection="1">
      <alignment horizontal="right" vertical="center"/>
      <protection/>
    </xf>
    <xf numFmtId="193" fontId="10" fillId="0" borderId="0" xfId="0" applyNumberFormat="1" applyFont="1" applyBorder="1" applyAlignment="1">
      <alignment horizontal="right" vertical="center" wrapText="1"/>
    </xf>
    <xf numFmtId="193" fontId="32" fillId="0" borderId="14" xfId="40" applyNumberFormat="1" applyFont="1" applyFill="1" applyBorder="1" applyAlignment="1" applyProtection="1">
      <alignment horizontal="right" vertical="center"/>
      <protection locked="0"/>
    </xf>
    <xf numFmtId="200" fontId="32" fillId="0" borderId="14" xfId="40" applyNumberFormat="1" applyFont="1" applyFill="1" applyBorder="1" applyAlignment="1" applyProtection="1">
      <alignment horizontal="right" vertical="center"/>
      <protection/>
    </xf>
    <xf numFmtId="193" fontId="32" fillId="0" borderId="14" xfId="0" applyNumberFormat="1" applyFont="1" applyFill="1" applyBorder="1" applyAlignment="1">
      <alignment horizontal="right" vertical="center"/>
    </xf>
    <xf numFmtId="200" fontId="32" fillId="0" borderId="14" xfId="0" applyNumberFormat="1" applyFont="1" applyFill="1" applyBorder="1" applyAlignment="1" applyProtection="1">
      <alignment horizontal="right" vertical="center"/>
      <protection/>
    </xf>
    <xf numFmtId="184" fontId="12" fillId="0" borderId="23" xfId="0" applyNumberFormat="1" applyFont="1" applyFill="1" applyBorder="1" applyAlignment="1">
      <alignment horizontal="center" vertical="center"/>
    </xf>
    <xf numFmtId="193" fontId="32" fillId="0" borderId="14" xfId="0" applyNumberFormat="1" applyFont="1" applyFill="1" applyBorder="1" applyAlignment="1" applyProtection="1">
      <alignment horizontal="right" vertical="center"/>
      <protection/>
    </xf>
    <xf numFmtId="200" fontId="18" fillId="0" borderId="0" xfId="0" applyNumberFormat="1" applyFont="1" applyFill="1" applyBorder="1" applyAlignment="1" applyProtection="1">
      <alignment horizontal="right" vertical="center"/>
      <protection/>
    </xf>
    <xf numFmtId="200" fontId="14" fillId="33" borderId="12" xfId="0" applyNumberFormat="1" applyFont="1" applyFill="1" applyBorder="1" applyAlignment="1">
      <alignment horizontal="right" vertical="center"/>
    </xf>
    <xf numFmtId="200" fontId="19" fillId="0" borderId="0" xfId="0" applyNumberFormat="1" applyFont="1" applyFill="1" applyBorder="1" applyAlignment="1" applyProtection="1">
      <alignment horizontal="right" vertical="center"/>
      <protection locked="0"/>
    </xf>
    <xf numFmtId="200" fontId="20" fillId="0" borderId="0" xfId="0" applyNumberFormat="1" applyFont="1" applyFill="1" applyBorder="1" applyAlignment="1" applyProtection="1">
      <alignment horizontal="right" vertical="center"/>
      <protection locked="0"/>
    </xf>
    <xf numFmtId="200" fontId="10" fillId="0" borderId="0" xfId="0" applyNumberFormat="1" applyFont="1" applyAlignment="1">
      <alignment horizontal="right" vertical="center"/>
    </xf>
    <xf numFmtId="200" fontId="4" fillId="0" borderId="0" xfId="0" applyNumberFormat="1" applyFont="1" applyFill="1" applyBorder="1" applyAlignment="1" applyProtection="1">
      <alignment horizontal="right" vertical="center"/>
      <protection/>
    </xf>
    <xf numFmtId="200" fontId="15" fillId="33" borderId="12" xfId="0" applyNumberFormat="1" applyFont="1" applyFill="1" applyBorder="1" applyAlignment="1">
      <alignment horizontal="right" vertical="center"/>
    </xf>
    <xf numFmtId="200" fontId="6" fillId="0" borderId="0" xfId="0" applyNumberFormat="1" applyFont="1" applyFill="1" applyBorder="1" applyAlignment="1" applyProtection="1">
      <alignment horizontal="right" vertical="center"/>
      <protection locked="0"/>
    </xf>
    <xf numFmtId="200" fontId="9" fillId="0" borderId="0" xfId="40" applyNumberFormat="1" applyFont="1" applyFill="1" applyBorder="1" applyAlignment="1" applyProtection="1">
      <alignment horizontal="right" vertical="center"/>
      <protection/>
    </xf>
    <xf numFmtId="200" fontId="0" fillId="0" borderId="0" xfId="0" applyNumberFormat="1" applyFont="1" applyAlignment="1">
      <alignment horizontal="right" vertical="center"/>
    </xf>
    <xf numFmtId="193" fontId="4" fillId="0" borderId="0" xfId="0" applyNumberFormat="1" applyFont="1" applyFill="1" applyBorder="1" applyAlignment="1" applyProtection="1">
      <alignment horizontal="right" vertical="center"/>
      <protection/>
    </xf>
    <xf numFmtId="193" fontId="15" fillId="33" borderId="12" xfId="0" applyNumberFormat="1" applyFont="1" applyFill="1" applyBorder="1" applyAlignment="1">
      <alignment horizontal="right" vertical="center"/>
    </xf>
    <xf numFmtId="193" fontId="6" fillId="0" borderId="0" xfId="0" applyNumberFormat="1" applyFont="1" applyFill="1" applyBorder="1" applyAlignment="1" applyProtection="1">
      <alignment horizontal="right" vertical="center"/>
      <protection locked="0"/>
    </xf>
    <xf numFmtId="193" fontId="9" fillId="0" borderId="0" xfId="0" applyNumberFormat="1" applyFont="1" applyFill="1" applyBorder="1" applyAlignment="1" applyProtection="1">
      <alignment horizontal="right" vertical="center"/>
      <protection locked="0"/>
    </xf>
    <xf numFmtId="193" fontId="0" fillId="0" borderId="0" xfId="0" applyNumberFormat="1" applyFont="1" applyAlignment="1">
      <alignment horizontal="right" vertical="center"/>
    </xf>
    <xf numFmtId="193" fontId="0" fillId="0" borderId="0" xfId="0" applyNumberFormat="1" applyFont="1" applyAlignment="1">
      <alignment horizontal="right" vertical="center"/>
    </xf>
    <xf numFmtId="184" fontId="0" fillId="0" borderId="0" xfId="0" applyNumberFormat="1" applyAlignment="1">
      <alignment horizontal="center"/>
    </xf>
    <xf numFmtId="1" fontId="25" fillId="0" borderId="16" xfId="0" applyNumberFormat="1" applyFont="1" applyFill="1" applyBorder="1" applyAlignment="1" applyProtection="1">
      <alignment horizontal="center" vertical="center" wrapText="1"/>
      <protection/>
    </xf>
    <xf numFmtId="193" fontId="32" fillId="0" borderId="14" xfId="40" applyNumberFormat="1" applyFont="1" applyFill="1" applyBorder="1" applyAlignment="1" applyProtection="1">
      <alignment horizontal="right" vertical="center"/>
      <protection/>
    </xf>
    <xf numFmtId="200" fontId="32" fillId="0" borderId="14" xfId="51" applyNumberFormat="1" applyFont="1" applyFill="1" applyBorder="1" applyAlignment="1">
      <alignment horizontal="right" vertical="center"/>
      <protection/>
    </xf>
    <xf numFmtId="0" fontId="12" fillId="0" borderId="24" xfId="0" applyFont="1" applyFill="1" applyBorder="1" applyAlignment="1">
      <alignment horizontal="left" vertical="center"/>
    </xf>
    <xf numFmtId="14" fontId="12" fillId="0" borderId="15" xfId="0" applyNumberFormat="1" applyFont="1" applyFill="1" applyBorder="1" applyAlignment="1">
      <alignment horizontal="left" vertical="center"/>
    </xf>
    <xf numFmtId="0" fontId="12" fillId="0" borderId="15" xfId="0" applyFont="1" applyFill="1" applyBorder="1" applyAlignment="1">
      <alignment horizontal="center" vertical="center"/>
    </xf>
    <xf numFmtId="0" fontId="9" fillId="0" borderId="0" xfId="0" applyNumberFormat="1" applyFont="1" applyFill="1" applyBorder="1" applyAlignment="1" applyProtection="1">
      <alignment horizontal="right" vertical="center"/>
      <protection locked="0"/>
    </xf>
    <xf numFmtId="0" fontId="0" fillId="0" borderId="0" xfId="0" applyBorder="1" applyAlignment="1">
      <alignment horizontal="right" vertical="center"/>
    </xf>
    <xf numFmtId="0" fontId="9" fillId="0" borderId="0" xfId="0" applyFont="1" applyBorder="1" applyAlignment="1">
      <alignment horizontal="right" vertical="center"/>
    </xf>
    <xf numFmtId="0" fontId="22" fillId="33" borderId="0" xfId="0" applyFont="1" applyFill="1" applyBorder="1" applyAlignment="1">
      <alignment horizontal="right" vertical="center"/>
    </xf>
    <xf numFmtId="0" fontId="34" fillId="33" borderId="0" xfId="0" applyFont="1" applyFill="1" applyBorder="1" applyAlignment="1">
      <alignment vertical="center"/>
    </xf>
    <xf numFmtId="0" fontId="34" fillId="33" borderId="0" xfId="0" applyFont="1" applyFill="1" applyBorder="1" applyAlignment="1">
      <alignment horizontal="center" vertical="center"/>
    </xf>
    <xf numFmtId="200" fontId="34" fillId="33" borderId="0" xfId="0" applyNumberFormat="1" applyFont="1" applyFill="1" applyAlignment="1">
      <alignment/>
    </xf>
    <xf numFmtId="193" fontId="34" fillId="33" borderId="0" xfId="0" applyNumberFormat="1" applyFont="1" applyFill="1" applyAlignment="1">
      <alignment/>
    </xf>
    <xf numFmtId="200" fontId="14" fillId="33" borderId="12" xfId="0" applyNumberFormat="1" applyFont="1" applyFill="1" applyBorder="1" applyAlignment="1">
      <alignment vertical="center"/>
    </xf>
    <xf numFmtId="193" fontId="14" fillId="33" borderId="12" xfId="0" applyNumberFormat="1" applyFont="1" applyFill="1" applyBorder="1" applyAlignment="1">
      <alignment vertical="center"/>
    </xf>
    <xf numFmtId="0" fontId="12" fillId="0" borderId="25" xfId="0" applyFont="1" applyFill="1" applyBorder="1" applyAlignment="1">
      <alignment horizontal="left" vertical="center"/>
    </xf>
    <xf numFmtId="0" fontId="12" fillId="0" borderId="23" xfId="0" applyFont="1" applyFill="1" applyBorder="1" applyAlignment="1">
      <alignment horizontal="center" vertical="center"/>
    </xf>
    <xf numFmtId="193" fontId="12" fillId="0" borderId="14" xfId="0" applyNumberFormat="1" applyFont="1" applyFill="1" applyBorder="1" applyAlignment="1">
      <alignment horizontal="right" vertical="center"/>
    </xf>
    <xf numFmtId="192" fontId="12" fillId="0" borderId="14" xfId="0" applyNumberFormat="1" applyFont="1" applyFill="1" applyBorder="1" applyAlignment="1">
      <alignment horizontal="right" vertical="center"/>
    </xf>
    <xf numFmtId="200" fontId="12" fillId="0" borderId="14" xfId="0" applyNumberFormat="1" applyFont="1" applyFill="1" applyBorder="1" applyAlignment="1">
      <alignment horizontal="right" vertical="center"/>
    </xf>
    <xf numFmtId="193" fontId="12" fillId="0" borderId="14" xfId="64" applyNumberFormat="1" applyFont="1" applyFill="1" applyBorder="1" applyAlignment="1" applyProtection="1">
      <alignment horizontal="right" vertical="center"/>
      <protection/>
    </xf>
    <xf numFmtId="192" fontId="12" fillId="0" borderId="14" xfId="64" applyNumberFormat="1" applyFont="1" applyFill="1" applyBorder="1" applyAlignment="1" applyProtection="1">
      <alignment horizontal="right" vertical="center"/>
      <protection/>
    </xf>
    <xf numFmtId="200" fontId="12" fillId="0" borderId="14" xfId="40" applyNumberFormat="1" applyFont="1" applyFill="1" applyBorder="1" applyAlignment="1" applyProtection="1">
      <alignment horizontal="right" vertical="center"/>
      <protection/>
    </xf>
    <xf numFmtId="193" fontId="32" fillId="0" borderId="14" xfId="51" applyNumberFormat="1" applyFont="1" applyFill="1" applyBorder="1" applyAlignment="1">
      <alignment horizontal="right" vertical="center"/>
      <protection/>
    </xf>
    <xf numFmtId="193" fontId="12" fillId="0" borderId="14" xfId="51" applyNumberFormat="1" applyFont="1" applyFill="1" applyBorder="1" applyAlignment="1" applyProtection="1">
      <alignment horizontal="right" vertical="center"/>
      <protection/>
    </xf>
    <xf numFmtId="192" fontId="12" fillId="0" borderId="14" xfId="51" applyNumberFormat="1" applyFont="1" applyFill="1" applyBorder="1" applyAlignment="1" applyProtection="1">
      <alignment horizontal="right" vertical="center"/>
      <protection/>
    </xf>
    <xf numFmtId="200" fontId="12" fillId="0" borderId="14" xfId="51" applyNumberFormat="1" applyFont="1" applyFill="1" applyBorder="1" applyAlignment="1">
      <alignment horizontal="right" vertical="center"/>
      <protection/>
    </xf>
    <xf numFmtId="193" fontId="12" fillId="0" borderId="14" xfId="40" applyNumberFormat="1" applyFont="1" applyFill="1" applyBorder="1" applyAlignment="1" applyProtection="1">
      <alignment horizontal="right" vertical="center"/>
      <protection/>
    </xf>
    <xf numFmtId="192" fontId="12" fillId="0" borderId="14" xfId="40" applyNumberFormat="1" applyFont="1" applyFill="1" applyBorder="1" applyAlignment="1" applyProtection="1">
      <alignment horizontal="right" vertical="center"/>
      <protection/>
    </xf>
    <xf numFmtId="200" fontId="12" fillId="0" borderId="14" xfId="40" applyNumberFormat="1" applyFont="1" applyFill="1" applyBorder="1" applyAlignment="1" applyProtection="1">
      <alignment horizontal="right" vertical="center"/>
      <protection locked="0"/>
    </xf>
    <xf numFmtId="193" fontId="12" fillId="0" borderId="14" xfId="40" applyNumberFormat="1" applyFont="1" applyFill="1" applyBorder="1" applyAlignment="1" applyProtection="1">
      <alignment horizontal="right" vertical="center"/>
      <protection locked="0"/>
    </xf>
    <xf numFmtId="193" fontId="12" fillId="0" borderId="14" xfId="0" applyNumberFormat="1" applyFont="1" applyFill="1" applyBorder="1" applyAlignment="1" applyProtection="1">
      <alignment horizontal="right" vertical="center"/>
      <protection/>
    </xf>
    <xf numFmtId="192" fontId="12" fillId="0" borderId="14" xfId="0" applyNumberFormat="1" applyFont="1" applyFill="1" applyBorder="1" applyAlignment="1" applyProtection="1">
      <alignment horizontal="right" vertical="center"/>
      <protection/>
    </xf>
    <xf numFmtId="200" fontId="12" fillId="0" borderId="14" xfId="0" applyNumberFormat="1" applyFont="1" applyFill="1" applyBorder="1" applyAlignment="1" applyProtection="1">
      <alignment horizontal="right" vertical="center"/>
      <protection/>
    </xf>
    <xf numFmtId="193" fontId="12" fillId="0" borderId="14" xfId="51" applyNumberFormat="1" applyFont="1" applyFill="1" applyBorder="1" applyAlignment="1">
      <alignment horizontal="right" vertical="center"/>
      <protection/>
    </xf>
    <xf numFmtId="200" fontId="32" fillId="0" borderId="15" xfId="0" applyNumberFormat="1" applyFont="1" applyFill="1" applyBorder="1" applyAlignment="1">
      <alignment horizontal="right" vertical="center"/>
    </xf>
    <xf numFmtId="193" fontId="32" fillId="0" borderId="15" xfId="0" applyNumberFormat="1" applyFont="1" applyFill="1" applyBorder="1" applyAlignment="1">
      <alignment horizontal="right" vertical="center"/>
    </xf>
    <xf numFmtId="193" fontId="12" fillId="0" borderId="15" xfId="0" applyNumberFormat="1" applyFont="1" applyFill="1" applyBorder="1" applyAlignment="1">
      <alignment horizontal="right" vertical="center"/>
    </xf>
    <xf numFmtId="192" fontId="12" fillId="0" borderId="15" xfId="0" applyNumberFormat="1" applyFont="1" applyFill="1" applyBorder="1" applyAlignment="1">
      <alignment horizontal="right" vertical="center"/>
    </xf>
    <xf numFmtId="200" fontId="12" fillId="0" borderId="15" xfId="0" applyNumberFormat="1" applyFont="1" applyFill="1" applyBorder="1" applyAlignment="1">
      <alignment horizontal="right" vertical="center"/>
    </xf>
    <xf numFmtId="192" fontId="12" fillId="0" borderId="26" xfId="0" applyNumberFormat="1" applyFont="1" applyFill="1" applyBorder="1" applyAlignment="1">
      <alignment horizontal="right" vertical="center"/>
    </xf>
    <xf numFmtId="192" fontId="12" fillId="0" borderId="19" xfId="0" applyNumberFormat="1" applyFont="1" applyFill="1" applyBorder="1" applyAlignment="1">
      <alignment horizontal="right" vertical="center"/>
    </xf>
    <xf numFmtId="192" fontId="12" fillId="0" borderId="19" xfId="64" applyNumberFormat="1" applyFont="1" applyFill="1" applyBorder="1" applyAlignment="1" applyProtection="1">
      <alignment horizontal="right" vertical="center"/>
      <protection/>
    </xf>
    <xf numFmtId="192" fontId="12" fillId="0" borderId="19" xfId="51" applyNumberFormat="1" applyFont="1" applyFill="1" applyBorder="1" applyAlignment="1" applyProtection="1">
      <alignment horizontal="right" vertical="center"/>
      <protection/>
    </xf>
    <xf numFmtId="192" fontId="12" fillId="0" borderId="19" xfId="0" applyNumberFormat="1" applyFont="1" applyFill="1" applyBorder="1" applyAlignment="1" applyProtection="1">
      <alignment horizontal="right" vertical="center"/>
      <protection/>
    </xf>
    <xf numFmtId="184" fontId="12" fillId="0" borderId="23" xfId="0" applyNumberFormat="1" applyFont="1" applyFill="1" applyBorder="1" applyAlignment="1" applyProtection="1">
      <alignment horizontal="center" vertical="center"/>
      <protection locked="0"/>
    </xf>
    <xf numFmtId="0" fontId="36" fillId="0" borderId="0" xfId="0" applyFont="1" applyFill="1" applyBorder="1" applyAlignment="1" applyProtection="1">
      <alignment horizontal="center" vertical="center" wrapText="1"/>
      <protection locked="0"/>
    </xf>
    <xf numFmtId="193" fontId="24" fillId="0" borderId="11" xfId="0" applyNumberFormat="1" applyFont="1" applyFill="1" applyBorder="1" applyAlignment="1" applyProtection="1">
      <alignment horizontal="center" wrapText="1"/>
      <protection/>
    </xf>
    <xf numFmtId="1" fontId="21" fillId="0" borderId="10" xfId="0" applyNumberFormat="1" applyFont="1" applyFill="1" applyBorder="1" applyAlignment="1" applyProtection="1">
      <alignment horizontal="center" vertical="center" wrapText="1"/>
      <protection/>
    </xf>
    <xf numFmtId="1" fontId="22" fillId="0" borderId="16" xfId="0" applyNumberFormat="1" applyFont="1" applyFill="1" applyBorder="1" applyAlignment="1" applyProtection="1">
      <alignment horizontal="center" vertical="center" wrapText="1"/>
      <protection/>
    </xf>
    <xf numFmtId="200" fontId="34" fillId="33" borderId="0" xfId="0" applyNumberFormat="1" applyFont="1" applyFill="1" applyBorder="1" applyAlignment="1">
      <alignment horizontal="center" vertical="center"/>
    </xf>
    <xf numFmtId="193" fontId="34" fillId="33" borderId="0" xfId="0" applyNumberFormat="1" applyFont="1" applyFill="1" applyBorder="1" applyAlignment="1">
      <alignment horizontal="center" vertical="center"/>
    </xf>
    <xf numFmtId="0" fontId="34" fillId="33" borderId="0" xfId="0" applyFont="1" applyFill="1" applyAlignment="1">
      <alignment horizontal="center"/>
    </xf>
    <xf numFmtId="200" fontId="10" fillId="0" borderId="0" xfId="0" applyNumberFormat="1" applyFont="1" applyBorder="1" applyAlignment="1">
      <alignment horizontal="center" vertical="center"/>
    </xf>
    <xf numFmtId="193" fontId="10" fillId="0" borderId="0" xfId="0" applyNumberFormat="1" applyFont="1" applyBorder="1" applyAlignment="1">
      <alignment horizontal="center" vertical="center"/>
    </xf>
    <xf numFmtId="200" fontId="10" fillId="0" borderId="0" xfId="0" applyNumberFormat="1" applyFont="1" applyAlignment="1">
      <alignment horizontal="center"/>
    </xf>
    <xf numFmtId="193" fontId="10" fillId="0" borderId="0" xfId="0" applyNumberFormat="1" applyFont="1" applyAlignment="1">
      <alignment horizontal="center"/>
    </xf>
    <xf numFmtId="0" fontId="38" fillId="0" borderId="0" xfId="0" applyFont="1" applyFill="1" applyBorder="1" applyAlignment="1" applyProtection="1">
      <alignment horizontal="center" vertical="center" wrapText="1"/>
      <protection locked="0"/>
    </xf>
    <xf numFmtId="0" fontId="21" fillId="0" borderId="14" xfId="0" applyFont="1" applyBorder="1" applyAlignment="1">
      <alignment horizontal="right" vertical="center"/>
    </xf>
    <xf numFmtId="0" fontId="0" fillId="0" borderId="14" xfId="0" applyBorder="1" applyAlignment="1">
      <alignment vertical="center"/>
    </xf>
    <xf numFmtId="0" fontId="0" fillId="0" borderId="14" xfId="0" applyBorder="1" applyAlignment="1">
      <alignment horizontal="center" vertical="center"/>
    </xf>
    <xf numFmtId="192" fontId="0" fillId="0" borderId="14" xfId="0" applyNumberFormat="1" applyBorder="1" applyAlignment="1">
      <alignment horizontal="right" vertical="center" indent="1"/>
    </xf>
    <xf numFmtId="192" fontId="14" fillId="33" borderId="12" xfId="0" applyNumberFormat="1" applyFont="1" applyFill="1" applyBorder="1" applyAlignment="1">
      <alignment horizontal="right" vertical="center"/>
    </xf>
    <xf numFmtId="0" fontId="12" fillId="0" borderId="0" xfId="0" applyFont="1" applyFill="1" applyBorder="1" applyAlignment="1">
      <alignment horizontal="left" vertical="center"/>
    </xf>
    <xf numFmtId="184" fontId="12" fillId="0" borderId="0" xfId="0" applyNumberFormat="1" applyFont="1" applyFill="1" applyBorder="1" applyAlignment="1" applyProtection="1">
      <alignment horizontal="center" vertical="center"/>
      <protection locked="0"/>
    </xf>
    <xf numFmtId="14" fontId="12" fillId="0" borderId="0" xfId="0" applyNumberFormat="1" applyFont="1" applyFill="1" applyBorder="1" applyAlignment="1">
      <alignment horizontal="left" vertical="center"/>
    </xf>
    <xf numFmtId="0" fontId="12" fillId="0" borderId="0" xfId="0" applyFont="1" applyFill="1" applyBorder="1" applyAlignment="1">
      <alignment horizontal="center" vertical="center"/>
    </xf>
    <xf numFmtId="192" fontId="12" fillId="0" borderId="0" xfId="0" applyNumberFormat="1" applyFont="1" applyFill="1" applyBorder="1" applyAlignment="1">
      <alignment horizontal="right" vertical="center"/>
    </xf>
    <xf numFmtId="200" fontId="10" fillId="0" borderId="14" xfId="0" applyNumberFormat="1" applyFont="1" applyBorder="1" applyAlignment="1">
      <alignment vertical="center"/>
    </xf>
    <xf numFmtId="193" fontId="10" fillId="0" borderId="14" xfId="0" applyNumberFormat="1" applyFont="1" applyBorder="1" applyAlignment="1">
      <alignment vertical="center"/>
    </xf>
    <xf numFmtId="200" fontId="10" fillId="0" borderId="0" xfId="0" applyNumberFormat="1" applyFont="1" applyBorder="1" applyAlignment="1">
      <alignment vertical="center"/>
    </xf>
    <xf numFmtId="193" fontId="10" fillId="0" borderId="0" xfId="0" applyNumberFormat="1" applyFont="1" applyBorder="1" applyAlignment="1">
      <alignment vertical="center"/>
    </xf>
    <xf numFmtId="200" fontId="10" fillId="0" borderId="0" xfId="0" applyNumberFormat="1" applyFont="1" applyBorder="1" applyAlignment="1">
      <alignment horizontal="right" vertical="center"/>
    </xf>
    <xf numFmtId="193" fontId="10" fillId="0" borderId="0" xfId="0" applyNumberFormat="1" applyFont="1" applyBorder="1" applyAlignment="1">
      <alignment horizontal="right" vertical="center" indent="1"/>
    </xf>
    <xf numFmtId="200" fontId="32" fillId="0" borderId="0" xfId="0" applyNumberFormat="1" applyFont="1" applyFill="1" applyBorder="1" applyAlignment="1">
      <alignment horizontal="right" vertical="center"/>
    </xf>
    <xf numFmtId="193" fontId="32" fillId="0" borderId="0" xfId="0" applyNumberFormat="1" applyFont="1" applyFill="1" applyBorder="1" applyAlignment="1">
      <alignment horizontal="right" vertical="center"/>
    </xf>
    <xf numFmtId="184" fontId="12" fillId="0" borderId="15" xfId="0" applyNumberFormat="1" applyFont="1" applyFill="1" applyBorder="1" applyAlignment="1" applyProtection="1">
      <alignment horizontal="center" vertical="center"/>
      <protection locked="0"/>
    </xf>
    <xf numFmtId="184" fontId="12" fillId="0" borderId="12" xfId="0" applyNumberFormat="1" applyFont="1" applyFill="1" applyBorder="1" applyAlignment="1">
      <alignment horizontal="center" vertical="center"/>
    </xf>
    <xf numFmtId="200" fontId="32" fillId="0" borderId="14" xfId="0" applyNumberFormat="1" applyFont="1" applyFill="1" applyBorder="1" applyAlignment="1">
      <alignment vertical="center"/>
    </xf>
    <xf numFmtId="193" fontId="32" fillId="0" borderId="14" xfId="0" applyNumberFormat="1" applyFont="1" applyFill="1" applyBorder="1" applyAlignment="1">
      <alignment vertical="center"/>
    </xf>
    <xf numFmtId="193" fontId="12" fillId="0" borderId="14" xfId="0" applyNumberFormat="1" applyFont="1" applyFill="1" applyBorder="1" applyAlignment="1">
      <alignment vertical="center"/>
    </xf>
    <xf numFmtId="192" fontId="12" fillId="0" borderId="14" xfId="0" applyNumberFormat="1" applyFont="1" applyFill="1" applyBorder="1" applyAlignment="1">
      <alignment vertical="center"/>
    </xf>
    <xf numFmtId="200" fontId="12" fillId="0" borderId="14" xfId="0" applyNumberFormat="1" applyFont="1" applyFill="1" applyBorder="1" applyAlignment="1">
      <alignment vertical="center"/>
    </xf>
    <xf numFmtId="200" fontId="32" fillId="0" borderId="14" xfId="40" applyNumberFormat="1" applyFont="1" applyFill="1" applyBorder="1" applyAlignment="1" applyProtection="1">
      <alignment vertical="center"/>
      <protection/>
    </xf>
    <xf numFmtId="193" fontId="32" fillId="0" borderId="14" xfId="40" applyNumberFormat="1" applyFont="1" applyFill="1" applyBorder="1" applyAlignment="1" applyProtection="1">
      <alignment vertical="center"/>
      <protection/>
    </xf>
    <xf numFmtId="193" fontId="12" fillId="0" borderId="14" xfId="64" applyNumberFormat="1" applyFont="1" applyFill="1" applyBorder="1" applyAlignment="1" applyProtection="1">
      <alignment vertical="center"/>
      <protection/>
    </xf>
    <xf numFmtId="192" fontId="12" fillId="0" borderId="14" xfId="64" applyNumberFormat="1" applyFont="1" applyFill="1" applyBorder="1" applyAlignment="1" applyProtection="1">
      <alignment vertical="center"/>
      <protection/>
    </xf>
    <xf numFmtId="200" fontId="12" fillId="0" borderId="14" xfId="40" applyNumberFormat="1" applyFont="1" applyFill="1" applyBorder="1" applyAlignment="1" applyProtection="1">
      <alignment vertical="center"/>
      <protection/>
    </xf>
    <xf numFmtId="200" fontId="32" fillId="0" borderId="14" xfId="40" applyNumberFormat="1" applyFont="1" applyFill="1" applyBorder="1" applyAlignment="1" applyProtection="1">
      <alignment vertical="center"/>
      <protection locked="0"/>
    </xf>
    <xf numFmtId="193" fontId="32" fillId="0" borderId="14" xfId="40" applyNumberFormat="1" applyFont="1" applyFill="1" applyBorder="1" applyAlignment="1" applyProtection="1">
      <alignment vertical="center"/>
      <protection locked="0"/>
    </xf>
    <xf numFmtId="200" fontId="12" fillId="0" borderId="14" xfId="40" applyNumberFormat="1" applyFont="1" applyFill="1" applyBorder="1" applyAlignment="1" applyProtection="1">
      <alignment vertical="center"/>
      <protection locked="0"/>
    </xf>
    <xf numFmtId="193" fontId="12" fillId="0" borderId="14" xfId="40" applyNumberFormat="1" applyFont="1" applyFill="1" applyBorder="1" applyAlignment="1" applyProtection="1">
      <alignment vertical="center"/>
      <protection locked="0"/>
    </xf>
    <xf numFmtId="200" fontId="32" fillId="0" borderId="14" xfId="51" applyNumberFormat="1" applyFont="1" applyFill="1" applyBorder="1" applyAlignment="1">
      <alignment vertical="center"/>
      <protection/>
    </xf>
    <xf numFmtId="193" fontId="32" fillId="0" borderId="14" xfId="51" applyNumberFormat="1" applyFont="1" applyFill="1" applyBorder="1" applyAlignment="1">
      <alignment vertical="center"/>
      <protection/>
    </xf>
    <xf numFmtId="193" fontId="12" fillId="0" borderId="14" xfId="51" applyNumberFormat="1" applyFont="1" applyFill="1" applyBorder="1" applyAlignment="1" applyProtection="1">
      <alignment vertical="center"/>
      <protection/>
    </xf>
    <xf numFmtId="192" fontId="12" fillId="0" borderId="14" xfId="51" applyNumberFormat="1" applyFont="1" applyFill="1" applyBorder="1" applyAlignment="1" applyProtection="1">
      <alignment vertical="center"/>
      <protection/>
    </xf>
    <xf numFmtId="200" fontId="12" fillId="0" borderId="14" xfId="51" applyNumberFormat="1" applyFont="1" applyFill="1" applyBorder="1" applyAlignment="1">
      <alignment vertical="center"/>
      <protection/>
    </xf>
    <xf numFmtId="193" fontId="12" fillId="0" borderId="14" xfId="40" applyNumberFormat="1" applyFont="1" applyFill="1" applyBorder="1" applyAlignment="1" applyProtection="1">
      <alignment vertical="center"/>
      <protection/>
    </xf>
    <xf numFmtId="192" fontId="12" fillId="0" borderId="14" xfId="40" applyNumberFormat="1" applyFont="1" applyFill="1" applyBorder="1" applyAlignment="1" applyProtection="1">
      <alignment vertical="center"/>
      <protection/>
    </xf>
    <xf numFmtId="0" fontId="12" fillId="0" borderId="14" xfId="0" applyFont="1" applyFill="1" applyBorder="1" applyAlignment="1" applyProtection="1">
      <alignment horizontal="left" vertical="center" shrinkToFit="1"/>
      <protection locked="0"/>
    </xf>
    <xf numFmtId="200" fontId="32" fillId="0" borderId="14" xfId="0" applyNumberFormat="1" applyFont="1" applyFill="1" applyBorder="1" applyAlignment="1" applyProtection="1">
      <alignment vertical="center"/>
      <protection/>
    </xf>
    <xf numFmtId="193" fontId="32" fillId="0" borderId="14" xfId="0" applyNumberFormat="1" applyFont="1" applyFill="1" applyBorder="1" applyAlignment="1" applyProtection="1">
      <alignment vertical="center"/>
      <protection/>
    </xf>
    <xf numFmtId="193" fontId="12" fillId="0" borderId="14" xfId="0" applyNumberFormat="1" applyFont="1" applyFill="1" applyBorder="1" applyAlignment="1" applyProtection="1">
      <alignment vertical="center"/>
      <protection/>
    </xf>
    <xf numFmtId="192" fontId="12" fillId="0" borderId="14" xfId="0" applyNumberFormat="1" applyFont="1" applyFill="1" applyBorder="1" applyAlignment="1" applyProtection="1">
      <alignment vertical="center"/>
      <protection/>
    </xf>
    <xf numFmtId="200" fontId="12" fillId="0" borderId="14" xfId="0" applyNumberFormat="1" applyFont="1" applyFill="1" applyBorder="1" applyAlignment="1" applyProtection="1">
      <alignment vertical="center"/>
      <protection/>
    </xf>
    <xf numFmtId="193" fontId="12" fillId="0" borderId="14" xfId="51" applyNumberFormat="1" applyFont="1" applyFill="1" applyBorder="1" applyAlignment="1">
      <alignment vertical="center"/>
      <protection/>
    </xf>
    <xf numFmtId="192" fontId="12" fillId="0" borderId="19" xfId="0" applyNumberFormat="1" applyFont="1" applyFill="1" applyBorder="1" applyAlignment="1">
      <alignment vertical="center"/>
    </xf>
    <xf numFmtId="192" fontId="12" fillId="0" borderId="19" xfId="64" applyNumberFormat="1" applyFont="1" applyFill="1" applyBorder="1" applyAlignment="1" applyProtection="1">
      <alignment vertical="center"/>
      <protection/>
    </xf>
    <xf numFmtId="192" fontId="12" fillId="0" borderId="19" xfId="51" applyNumberFormat="1" applyFont="1" applyFill="1" applyBorder="1" applyAlignment="1" applyProtection="1">
      <alignment vertical="center"/>
      <protection/>
    </xf>
    <xf numFmtId="192" fontId="12" fillId="0" borderId="19" xfId="40" applyNumberFormat="1" applyFont="1" applyFill="1" applyBorder="1" applyAlignment="1" applyProtection="1">
      <alignment vertical="center"/>
      <protection/>
    </xf>
    <xf numFmtId="192" fontId="12" fillId="0" borderId="19" xfId="0" applyNumberFormat="1" applyFont="1" applyFill="1" applyBorder="1" applyAlignment="1" applyProtection="1">
      <alignment vertical="center"/>
      <protection/>
    </xf>
    <xf numFmtId="14" fontId="12" fillId="0" borderId="23" xfId="0" applyNumberFormat="1" applyFont="1" applyFill="1" applyBorder="1" applyAlignment="1">
      <alignment horizontal="left" vertical="center"/>
    </xf>
    <xf numFmtId="200" fontId="32" fillId="0" borderId="23" xfId="0" applyNumberFormat="1" applyFont="1" applyFill="1" applyBorder="1" applyAlignment="1">
      <alignment vertical="center"/>
    </xf>
    <xf numFmtId="193" fontId="32" fillId="0" borderId="23" xfId="0" applyNumberFormat="1" applyFont="1" applyFill="1" applyBorder="1" applyAlignment="1">
      <alignment vertical="center"/>
    </xf>
    <xf numFmtId="193" fontId="12" fillId="0" borderId="23" xfId="0" applyNumberFormat="1" applyFont="1" applyFill="1" applyBorder="1" applyAlignment="1">
      <alignment vertical="center"/>
    </xf>
    <xf numFmtId="192" fontId="12" fillId="0" borderId="23" xfId="0" applyNumberFormat="1" applyFont="1" applyFill="1" applyBorder="1" applyAlignment="1">
      <alignment vertical="center"/>
    </xf>
    <xf numFmtId="200" fontId="12" fillId="0" borderId="23" xfId="0" applyNumberFormat="1" applyFont="1" applyFill="1" applyBorder="1" applyAlignment="1">
      <alignment vertical="center"/>
    </xf>
    <xf numFmtId="192" fontId="12" fillId="0" borderId="27" xfId="0" applyNumberFormat="1" applyFont="1" applyFill="1" applyBorder="1" applyAlignment="1">
      <alignment vertical="center"/>
    </xf>
    <xf numFmtId="0" fontId="12" fillId="0" borderId="28" xfId="0" applyFont="1" applyFill="1" applyBorder="1" applyAlignment="1">
      <alignment horizontal="left" vertical="center"/>
    </xf>
    <xf numFmtId="14" fontId="12" fillId="0" borderId="12" xfId="0" applyNumberFormat="1" applyFont="1" applyFill="1" applyBorder="1" applyAlignment="1">
      <alignment horizontal="left" vertical="center"/>
    </xf>
    <xf numFmtId="0" fontId="12" fillId="0" borderId="12" xfId="0" applyFont="1" applyFill="1" applyBorder="1" applyAlignment="1">
      <alignment horizontal="center" vertical="center"/>
    </xf>
    <xf numFmtId="200" fontId="32" fillId="0" borderId="12" xfId="0" applyNumberFormat="1" applyFont="1" applyFill="1" applyBorder="1" applyAlignment="1">
      <alignment vertical="center"/>
    </xf>
    <xf numFmtId="193" fontId="32" fillId="0" borderId="12" xfId="0" applyNumberFormat="1" applyFont="1" applyFill="1" applyBorder="1" applyAlignment="1">
      <alignment vertical="center"/>
    </xf>
    <xf numFmtId="193" fontId="12" fillId="0" borderId="12" xfId="0" applyNumberFormat="1" applyFont="1" applyFill="1" applyBorder="1" applyAlignment="1">
      <alignment vertical="center"/>
    </xf>
    <xf numFmtId="192" fontId="12" fillId="0" borderId="12" xfId="0" applyNumberFormat="1" applyFont="1" applyFill="1" applyBorder="1" applyAlignment="1">
      <alignment vertical="center"/>
    </xf>
    <xf numFmtId="200" fontId="12" fillId="0" borderId="12" xfId="0" applyNumberFormat="1" applyFont="1" applyFill="1" applyBorder="1" applyAlignment="1">
      <alignment vertical="center"/>
    </xf>
    <xf numFmtId="192" fontId="12" fillId="0" borderId="13" xfId="0" applyNumberFormat="1" applyFont="1" applyFill="1" applyBorder="1" applyAlignment="1">
      <alignment vertical="center"/>
    </xf>
    <xf numFmtId="193" fontId="12" fillId="0" borderId="29" xfId="0" applyNumberFormat="1" applyFont="1" applyFill="1" applyBorder="1" applyAlignment="1">
      <alignment horizontal="right" vertical="center"/>
    </xf>
    <xf numFmtId="184" fontId="12" fillId="0" borderId="29" xfId="0" applyNumberFormat="1" applyFont="1" applyFill="1" applyBorder="1" applyAlignment="1" applyProtection="1">
      <alignment horizontal="center" vertical="center"/>
      <protection locked="0"/>
    </xf>
    <xf numFmtId="0" fontId="12" fillId="0" borderId="29" xfId="0" applyFont="1" applyFill="1" applyBorder="1" applyAlignment="1" applyProtection="1">
      <alignment horizontal="center" vertical="center"/>
      <protection locked="0"/>
    </xf>
    <xf numFmtId="193" fontId="12" fillId="0" borderId="29" xfId="64" applyNumberFormat="1" applyFont="1" applyFill="1" applyBorder="1" applyAlignment="1" applyProtection="1">
      <alignment horizontal="right" vertical="center"/>
      <protection/>
    </xf>
    <xf numFmtId="192" fontId="12" fillId="0" borderId="29" xfId="64" applyNumberFormat="1" applyFont="1" applyFill="1" applyBorder="1" applyAlignment="1" applyProtection="1">
      <alignment horizontal="right" vertical="center"/>
      <protection/>
    </xf>
    <xf numFmtId="192" fontId="12" fillId="0" borderId="30" xfId="64" applyNumberFormat="1" applyFont="1" applyFill="1" applyBorder="1" applyAlignment="1" applyProtection="1">
      <alignment horizontal="right" vertical="center"/>
      <protection/>
    </xf>
    <xf numFmtId="0" fontId="30" fillId="0" borderId="0" xfId="0" applyFont="1" applyBorder="1" applyAlignment="1">
      <alignment/>
    </xf>
    <xf numFmtId="0" fontId="42" fillId="0" borderId="0" xfId="0" applyFont="1" applyFill="1" applyBorder="1" applyAlignment="1" applyProtection="1">
      <alignment vertical="center"/>
      <protection locked="0"/>
    </xf>
    <xf numFmtId="200" fontId="39" fillId="0" borderId="31" xfId="0" applyNumberFormat="1" applyFont="1" applyFill="1" applyBorder="1" applyAlignment="1" applyProtection="1">
      <alignment horizontal="center" wrapText="1"/>
      <protection/>
    </xf>
    <xf numFmtId="193" fontId="39" fillId="0" borderId="31" xfId="0" applyNumberFormat="1" applyFont="1" applyFill="1" applyBorder="1" applyAlignment="1" applyProtection="1">
      <alignment horizontal="center" wrapText="1"/>
      <protection/>
    </xf>
    <xf numFmtId="192" fontId="39" fillId="0" borderId="31" xfId="0" applyNumberFormat="1" applyFont="1" applyFill="1" applyBorder="1" applyAlignment="1" applyProtection="1">
      <alignment horizontal="center" wrapText="1"/>
      <protection/>
    </xf>
    <xf numFmtId="200" fontId="39" fillId="0" borderId="31" xfId="0" applyNumberFormat="1" applyFont="1" applyFill="1" applyBorder="1" applyAlignment="1" applyProtection="1">
      <alignment horizontal="right" wrapText="1"/>
      <protection/>
    </xf>
    <xf numFmtId="192" fontId="39" fillId="0" borderId="32" xfId="0" applyNumberFormat="1" applyFont="1" applyFill="1" applyBorder="1" applyAlignment="1" applyProtection="1">
      <alignment horizontal="center" wrapText="1"/>
      <protection/>
    </xf>
    <xf numFmtId="0" fontId="21" fillId="0" borderId="0" xfId="0" applyFont="1" applyFill="1" applyBorder="1" applyAlignment="1">
      <alignment horizontal="right" vertical="center"/>
    </xf>
    <xf numFmtId="3" fontId="27" fillId="0" borderId="0" xfId="0" applyNumberFormat="1" applyFont="1" applyFill="1" applyBorder="1" applyAlignment="1">
      <alignment horizontal="center" vertical="center"/>
    </xf>
    <xf numFmtId="4" fontId="27" fillId="0" borderId="0" xfId="0" applyNumberFormat="1" applyFont="1" applyFill="1" applyBorder="1" applyAlignment="1">
      <alignment horizontal="center" vertical="center"/>
    </xf>
    <xf numFmtId="0" fontId="15" fillId="0" borderId="33" xfId="0" applyFont="1" applyFill="1" applyBorder="1" applyAlignment="1" applyProtection="1">
      <alignment vertical="center"/>
      <protection locked="0"/>
    </xf>
    <xf numFmtId="0" fontId="12" fillId="0" borderId="34" xfId="0" applyFont="1" applyFill="1" applyBorder="1" applyAlignment="1">
      <alignment horizontal="left" vertical="center"/>
    </xf>
    <xf numFmtId="0" fontId="12" fillId="0" borderId="29" xfId="0" applyFont="1" applyFill="1" applyBorder="1" applyAlignment="1">
      <alignment horizontal="left" vertical="center"/>
    </xf>
    <xf numFmtId="0" fontId="12" fillId="0" borderId="29" xfId="0" applyFont="1" applyFill="1" applyBorder="1" applyAlignment="1">
      <alignment horizontal="center" vertical="center"/>
    </xf>
    <xf numFmtId="200" fontId="32" fillId="0" borderId="29" xfId="0" applyNumberFormat="1" applyFont="1" applyFill="1" applyBorder="1" applyAlignment="1">
      <alignment horizontal="right" vertical="center"/>
    </xf>
    <xf numFmtId="193" fontId="32" fillId="0" borderId="29" xfId="0" applyNumberFormat="1" applyFont="1" applyFill="1" applyBorder="1" applyAlignment="1">
      <alignment horizontal="right" vertical="center"/>
    </xf>
    <xf numFmtId="200" fontId="12" fillId="0" borderId="29" xfId="0" applyNumberFormat="1" applyFont="1" applyFill="1" applyBorder="1" applyAlignment="1">
      <alignment horizontal="right" vertical="center"/>
    </xf>
    <xf numFmtId="184" fontId="12" fillId="0" borderId="12" xfId="0" applyNumberFormat="1" applyFont="1" applyFill="1" applyBorder="1" applyAlignment="1" applyProtection="1">
      <alignment horizontal="center" vertical="center"/>
      <protection locked="0"/>
    </xf>
    <xf numFmtId="0" fontId="21" fillId="0" borderId="35" xfId="0" applyFont="1" applyFill="1" applyBorder="1" applyAlignment="1" applyProtection="1">
      <alignment horizontal="right" vertical="center"/>
      <protection/>
    </xf>
    <xf numFmtId="0" fontId="12" fillId="0" borderId="17" xfId="0" applyFont="1" applyFill="1" applyBorder="1" applyAlignment="1" applyProtection="1">
      <alignment horizontal="left" vertical="center"/>
      <protection/>
    </xf>
    <xf numFmtId="1" fontId="12" fillId="0" borderId="14" xfId="50" applyFont="1" applyFill="1" applyBorder="1" applyAlignment="1">
      <alignment horizontal="center" vertical="center"/>
      <protection/>
    </xf>
    <xf numFmtId="0" fontId="15" fillId="33" borderId="12" xfId="0" applyFont="1" applyFill="1" applyBorder="1" applyAlignment="1">
      <alignment horizontal="left" vertical="center"/>
    </xf>
    <xf numFmtId="0" fontId="0" fillId="0" borderId="0" xfId="0" applyAlignment="1">
      <alignment horizontal="left"/>
    </xf>
    <xf numFmtId="0" fontId="0" fillId="0" borderId="0" xfId="0" applyAlignment="1">
      <alignment horizontal="left" vertical="center"/>
    </xf>
    <xf numFmtId="0" fontId="12" fillId="0" borderId="14" xfId="0" applyNumberFormat="1" applyFont="1" applyFill="1" applyBorder="1" applyAlignment="1">
      <alignment vertical="center"/>
    </xf>
    <xf numFmtId="0" fontId="12" fillId="0" borderId="14" xfId="0" applyNumberFormat="1" applyFont="1" applyFill="1" applyBorder="1" applyAlignment="1">
      <alignment horizontal="center" vertical="center"/>
    </xf>
    <xf numFmtId="193" fontId="45" fillId="0" borderId="0" xfId="0" applyNumberFormat="1" applyFont="1" applyFill="1" applyBorder="1" applyAlignment="1" applyProtection="1">
      <alignment horizontal="right" vertical="center"/>
      <protection/>
    </xf>
    <xf numFmtId="193" fontId="14" fillId="33" borderId="12" xfId="0" applyNumberFormat="1" applyFont="1" applyFill="1" applyBorder="1" applyAlignment="1">
      <alignment horizontal="right" vertical="center"/>
    </xf>
    <xf numFmtId="193" fontId="8" fillId="0" borderId="0" xfId="0" applyNumberFormat="1" applyFont="1" applyFill="1" applyBorder="1" applyAlignment="1" applyProtection="1">
      <alignment horizontal="right" vertical="center"/>
      <protection locked="0"/>
    </xf>
    <xf numFmtId="193" fontId="10" fillId="0" borderId="0" xfId="0" applyNumberFormat="1" applyFont="1" applyAlignment="1">
      <alignment horizontal="right" vertical="center"/>
    </xf>
    <xf numFmtId="193" fontId="44" fillId="0" borderId="0" xfId="0" applyNumberFormat="1" applyFont="1" applyFill="1" applyBorder="1" applyAlignment="1" applyProtection="1">
      <alignment horizontal="right" vertical="center"/>
      <protection locked="0"/>
    </xf>
    <xf numFmtId="200" fontId="0" fillId="0" borderId="0" xfId="0" applyNumberFormat="1" applyFont="1" applyAlignment="1">
      <alignment horizontal="right" vertical="center"/>
    </xf>
    <xf numFmtId="0" fontId="12" fillId="0" borderId="17" xfId="0" applyNumberFormat="1" applyFont="1" applyFill="1" applyBorder="1" applyAlignment="1">
      <alignment vertical="center"/>
    </xf>
    <xf numFmtId="0" fontId="12" fillId="0" borderId="23" xfId="0" applyFont="1" applyFill="1" applyBorder="1" applyAlignment="1">
      <alignment horizontal="left" vertical="center"/>
    </xf>
    <xf numFmtId="193" fontId="0" fillId="0" borderId="0" xfId="0" applyNumberFormat="1" applyAlignment="1">
      <alignment/>
    </xf>
    <xf numFmtId="200" fontId="0" fillId="0" borderId="0" xfId="0" applyNumberFormat="1" applyAlignment="1">
      <alignment/>
    </xf>
    <xf numFmtId="200" fontId="0" fillId="0" borderId="0" xfId="0" applyNumberFormat="1" applyBorder="1" applyAlignment="1">
      <alignment horizontal="right" vertical="center" wrapText="1"/>
    </xf>
    <xf numFmtId="200" fontId="34" fillId="33" borderId="0" xfId="0" applyNumberFormat="1" applyFont="1" applyFill="1" applyAlignment="1">
      <alignment/>
    </xf>
    <xf numFmtId="193" fontId="34" fillId="33" borderId="0" xfId="0" applyNumberFormat="1" applyFont="1" applyFill="1" applyAlignment="1">
      <alignment/>
    </xf>
    <xf numFmtId="192" fontId="34" fillId="33" borderId="0" xfId="0" applyNumberFormat="1" applyFont="1" applyFill="1" applyAlignment="1">
      <alignment/>
    </xf>
    <xf numFmtId="192" fontId="0" fillId="0" borderId="0" xfId="0" applyNumberFormat="1" applyAlignment="1">
      <alignment/>
    </xf>
    <xf numFmtId="192" fontId="0" fillId="0" borderId="0" xfId="0" applyNumberFormat="1" applyBorder="1" applyAlignment="1">
      <alignment horizontal="right" vertical="center" wrapText="1"/>
    </xf>
    <xf numFmtId="192" fontId="10" fillId="0" borderId="0" xfId="0" applyNumberFormat="1" applyFont="1" applyBorder="1" applyAlignment="1">
      <alignment horizontal="right" vertical="center" wrapText="1"/>
    </xf>
    <xf numFmtId="193" fontId="0" fillId="0" borderId="0" xfId="0" applyNumberFormat="1" applyBorder="1" applyAlignment="1">
      <alignment horizontal="center" vertical="center" wrapText="1"/>
    </xf>
    <xf numFmtId="0" fontId="12" fillId="0" borderId="14" xfId="0" applyNumberFormat="1" applyFont="1" applyFill="1" applyBorder="1" applyAlignment="1">
      <alignment horizontal="left" vertical="center"/>
    </xf>
    <xf numFmtId="200" fontId="32" fillId="0" borderId="14" xfId="0" applyNumberFormat="1" applyFont="1" applyFill="1" applyBorder="1" applyAlignment="1" applyProtection="1">
      <alignment vertical="center"/>
      <protection locked="0"/>
    </xf>
    <xf numFmtId="193" fontId="32" fillId="0" borderId="14" xfId="0" applyNumberFormat="1" applyFont="1" applyFill="1" applyBorder="1" applyAlignment="1" applyProtection="1">
      <alignment vertical="center"/>
      <protection locked="0"/>
    </xf>
    <xf numFmtId="192" fontId="12" fillId="0" borderId="14" xfId="0" applyNumberFormat="1" applyFont="1" applyFill="1" applyBorder="1" applyAlignment="1" applyProtection="1">
      <alignment horizontal="right" vertical="center"/>
      <protection locked="0"/>
    </xf>
    <xf numFmtId="200" fontId="12" fillId="0" borderId="14" xfId="0" applyNumberFormat="1" applyFont="1" applyFill="1" applyBorder="1" applyAlignment="1" applyProtection="1">
      <alignment vertical="center"/>
      <protection locked="0"/>
    </xf>
    <xf numFmtId="193" fontId="12" fillId="0" borderId="14" xfId="0" applyNumberFormat="1" applyFont="1" applyFill="1" applyBorder="1" applyAlignment="1" applyProtection="1">
      <alignment vertical="center"/>
      <protection locked="0"/>
    </xf>
    <xf numFmtId="0" fontId="12" fillId="0" borderId="17" xfId="0" applyNumberFormat="1" applyFont="1" applyFill="1" applyBorder="1" applyAlignment="1">
      <alignment horizontal="left" vertical="center"/>
    </xf>
    <xf numFmtId="200" fontId="24" fillId="0" borderId="11" xfId="0" applyNumberFormat="1" applyFont="1" applyFill="1" applyBorder="1" applyAlignment="1" applyProtection="1">
      <alignment horizontal="center" wrapText="1"/>
      <protection/>
    </xf>
    <xf numFmtId="192" fontId="12" fillId="0" borderId="12" xfId="40" applyNumberFormat="1" applyFont="1" applyFill="1" applyBorder="1" applyAlignment="1" applyProtection="1">
      <alignment vertical="center"/>
      <protection/>
    </xf>
    <xf numFmtId="4" fontId="40" fillId="0" borderId="0" xfId="0" applyNumberFormat="1" applyFont="1" applyFill="1" applyBorder="1" applyAlignment="1">
      <alignment vertical="center"/>
    </xf>
    <xf numFmtId="4" fontId="37" fillId="0" borderId="0" xfId="0" applyNumberFormat="1" applyFont="1" applyFill="1" applyBorder="1" applyAlignment="1">
      <alignment horizontal="center" vertical="center"/>
    </xf>
    <xf numFmtId="4" fontId="30" fillId="0" borderId="0" xfId="0" applyNumberFormat="1" applyFont="1" applyFill="1" applyBorder="1" applyAlignment="1">
      <alignment vertical="center"/>
    </xf>
    <xf numFmtId="0" fontId="30" fillId="0" borderId="0" xfId="0" applyFont="1" applyFill="1" applyBorder="1" applyAlignment="1">
      <alignment/>
    </xf>
    <xf numFmtId="0" fontId="32" fillId="34" borderId="36" xfId="0" applyFont="1" applyFill="1" applyBorder="1" applyAlignment="1">
      <alignment horizontal="right"/>
    </xf>
    <xf numFmtId="49" fontId="32" fillId="34" borderId="37" xfId="0" applyNumberFormat="1" applyFont="1" applyFill="1" applyBorder="1" applyAlignment="1">
      <alignment horizontal="right"/>
    </xf>
    <xf numFmtId="4" fontId="32" fillId="35" borderId="37" xfId="0" applyNumberFormat="1" applyFont="1" applyFill="1" applyBorder="1" applyAlignment="1">
      <alignment horizontal="right"/>
    </xf>
    <xf numFmtId="4" fontId="32" fillId="34" borderId="37" xfId="0" applyNumberFormat="1" applyFont="1" applyFill="1" applyBorder="1" applyAlignment="1">
      <alignment horizontal="right"/>
    </xf>
    <xf numFmtId="3" fontId="32" fillId="34" borderId="37" xfId="0" applyNumberFormat="1" applyFont="1" applyFill="1" applyBorder="1" applyAlignment="1">
      <alignment horizontal="right"/>
    </xf>
    <xf numFmtId="3" fontId="32" fillId="35" borderId="37" xfId="0" applyNumberFormat="1" applyFont="1" applyFill="1" applyBorder="1" applyAlignment="1">
      <alignment horizontal="right"/>
    </xf>
    <xf numFmtId="0" fontId="32" fillId="0" borderId="0" xfId="0" applyFont="1" applyFill="1" applyAlignment="1">
      <alignment/>
    </xf>
    <xf numFmtId="0" fontId="32" fillId="34" borderId="0" xfId="0" applyFont="1" applyFill="1" applyBorder="1" applyAlignment="1">
      <alignment horizontal="right"/>
    </xf>
    <xf numFmtId="49" fontId="32" fillId="34" borderId="0" xfId="0" applyNumberFormat="1" applyFont="1" applyFill="1" applyBorder="1" applyAlignment="1">
      <alignment horizontal="right"/>
    </xf>
    <xf numFmtId="0" fontId="32" fillId="34" borderId="0" xfId="0" applyFont="1" applyFill="1" applyBorder="1" applyAlignment="1">
      <alignment/>
    </xf>
    <xf numFmtId="3" fontId="32" fillId="35" borderId="0" xfId="0" applyNumberFormat="1" applyFont="1" applyFill="1" applyBorder="1" applyAlignment="1">
      <alignment horizontal="right"/>
    </xf>
    <xf numFmtId="4" fontId="32" fillId="35" borderId="0" xfId="0" applyNumberFormat="1" applyFont="1" applyFill="1" applyBorder="1" applyAlignment="1">
      <alignment horizontal="right"/>
    </xf>
    <xf numFmtId="4" fontId="32" fillId="34" borderId="0" xfId="0" applyNumberFormat="1" applyFont="1" applyFill="1" applyBorder="1" applyAlignment="1">
      <alignment horizontal="right"/>
    </xf>
    <xf numFmtId="3" fontId="32" fillId="34" borderId="0" xfId="0" applyNumberFormat="1" applyFont="1" applyFill="1" applyBorder="1" applyAlignment="1">
      <alignment horizontal="right"/>
    </xf>
    <xf numFmtId="10" fontId="32" fillId="34" borderId="0" xfId="0" applyNumberFormat="1" applyFont="1" applyFill="1" applyBorder="1" applyAlignment="1">
      <alignment horizontal="right"/>
    </xf>
    <xf numFmtId="0" fontId="32" fillId="35" borderId="0" xfId="0" applyFont="1" applyFill="1" applyBorder="1" applyAlignment="1">
      <alignment horizontal="right"/>
    </xf>
    <xf numFmtId="10" fontId="32" fillId="35" borderId="0" xfId="0" applyNumberFormat="1" applyFont="1" applyFill="1" applyBorder="1" applyAlignment="1">
      <alignment horizontal="right"/>
    </xf>
    <xf numFmtId="0" fontId="32" fillId="34" borderId="0" xfId="0" applyFont="1" applyFill="1" applyAlignment="1">
      <alignment horizontal="right"/>
    </xf>
    <xf numFmtId="49" fontId="32" fillId="34" borderId="0" xfId="0" applyNumberFormat="1" applyFont="1" applyFill="1" applyAlignment="1">
      <alignment horizontal="right"/>
    </xf>
    <xf numFmtId="0" fontId="32" fillId="34" borderId="0" xfId="0" applyFont="1" applyFill="1" applyAlignment="1">
      <alignment/>
    </xf>
    <xf numFmtId="3" fontId="32" fillId="35" borderId="0" xfId="0" applyNumberFormat="1" applyFont="1" applyFill="1" applyAlignment="1">
      <alignment horizontal="right"/>
    </xf>
    <xf numFmtId="4" fontId="32" fillId="35" borderId="0" xfId="0" applyNumberFormat="1" applyFont="1" applyFill="1" applyAlignment="1">
      <alignment horizontal="right"/>
    </xf>
    <xf numFmtId="4" fontId="32" fillId="34" borderId="0" xfId="0" applyNumberFormat="1" applyFont="1" applyFill="1" applyAlignment="1">
      <alignment horizontal="right"/>
    </xf>
    <xf numFmtId="3" fontId="32" fillId="34" borderId="0" xfId="0" applyNumberFormat="1" applyFont="1" applyFill="1" applyAlignment="1">
      <alignment horizontal="right"/>
    </xf>
    <xf numFmtId="10" fontId="32" fillId="34" borderId="0" xfId="0" applyNumberFormat="1" applyFont="1" applyFill="1" applyAlignment="1">
      <alignment horizontal="right"/>
    </xf>
    <xf numFmtId="0" fontId="32" fillId="35" borderId="0" xfId="0" applyFont="1" applyFill="1" applyAlignment="1">
      <alignment horizontal="right"/>
    </xf>
    <xf numFmtId="10" fontId="32" fillId="35" borderId="0" xfId="0" applyNumberFormat="1" applyFont="1" applyFill="1" applyAlignment="1">
      <alignment horizontal="right"/>
    </xf>
    <xf numFmtId="0" fontId="48" fillId="0" borderId="0" xfId="0" applyFont="1" applyFill="1" applyAlignment="1">
      <alignment/>
    </xf>
    <xf numFmtId="2" fontId="32" fillId="34" borderId="0" xfId="0" applyNumberFormat="1" applyFont="1" applyFill="1" applyBorder="1" applyAlignment="1">
      <alignment horizontal="right"/>
    </xf>
    <xf numFmtId="0" fontId="15" fillId="0" borderId="0" xfId="0" applyFont="1" applyFill="1" applyBorder="1" applyAlignment="1" applyProtection="1">
      <alignment vertical="center"/>
      <protection locked="0"/>
    </xf>
    <xf numFmtId="200" fontId="10" fillId="0" borderId="0" xfId="0" applyNumberFormat="1" applyFont="1" applyAlignment="1">
      <alignment/>
    </xf>
    <xf numFmtId="193" fontId="10" fillId="0" borderId="0" xfId="0" applyNumberFormat="1" applyFont="1" applyAlignment="1">
      <alignment/>
    </xf>
    <xf numFmtId="0" fontId="12" fillId="0" borderId="14" xfId="0" applyFont="1" applyFill="1" applyBorder="1" applyAlignment="1">
      <alignment vertical="center"/>
    </xf>
    <xf numFmtId="0" fontId="12" fillId="0" borderId="15" xfId="0" applyFont="1" applyFill="1" applyBorder="1" applyAlignment="1">
      <alignment horizontal="left" vertical="center"/>
    </xf>
    <xf numFmtId="0" fontId="12" fillId="0" borderId="12" xfId="0" applyFont="1" applyFill="1" applyBorder="1" applyAlignment="1">
      <alignment horizontal="left" vertical="center"/>
    </xf>
    <xf numFmtId="0" fontId="32" fillId="34" borderId="37" xfId="0" applyFont="1" applyFill="1" applyBorder="1" applyAlignment="1">
      <alignment horizontal="right"/>
    </xf>
    <xf numFmtId="0" fontId="32" fillId="35" borderId="37" xfId="0" applyFont="1" applyFill="1" applyBorder="1" applyAlignment="1">
      <alignment horizontal="right"/>
    </xf>
    <xf numFmtId="0" fontId="32" fillId="34" borderId="38" xfId="0" applyFont="1" applyFill="1" applyBorder="1" applyAlignment="1">
      <alignment/>
    </xf>
    <xf numFmtId="0" fontId="32" fillId="34" borderId="39" xfId="0" applyFont="1" applyFill="1" applyBorder="1" applyAlignment="1">
      <alignment/>
    </xf>
    <xf numFmtId="3" fontId="32" fillId="35" borderId="38" xfId="0" applyNumberFormat="1" applyFont="1" applyFill="1" applyBorder="1" applyAlignment="1">
      <alignment horizontal="right"/>
    </xf>
    <xf numFmtId="3" fontId="32" fillId="35" borderId="39" xfId="0" applyNumberFormat="1" applyFont="1" applyFill="1" applyBorder="1" applyAlignment="1">
      <alignment horizontal="right"/>
    </xf>
    <xf numFmtId="10" fontId="32" fillId="34" borderId="38" xfId="0" applyNumberFormat="1" applyFont="1" applyFill="1" applyBorder="1" applyAlignment="1">
      <alignment horizontal="right"/>
    </xf>
    <xf numFmtId="10" fontId="32" fillId="34" borderId="39" xfId="0" applyNumberFormat="1" applyFont="1" applyFill="1" applyBorder="1" applyAlignment="1">
      <alignment horizontal="right"/>
    </xf>
    <xf numFmtId="10" fontId="32" fillId="35" borderId="38" xfId="0" applyNumberFormat="1" applyFont="1" applyFill="1" applyBorder="1" applyAlignment="1">
      <alignment horizontal="right"/>
    </xf>
    <xf numFmtId="10" fontId="32" fillId="35" borderId="39" xfId="0" applyNumberFormat="1" applyFont="1" applyFill="1" applyBorder="1" applyAlignment="1">
      <alignment horizontal="right"/>
    </xf>
    <xf numFmtId="193" fontId="12" fillId="0" borderId="23" xfId="40" applyNumberFormat="1" applyFont="1" applyFill="1" applyBorder="1" applyAlignment="1" applyProtection="1">
      <alignment vertical="center"/>
      <protection/>
    </xf>
    <xf numFmtId="192" fontId="12" fillId="0" borderId="23" xfId="40" applyNumberFormat="1" applyFont="1" applyFill="1" applyBorder="1" applyAlignment="1" applyProtection="1">
      <alignment vertical="center"/>
      <protection/>
    </xf>
    <xf numFmtId="192" fontId="12" fillId="0" borderId="27" xfId="40" applyNumberFormat="1" applyFont="1" applyFill="1" applyBorder="1" applyAlignment="1" applyProtection="1">
      <alignment vertical="center"/>
      <protection/>
    </xf>
    <xf numFmtId="0" fontId="32" fillId="0" borderId="40" xfId="0" applyFont="1" applyBorder="1" applyAlignment="1" applyProtection="1">
      <alignment vertical="center"/>
      <protection locked="0"/>
    </xf>
    <xf numFmtId="0" fontId="12" fillId="0" borderId="41" xfId="0" applyFont="1" applyFill="1" applyBorder="1" applyAlignment="1">
      <alignment horizontal="left" vertical="center"/>
    </xf>
    <xf numFmtId="184" fontId="12" fillId="0" borderId="42" xfId="0" applyNumberFormat="1" applyFont="1" applyFill="1" applyBorder="1" applyAlignment="1" applyProtection="1">
      <alignment horizontal="center" vertical="center"/>
      <protection locked="0"/>
    </xf>
    <xf numFmtId="0" fontId="12" fillId="0" borderId="42" xfId="0" applyFont="1" applyFill="1" applyBorder="1" applyAlignment="1">
      <alignment horizontal="left" vertical="center"/>
    </xf>
    <xf numFmtId="0" fontId="12" fillId="0" borderId="42" xfId="0" applyFont="1" applyFill="1" applyBorder="1" applyAlignment="1">
      <alignment horizontal="center" vertical="center"/>
    </xf>
    <xf numFmtId="0" fontId="43" fillId="0" borderId="0" xfId="0" applyFont="1" applyFill="1" applyBorder="1" applyAlignment="1" applyProtection="1">
      <alignment vertical="center"/>
      <protection locked="0"/>
    </xf>
    <xf numFmtId="0" fontId="15" fillId="0" borderId="0" xfId="0" applyFont="1" applyFill="1" applyBorder="1" applyAlignment="1">
      <alignment/>
    </xf>
    <xf numFmtId="0" fontId="21" fillId="0" borderId="43" xfId="0" applyFont="1" applyFill="1" applyBorder="1" applyAlignment="1">
      <alignment horizontal="right" vertical="center"/>
    </xf>
    <xf numFmtId="192" fontId="12" fillId="0" borderId="44" xfId="40" applyNumberFormat="1" applyFont="1" applyFill="1" applyBorder="1" applyAlignment="1" applyProtection="1">
      <alignment horizontal="right" vertical="center"/>
      <protection/>
    </xf>
    <xf numFmtId="4" fontId="32" fillId="0" borderId="0" xfId="0" applyNumberFormat="1" applyFont="1" applyFill="1" applyAlignment="1">
      <alignment/>
    </xf>
    <xf numFmtId="3" fontId="32" fillId="0" borderId="0" xfId="0" applyNumberFormat="1" applyFont="1" applyFill="1" applyAlignment="1">
      <alignment/>
    </xf>
    <xf numFmtId="1" fontId="12" fillId="0" borderId="42" xfId="50" applyFont="1" applyFill="1" applyBorder="1" applyAlignment="1">
      <alignment horizontal="center" vertical="center"/>
      <protection/>
    </xf>
    <xf numFmtId="192" fontId="12" fillId="0" borderId="13" xfId="40" applyNumberFormat="1" applyFont="1" applyFill="1" applyBorder="1" applyAlignment="1" applyProtection="1">
      <alignment vertical="center"/>
      <protection/>
    </xf>
    <xf numFmtId="200" fontId="32" fillId="0" borderId="14" xfId="0" applyNumberFormat="1" applyFont="1" applyFill="1" applyBorder="1" applyAlignment="1">
      <alignment vertical="center"/>
    </xf>
    <xf numFmtId="193" fontId="32" fillId="0" borderId="14" xfId="0" applyNumberFormat="1" applyFont="1" applyFill="1" applyBorder="1" applyAlignment="1">
      <alignment vertical="center"/>
    </xf>
    <xf numFmtId="192" fontId="12" fillId="0" borderId="26" xfId="40" applyNumberFormat="1" applyFont="1" applyFill="1" applyBorder="1" applyAlignment="1" applyProtection="1">
      <alignment vertical="center"/>
      <protection/>
    </xf>
    <xf numFmtId="0" fontId="42" fillId="0" borderId="33" xfId="0" applyFont="1" applyFill="1" applyBorder="1" applyAlignment="1" applyProtection="1">
      <alignment vertical="center"/>
      <protection locked="0"/>
    </xf>
    <xf numFmtId="0" fontId="30" fillId="0" borderId="33" xfId="0" applyFont="1" applyBorder="1" applyAlignment="1">
      <alignment/>
    </xf>
    <xf numFmtId="0" fontId="43" fillId="0" borderId="33" xfId="0" applyFont="1" applyFill="1" applyBorder="1" applyAlignment="1" applyProtection="1">
      <alignment vertical="center"/>
      <protection locked="0"/>
    </xf>
    <xf numFmtId="0" fontId="15" fillId="0" borderId="33" xfId="0" applyFont="1" applyFill="1" applyBorder="1" applyAlignment="1">
      <alignment/>
    </xf>
    <xf numFmtId="200" fontId="32" fillId="0" borderId="15" xfId="0" applyNumberFormat="1" applyFont="1" applyFill="1" applyBorder="1" applyAlignment="1">
      <alignment vertical="center"/>
    </xf>
    <xf numFmtId="193" fontId="32" fillId="0" borderId="15" xfId="0" applyNumberFormat="1" applyFont="1" applyFill="1" applyBorder="1" applyAlignment="1">
      <alignment vertical="center"/>
    </xf>
    <xf numFmtId="0" fontId="15" fillId="0" borderId="33" xfId="0" applyFont="1" applyFill="1" applyBorder="1" applyAlignment="1">
      <alignment vertical="center"/>
    </xf>
    <xf numFmtId="200" fontId="32" fillId="0" borderId="42" xfId="0" applyNumberFormat="1" applyFont="1" applyFill="1" applyBorder="1" applyAlignment="1">
      <alignment horizontal="right" vertical="center"/>
    </xf>
    <xf numFmtId="193" fontId="32" fillId="0" borderId="42" xfId="0" applyNumberFormat="1" applyFont="1" applyFill="1" applyBorder="1" applyAlignment="1">
      <alignment horizontal="right" vertical="center"/>
    </xf>
    <xf numFmtId="0" fontId="33" fillId="0" borderId="0" xfId="0" applyFont="1" applyFill="1" applyBorder="1" applyAlignment="1" applyProtection="1">
      <alignment vertical="center"/>
      <protection locked="0"/>
    </xf>
    <xf numFmtId="0" fontId="35" fillId="0" borderId="0" xfId="0" applyFont="1" applyFill="1" applyBorder="1" applyAlignment="1" applyProtection="1">
      <alignment horizontal="center" vertical="center" wrapText="1"/>
      <protection locked="0"/>
    </xf>
    <xf numFmtId="193" fontId="12" fillId="0" borderId="12" xfId="40" applyNumberFormat="1" applyFont="1" applyFill="1" applyBorder="1" applyAlignment="1" applyProtection="1">
      <alignment horizontal="right" vertical="center"/>
      <protection/>
    </xf>
    <xf numFmtId="0" fontId="12" fillId="0" borderId="14" xfId="0" applyFont="1" applyBorder="1" applyAlignment="1">
      <alignment horizontal="left" vertical="center"/>
    </xf>
    <xf numFmtId="184" fontId="12" fillId="0" borderId="14" xfId="0" applyNumberFormat="1" applyFont="1" applyBorder="1" applyAlignment="1" applyProtection="1">
      <alignment horizontal="center" vertical="center"/>
      <protection locked="0"/>
    </xf>
    <xf numFmtId="0" fontId="12" fillId="0" borderId="14" xfId="0" applyFont="1" applyBorder="1" applyAlignment="1">
      <alignment horizontal="center" vertical="center"/>
    </xf>
    <xf numFmtId="200" fontId="32" fillId="0" borderId="14" xfId="0" applyNumberFormat="1" applyFont="1" applyBorder="1" applyAlignment="1">
      <alignment vertical="center"/>
    </xf>
    <xf numFmtId="193" fontId="32" fillId="0" borderId="14" xfId="0" applyNumberFormat="1" applyFont="1" applyBorder="1" applyAlignment="1">
      <alignment vertical="center"/>
    </xf>
    <xf numFmtId="193" fontId="12" fillId="0" borderId="14" xfId="0" applyNumberFormat="1" applyFont="1" applyBorder="1" applyAlignment="1">
      <alignment vertical="center"/>
    </xf>
    <xf numFmtId="192" fontId="12" fillId="0" borderId="14" xfId="0" applyNumberFormat="1" applyFont="1" applyBorder="1" applyAlignment="1">
      <alignment vertical="center"/>
    </xf>
    <xf numFmtId="200" fontId="12" fillId="0" borderId="14" xfId="0" applyNumberFormat="1" applyFont="1" applyBorder="1" applyAlignment="1">
      <alignment vertical="center"/>
    </xf>
    <xf numFmtId="0" fontId="12" fillId="0" borderId="24" xfId="0" applyFont="1" applyBorder="1" applyAlignment="1">
      <alignment horizontal="left" vertical="center"/>
    </xf>
    <xf numFmtId="184" fontId="12" fillId="0" borderId="15" xfId="0" applyNumberFormat="1" applyFont="1" applyBorder="1" applyAlignment="1" applyProtection="1">
      <alignment horizontal="center" vertical="center"/>
      <protection locked="0"/>
    </xf>
    <xf numFmtId="0" fontId="12" fillId="0" borderId="15" xfId="0" applyFont="1" applyBorder="1" applyAlignment="1">
      <alignment horizontal="left" vertical="center"/>
    </xf>
    <xf numFmtId="0" fontId="12" fillId="0" borderId="15" xfId="0" applyFont="1" applyBorder="1" applyAlignment="1">
      <alignment horizontal="center" vertical="center"/>
    </xf>
    <xf numFmtId="200" fontId="32" fillId="0" borderId="15" xfId="0" applyNumberFormat="1" applyFont="1" applyBorder="1" applyAlignment="1">
      <alignment vertical="center"/>
    </xf>
    <xf numFmtId="193" fontId="32" fillId="0" borderId="15" xfId="0" applyNumberFormat="1" applyFont="1" applyBorder="1" applyAlignment="1">
      <alignment vertical="center"/>
    </xf>
    <xf numFmtId="193" fontId="12" fillId="0" borderId="15" xfId="0" applyNumberFormat="1" applyFont="1" applyBorder="1" applyAlignment="1">
      <alignment vertical="center"/>
    </xf>
    <xf numFmtId="192" fontId="12" fillId="0" borderId="15" xfId="0" applyNumberFormat="1" applyFont="1" applyBorder="1" applyAlignment="1">
      <alignment vertical="center"/>
    </xf>
    <xf numFmtId="200" fontId="12" fillId="0" borderId="15" xfId="0" applyNumberFormat="1" applyFont="1" applyBorder="1" applyAlignment="1">
      <alignment vertical="center"/>
    </xf>
    <xf numFmtId="192" fontId="12" fillId="0" borderId="26" xfId="0" applyNumberFormat="1" applyFont="1" applyBorder="1" applyAlignment="1">
      <alignment vertical="center"/>
    </xf>
    <xf numFmtId="0" fontId="12" fillId="0" borderId="17" xfId="0" applyFont="1" applyBorder="1" applyAlignment="1">
      <alignment horizontal="left" vertical="center"/>
    </xf>
    <xf numFmtId="192" fontId="12" fillId="0" borderId="19" xfId="0" applyNumberFormat="1" applyFont="1" applyBorder="1" applyAlignment="1">
      <alignment vertical="center"/>
    </xf>
    <xf numFmtId="0" fontId="12" fillId="0" borderId="25" xfId="0" applyFont="1" applyBorder="1" applyAlignment="1">
      <alignment horizontal="left" vertical="center"/>
    </xf>
    <xf numFmtId="184" fontId="12" fillId="0" borderId="23" xfId="0" applyNumberFormat="1" applyFont="1" applyBorder="1" applyAlignment="1" applyProtection="1">
      <alignment horizontal="center" vertical="center"/>
      <protection locked="0"/>
    </xf>
    <xf numFmtId="0" fontId="12" fillId="0" borderId="23" xfId="0" applyFont="1" applyBorder="1" applyAlignment="1">
      <alignment horizontal="left" vertical="center"/>
    </xf>
    <xf numFmtId="0" fontId="12" fillId="0" borderId="23" xfId="0" applyFont="1" applyBorder="1" applyAlignment="1">
      <alignment horizontal="center" vertical="center"/>
    </xf>
    <xf numFmtId="200" fontId="32" fillId="0" borderId="23" xfId="0" applyNumberFormat="1" applyFont="1" applyBorder="1" applyAlignment="1">
      <alignment vertical="center"/>
    </xf>
    <xf numFmtId="193" fontId="32" fillId="0" borderId="23" xfId="0" applyNumberFormat="1" applyFont="1" applyBorder="1" applyAlignment="1">
      <alignment vertical="center"/>
    </xf>
    <xf numFmtId="193" fontId="12" fillId="0" borderId="23" xfId="0" applyNumberFormat="1" applyFont="1" applyBorder="1" applyAlignment="1">
      <alignment vertical="center"/>
    </xf>
    <xf numFmtId="192" fontId="12" fillId="0" borderId="23" xfId="0" applyNumberFormat="1" applyFont="1" applyBorder="1" applyAlignment="1">
      <alignment vertical="center"/>
    </xf>
    <xf numFmtId="200" fontId="12" fillId="0" borderId="23" xfId="0" applyNumberFormat="1" applyFont="1" applyBorder="1" applyAlignment="1">
      <alignment vertical="center"/>
    </xf>
    <xf numFmtId="192" fontId="12" fillId="0" borderId="27" xfId="0" applyNumberFormat="1" applyFont="1" applyBorder="1" applyAlignment="1">
      <alignment vertical="center"/>
    </xf>
    <xf numFmtId="0" fontId="30" fillId="0" borderId="33" xfId="0" applyFont="1" applyBorder="1" applyAlignment="1" applyProtection="1">
      <alignment vertical="center"/>
      <protection locked="0"/>
    </xf>
    <xf numFmtId="0" fontId="15" fillId="0" borderId="33" xfId="0" applyFont="1" applyBorder="1" applyAlignment="1" applyProtection="1">
      <alignment vertical="center"/>
      <protection locked="0"/>
    </xf>
    <xf numFmtId="0" fontId="12" fillId="0" borderId="28" xfId="0" applyFont="1" applyBorder="1" applyAlignment="1">
      <alignment horizontal="left" vertical="center"/>
    </xf>
    <xf numFmtId="184" fontId="12" fillId="0" borderId="12" xfId="0" applyNumberFormat="1" applyFont="1" applyBorder="1" applyAlignment="1" applyProtection="1">
      <alignment horizontal="center" vertical="center"/>
      <protection locked="0"/>
    </xf>
    <xf numFmtId="0" fontId="12" fillId="0" borderId="12" xfId="0" applyFont="1" applyBorder="1" applyAlignment="1">
      <alignment horizontal="left" vertical="center"/>
    </xf>
    <xf numFmtId="0" fontId="12" fillId="0" borderId="12" xfId="0" applyFont="1" applyBorder="1" applyAlignment="1">
      <alignment horizontal="center" vertical="center"/>
    </xf>
    <xf numFmtId="200" fontId="32" fillId="0" borderId="12" xfId="0" applyNumberFormat="1" applyFont="1" applyBorder="1" applyAlignment="1">
      <alignment vertical="center"/>
    </xf>
    <xf numFmtId="193" fontId="32" fillId="0" borderId="12" xfId="0" applyNumberFormat="1" applyFont="1" applyBorder="1" applyAlignment="1">
      <alignment vertical="center"/>
    </xf>
    <xf numFmtId="193" fontId="12" fillId="0" borderId="12" xfId="0" applyNumberFormat="1" applyFont="1" applyBorder="1" applyAlignment="1">
      <alignment vertical="center"/>
    </xf>
    <xf numFmtId="192" fontId="12" fillId="0" borderId="12" xfId="0" applyNumberFormat="1" applyFont="1" applyBorder="1" applyAlignment="1">
      <alignment vertical="center"/>
    </xf>
    <xf numFmtId="200" fontId="12" fillId="0" borderId="12" xfId="0" applyNumberFormat="1" applyFont="1" applyBorder="1" applyAlignment="1">
      <alignment vertical="center"/>
    </xf>
    <xf numFmtId="192" fontId="12" fillId="0" borderId="13" xfId="0" applyNumberFormat="1" applyFont="1" applyBorder="1" applyAlignment="1">
      <alignment vertical="center"/>
    </xf>
    <xf numFmtId="0" fontId="12" fillId="0" borderId="41" xfId="0" applyFont="1" applyBorder="1" applyAlignment="1">
      <alignment horizontal="left" vertical="center"/>
    </xf>
    <xf numFmtId="184" fontId="12" fillId="0" borderId="42" xfId="0" applyNumberFormat="1" applyFont="1" applyBorder="1" applyAlignment="1" applyProtection="1">
      <alignment horizontal="center" vertical="center"/>
      <protection locked="0"/>
    </xf>
    <xf numFmtId="0" fontId="12" fillId="0" borderId="42" xfId="0" applyFont="1" applyBorder="1" applyAlignment="1">
      <alignment horizontal="left" vertical="center"/>
    </xf>
    <xf numFmtId="0" fontId="12" fillId="0" borderId="42" xfId="0" applyFont="1" applyBorder="1" applyAlignment="1">
      <alignment horizontal="center" vertical="center"/>
    </xf>
    <xf numFmtId="200" fontId="32" fillId="0" borderId="42" xfId="0" applyNumberFormat="1" applyFont="1" applyBorder="1" applyAlignment="1">
      <alignment vertical="center"/>
    </xf>
    <xf numFmtId="193" fontId="32" fillId="0" borderId="42" xfId="0" applyNumberFormat="1" applyFont="1" applyBorder="1" applyAlignment="1">
      <alignment vertical="center"/>
    </xf>
    <xf numFmtId="193" fontId="12" fillId="0" borderId="42" xfId="0" applyNumberFormat="1" applyFont="1" applyBorder="1" applyAlignment="1">
      <alignment vertical="center"/>
    </xf>
    <xf numFmtId="192" fontId="12" fillId="0" borderId="42" xfId="0" applyNumberFormat="1" applyFont="1" applyBorder="1" applyAlignment="1">
      <alignment vertical="center"/>
    </xf>
    <xf numFmtId="200" fontId="12" fillId="0" borderId="42" xfId="0" applyNumberFormat="1" applyFont="1" applyBorder="1" applyAlignment="1">
      <alignment vertical="center"/>
    </xf>
    <xf numFmtId="192" fontId="12" fillId="0" borderId="44" xfId="0" applyNumberFormat="1" applyFont="1" applyBorder="1" applyAlignment="1">
      <alignment vertical="center"/>
    </xf>
    <xf numFmtId="49" fontId="12" fillId="0" borderId="28" xfId="0" applyNumberFormat="1" applyFont="1" applyFill="1" applyBorder="1" applyAlignment="1" applyProtection="1">
      <alignment horizontal="left" vertical="center"/>
      <protection locked="0"/>
    </xf>
    <xf numFmtId="49" fontId="12" fillId="0" borderId="12" xfId="0" applyNumberFormat="1" applyFont="1" applyFill="1" applyBorder="1" applyAlignment="1" applyProtection="1">
      <alignment horizontal="left" vertical="center"/>
      <protection locked="0"/>
    </xf>
    <xf numFmtId="1" fontId="12" fillId="0" borderId="12" xfId="0" applyNumberFormat="1" applyFont="1" applyFill="1" applyBorder="1" applyAlignment="1" applyProtection="1">
      <alignment horizontal="center" vertical="center"/>
      <protection locked="0"/>
    </xf>
    <xf numFmtId="1" fontId="12" fillId="0" borderId="12" xfId="0" applyNumberFormat="1" applyFont="1" applyFill="1" applyBorder="1" applyAlignment="1">
      <alignment horizontal="center" vertical="center"/>
    </xf>
    <xf numFmtId="200" fontId="32" fillId="0" borderId="12" xfId="40" applyNumberFormat="1" applyFont="1" applyFill="1" applyBorder="1" applyAlignment="1" applyProtection="1">
      <alignment horizontal="right" vertical="center"/>
      <protection locked="0"/>
    </xf>
    <xf numFmtId="193" fontId="32" fillId="0" borderId="12" xfId="40" applyNumberFormat="1" applyFont="1" applyFill="1" applyBorder="1" applyAlignment="1" applyProtection="1">
      <alignment horizontal="right" vertical="center"/>
      <protection locked="0"/>
    </xf>
    <xf numFmtId="200" fontId="12" fillId="0" borderId="12" xfId="40" applyNumberFormat="1" applyFont="1" applyFill="1" applyBorder="1" applyAlignment="1" applyProtection="1">
      <alignment horizontal="right" vertical="center"/>
      <protection locked="0"/>
    </xf>
    <xf numFmtId="193" fontId="12" fillId="0" borderId="12" xfId="40" applyNumberFormat="1" applyFont="1" applyFill="1" applyBorder="1" applyAlignment="1" applyProtection="1">
      <alignment horizontal="right" vertical="center"/>
      <protection locked="0"/>
    </xf>
    <xf numFmtId="0" fontId="30" fillId="0" borderId="33" xfId="0" applyFont="1" applyFill="1" applyBorder="1" applyAlignment="1" applyProtection="1">
      <alignment vertical="center"/>
      <protection locked="0"/>
    </xf>
    <xf numFmtId="0" fontId="9" fillId="0" borderId="0" xfId="0" applyNumberFormat="1" applyFont="1" applyFill="1" applyBorder="1" applyAlignment="1" applyProtection="1">
      <alignment horizontal="right" vertical="center" wrapText="1"/>
      <protection locked="0"/>
    </xf>
    <xf numFmtId="0" fontId="0" fillId="0" borderId="0" xfId="0" applyAlignment="1">
      <alignment horizontal="right" vertical="center" wrapText="1"/>
    </xf>
    <xf numFmtId="0" fontId="9" fillId="0" borderId="0" xfId="0" applyFont="1" applyAlignment="1">
      <alignment horizontal="right" vertical="center" wrapText="1"/>
    </xf>
    <xf numFmtId="0" fontId="15" fillId="33" borderId="22" xfId="0" applyFont="1" applyFill="1" applyBorder="1" applyAlignment="1">
      <alignment horizontal="right" vertical="center"/>
    </xf>
    <xf numFmtId="0" fontId="30" fillId="0" borderId="45" xfId="0" applyFont="1" applyBorder="1" applyAlignment="1">
      <alignment horizontal="right" vertical="center"/>
    </xf>
    <xf numFmtId="0" fontId="29" fillId="0" borderId="0" xfId="0" applyFont="1" applyBorder="1" applyAlignment="1" applyProtection="1">
      <alignment horizontal="right" vertical="center" wrapText="1"/>
      <protection locked="0"/>
    </xf>
    <xf numFmtId="0" fontId="13" fillId="0" borderId="0" xfId="0" applyFont="1" applyBorder="1" applyAlignment="1" applyProtection="1">
      <alignment horizontal="right" vertical="center" wrapText="1"/>
      <protection locked="0"/>
    </xf>
    <xf numFmtId="0" fontId="17" fillId="0" borderId="0" xfId="0" applyFont="1" applyBorder="1" applyAlignment="1" applyProtection="1">
      <alignment horizontal="right" vertical="center" wrapText="1"/>
      <protection locked="0"/>
    </xf>
    <xf numFmtId="0" fontId="41" fillId="33" borderId="0" xfId="0" applyFont="1" applyFill="1" applyBorder="1" applyAlignment="1" applyProtection="1">
      <alignment horizontal="center" vertical="center"/>
      <protection/>
    </xf>
    <xf numFmtId="0" fontId="0" fillId="0" borderId="0" xfId="0" applyAlignment="1">
      <alignment horizontal="center"/>
    </xf>
    <xf numFmtId="181" fontId="24" fillId="0" borderId="46" xfId="0" applyNumberFormat="1" applyFont="1" applyFill="1" applyBorder="1" applyAlignment="1" applyProtection="1">
      <alignment horizontal="center" vertical="center" wrapText="1"/>
      <protection/>
    </xf>
    <xf numFmtId="181" fontId="24" fillId="0" borderId="47" xfId="0" applyNumberFormat="1" applyFont="1" applyFill="1" applyBorder="1" applyAlignment="1" applyProtection="1">
      <alignment horizontal="center" vertical="center" wrapText="1"/>
      <protection/>
    </xf>
    <xf numFmtId="0" fontId="24" fillId="0" borderId="46" xfId="0" applyNumberFormat="1" applyFont="1" applyFill="1" applyBorder="1" applyAlignment="1" applyProtection="1">
      <alignment horizontal="center" vertical="center" wrapText="1"/>
      <protection/>
    </xf>
    <xf numFmtId="0" fontId="26" fillId="0" borderId="11" xfId="0" applyFont="1" applyBorder="1" applyAlignment="1">
      <alignment horizontal="center" vertical="center"/>
    </xf>
    <xf numFmtId="179" fontId="24" fillId="0" borderId="46" xfId="40" applyFont="1" applyFill="1" applyBorder="1" applyAlignment="1" applyProtection="1">
      <alignment horizontal="center" vertical="center" wrapText="1"/>
      <protection/>
    </xf>
    <xf numFmtId="0" fontId="24" fillId="0" borderId="46" xfId="0" applyFont="1" applyFill="1" applyBorder="1" applyAlignment="1" applyProtection="1">
      <alignment horizontal="center" vertical="center" wrapText="1"/>
      <protection/>
    </xf>
    <xf numFmtId="0" fontId="24" fillId="0" borderId="48" xfId="0" applyNumberFormat="1" applyFont="1" applyFill="1" applyBorder="1" applyAlignment="1" applyProtection="1">
      <alignment horizontal="center" vertical="center" wrapText="1"/>
      <protection/>
    </xf>
    <xf numFmtId="0" fontId="26" fillId="0" borderId="49" xfId="0" applyFont="1" applyBorder="1" applyAlignment="1">
      <alignment horizontal="center" vertical="center" wrapText="1"/>
    </xf>
    <xf numFmtId="4" fontId="24" fillId="0" borderId="46" xfId="0" applyNumberFormat="1" applyFont="1" applyFill="1" applyBorder="1" applyAlignment="1" applyProtection="1">
      <alignment horizontal="center" vertical="center" wrapText="1"/>
      <protection/>
    </xf>
    <xf numFmtId="184" fontId="24" fillId="0" borderId="46" xfId="0" applyNumberFormat="1" applyFont="1" applyFill="1" applyBorder="1" applyAlignment="1" applyProtection="1">
      <alignment horizontal="center" vertical="center" wrapText="1"/>
      <protection/>
    </xf>
    <xf numFmtId="184" fontId="26" fillId="0" borderId="11" xfId="0" applyNumberFormat="1" applyFont="1" applyBorder="1" applyAlignment="1">
      <alignment horizontal="center" vertical="center"/>
    </xf>
    <xf numFmtId="0" fontId="14" fillId="33" borderId="12" xfId="0" applyFont="1" applyFill="1" applyBorder="1" applyAlignment="1">
      <alignment horizontal="center" vertical="center"/>
    </xf>
    <xf numFmtId="0" fontId="24" fillId="0" borderId="48" xfId="0" applyNumberFormat="1" applyFont="1" applyFill="1" applyBorder="1" applyAlignment="1">
      <alignment horizontal="center" vertical="center" wrapText="1"/>
    </xf>
    <xf numFmtId="0" fontId="24" fillId="0" borderId="49" xfId="0" applyNumberFormat="1" applyFont="1" applyFill="1" applyBorder="1" applyAlignment="1">
      <alignment horizontal="center" vertical="center" wrapText="1"/>
    </xf>
    <xf numFmtId="0" fontId="24" fillId="0" borderId="49" xfId="0" applyNumberFormat="1" applyFont="1" applyFill="1" applyBorder="1" applyAlignment="1" applyProtection="1">
      <alignment horizontal="center" vertical="center" wrapText="1"/>
      <protection/>
    </xf>
    <xf numFmtId="0" fontId="24" fillId="0" borderId="50" xfId="0" applyNumberFormat="1" applyFont="1" applyFill="1" applyBorder="1" applyAlignment="1" applyProtection="1">
      <alignment horizontal="center" vertical="center" wrapText="1"/>
      <protection/>
    </xf>
    <xf numFmtId="0" fontId="24" fillId="0" borderId="51" xfId="0" applyNumberFormat="1" applyFont="1" applyFill="1" applyBorder="1" applyAlignment="1" applyProtection="1">
      <alignment horizontal="center" vertical="center" wrapText="1"/>
      <protection/>
    </xf>
    <xf numFmtId="192" fontId="24" fillId="0" borderId="52" xfId="0" applyNumberFormat="1" applyFont="1" applyFill="1" applyBorder="1" applyAlignment="1" applyProtection="1">
      <alignment horizontal="center" vertical="center" wrapText="1"/>
      <protection/>
    </xf>
    <xf numFmtId="192" fontId="24" fillId="0" borderId="53" xfId="0" applyNumberFormat="1" applyFont="1" applyFill="1" applyBorder="1" applyAlignment="1" applyProtection="1">
      <alignment horizontal="center" vertical="center" wrapText="1"/>
      <protection/>
    </xf>
    <xf numFmtId="0" fontId="28" fillId="36" borderId="54" xfId="0" applyFont="1" applyFill="1" applyBorder="1" applyAlignment="1">
      <alignment horizontal="center" vertical="center" wrapText="1"/>
    </xf>
    <xf numFmtId="0" fontId="39" fillId="0" borderId="46" xfId="0" applyFont="1" applyFill="1" applyBorder="1" applyAlignment="1" applyProtection="1">
      <alignment horizontal="center" vertical="center" wrapText="1"/>
      <protection/>
    </xf>
    <xf numFmtId="0" fontId="10" fillId="0" borderId="31" xfId="0" applyFont="1" applyBorder="1" applyAlignment="1">
      <alignment horizontal="center" vertical="center"/>
    </xf>
    <xf numFmtId="0" fontId="39" fillId="0" borderId="46" xfId="0" applyNumberFormat="1" applyFont="1" applyFill="1" applyBorder="1" applyAlignment="1" applyProtection="1">
      <alignment horizontal="center" vertical="center" wrapText="1"/>
      <protection/>
    </xf>
    <xf numFmtId="0" fontId="49" fillId="36" borderId="54" xfId="0" applyFont="1" applyFill="1" applyBorder="1" applyAlignment="1">
      <alignment horizontal="center" vertical="center" wrapText="1"/>
    </xf>
    <xf numFmtId="0" fontId="51" fillId="36" borderId="54" xfId="0" applyFont="1" applyFill="1" applyBorder="1" applyAlignment="1">
      <alignment vertical="center" wrapText="1"/>
    </xf>
    <xf numFmtId="0" fontId="10" fillId="36" borderId="54" xfId="0" applyFont="1" applyFill="1" applyBorder="1" applyAlignment="1">
      <alignment wrapText="1"/>
    </xf>
    <xf numFmtId="0" fontId="10" fillId="36" borderId="54" xfId="0" applyFont="1" applyFill="1" applyBorder="1" applyAlignment="1">
      <alignment wrapText="1"/>
    </xf>
    <xf numFmtId="0" fontId="0" fillId="0" borderId="0" xfId="0" applyBorder="1" applyAlignment="1">
      <alignment horizontal="right" vertical="center" wrapText="1"/>
    </xf>
    <xf numFmtId="179" fontId="39" fillId="0" borderId="55" xfId="40" applyFont="1" applyFill="1" applyBorder="1" applyAlignment="1" applyProtection="1">
      <alignment horizontal="center" vertical="center" wrapText="1"/>
      <protection/>
    </xf>
    <xf numFmtId="0" fontId="10" fillId="0" borderId="56" xfId="0" applyFont="1" applyBorder="1" applyAlignment="1">
      <alignment horizontal="center" vertical="center"/>
    </xf>
    <xf numFmtId="184" fontId="39" fillId="0" borderId="46" xfId="0" applyNumberFormat="1" applyFont="1" applyFill="1" applyBorder="1" applyAlignment="1" applyProtection="1">
      <alignment horizontal="center" vertical="center" wrapText="1"/>
      <protection/>
    </xf>
    <xf numFmtId="184" fontId="10" fillId="0" borderId="31" xfId="0" applyNumberFormat="1" applyFont="1" applyBorder="1" applyAlignment="1">
      <alignment horizontal="center" vertical="center"/>
    </xf>
    <xf numFmtId="0" fontId="9" fillId="0" borderId="0" xfId="0" applyFont="1" applyBorder="1" applyAlignment="1">
      <alignment horizontal="right" vertical="center" wrapText="1"/>
    </xf>
    <xf numFmtId="0" fontId="0" fillId="0" borderId="0" xfId="0" applyBorder="1" applyAlignment="1">
      <alignment vertical="center" wrapText="1"/>
    </xf>
    <xf numFmtId="0" fontId="39" fillId="0" borderId="48" xfId="0" applyNumberFormat="1" applyFont="1" applyFill="1" applyBorder="1" applyAlignment="1" applyProtection="1">
      <alignment horizontal="center" vertical="center" wrapText="1"/>
      <protection/>
    </xf>
    <xf numFmtId="0" fontId="10" fillId="0" borderId="57" xfId="0" applyFont="1" applyBorder="1" applyAlignment="1">
      <alignment horizontal="center" vertical="center" wrapText="1"/>
    </xf>
    <xf numFmtId="4" fontId="39" fillId="0" borderId="46" xfId="0" applyNumberFormat="1" applyFont="1" applyFill="1" applyBorder="1" applyAlignment="1" applyProtection="1">
      <alignment horizontal="center" vertical="center" wrapText="1"/>
      <protection/>
    </xf>
    <xf numFmtId="181" fontId="39" fillId="0" borderId="46" xfId="0" applyNumberFormat="1" applyFont="1" applyFill="1" applyBorder="1" applyAlignment="1" applyProtection="1">
      <alignment horizontal="center" vertical="center" wrapText="1"/>
      <protection/>
    </xf>
    <xf numFmtId="181" fontId="39" fillId="0" borderId="47" xfId="0" applyNumberFormat="1" applyFont="1" applyFill="1" applyBorder="1" applyAlignment="1" applyProtection="1">
      <alignment horizontal="center" vertical="center" wrapText="1"/>
      <protection/>
    </xf>
    <xf numFmtId="0" fontId="32" fillId="34" borderId="0" xfId="0" applyNumberFormat="1" applyFont="1" applyFill="1" applyBorder="1" applyAlignment="1">
      <alignment horizontal="center" wrapText="1"/>
    </xf>
    <xf numFmtId="0" fontId="12" fillId="34" borderId="0" xfId="0" applyNumberFormat="1" applyFont="1" applyFill="1" applyBorder="1" applyAlignment="1">
      <alignment horizontal="center" wrapText="1"/>
    </xf>
    <xf numFmtId="0" fontId="46" fillId="34" borderId="0" xfId="0" applyNumberFormat="1" applyFont="1" applyFill="1" applyBorder="1" applyAlignment="1">
      <alignment horizontal="center" wrapText="1"/>
    </xf>
    <xf numFmtId="0" fontId="47" fillId="34" borderId="0" xfId="0" applyNumberFormat="1" applyFont="1" applyFill="1" applyBorder="1" applyAlignment="1">
      <alignment horizontal="center" wrapText="1"/>
    </xf>
  </cellXfs>
  <cellStyles count="51">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Followed Hyperlink" xfId="47"/>
    <cellStyle name="Hyperlink" xfId="48"/>
    <cellStyle name="Kötü" xfId="49"/>
    <cellStyle name="Normal_08 Feb - 10 Feb (WE 07)_1" xfId="50"/>
    <cellStyle name="Normal_Sayfa1" xfId="51"/>
    <cellStyle name="Not" xfId="52"/>
    <cellStyle name="Nötr" xfId="53"/>
    <cellStyle name="Currency" xfId="54"/>
    <cellStyle name="Currency [0]" xfId="55"/>
    <cellStyle name="Toplam" xfId="56"/>
    <cellStyle name="Uyarı Metni" xfId="57"/>
    <cellStyle name="Vurgu1" xfId="58"/>
    <cellStyle name="Vurgu2" xfId="59"/>
    <cellStyle name="Vurgu3" xfId="60"/>
    <cellStyle name="Vurgu4" xfId="61"/>
    <cellStyle name="Vurgu5" xfId="62"/>
    <cellStyle name="Vurgu6" xfId="63"/>
    <cellStyle name="Percen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28575</xdr:rowOff>
    </xdr:from>
    <xdr:to>
      <xdr:col>14</xdr:col>
      <xdr:colOff>419100</xdr:colOff>
      <xdr:row>0</xdr:row>
      <xdr:rowOff>1076325</xdr:rowOff>
    </xdr:to>
    <xdr:sp>
      <xdr:nvSpPr>
        <xdr:cNvPr id="1" name="Text Box 1"/>
        <xdr:cNvSpPr txBox="1">
          <a:spLocks noChangeArrowheads="1"/>
        </xdr:cNvSpPr>
      </xdr:nvSpPr>
      <xdr:spPr>
        <a:xfrm>
          <a:off x="0" y="28575"/>
          <a:ext cx="12325350" cy="1047750"/>
        </a:xfrm>
        <a:prstGeom prst="rect">
          <a:avLst/>
        </a:prstGeom>
        <a:solidFill>
          <a:srgbClr val="993366"/>
        </a:solidFill>
        <a:ln w="38100" cmpd="dbl">
          <a:noFill/>
        </a:ln>
      </xdr:spPr>
      <xdr:txBody>
        <a:bodyPr vertOverflow="clip" wrap="square" lIns="82296" tIns="64008" rIns="82296" bIns="64008" anchor="ctr"/>
        <a:p>
          <a:pPr algn="ctr">
            <a:defRPr/>
          </a:pPr>
          <a:r>
            <a:rPr lang="en-US" cap="none" sz="4000" b="0" i="0" u="none" baseline="0">
              <a:solidFill>
                <a:srgbClr val="FFFFFF"/>
              </a:solidFill>
              <a:latin typeface="Impact"/>
              <a:ea typeface="Impact"/>
              <a:cs typeface="Impact"/>
            </a:rPr>
            <a:t>TÜRK</a:t>
          </a:r>
          <a:r>
            <a:rPr lang="en-US" cap="none" sz="4000" b="0" i="0" u="none" baseline="0">
              <a:solidFill>
                <a:srgbClr val="FFFFFF"/>
              </a:solidFill>
              <a:latin typeface="Arial"/>
              <a:ea typeface="Arial"/>
              <a:cs typeface="Arial"/>
            </a:rPr>
            <a:t>İ</a:t>
          </a:r>
          <a:r>
            <a:rPr lang="en-US" cap="none" sz="4000" b="0" i="0" u="none" baseline="0">
              <a:solidFill>
                <a:srgbClr val="FFFFFF"/>
              </a:solidFill>
              <a:latin typeface="Impact"/>
              <a:ea typeface="Impact"/>
              <a:cs typeface="Impact"/>
            </a:rPr>
            <a:t>YE'S WEEKLY MARKET DATA    </a:t>
          </a:r>
          <a:r>
            <a:rPr lang="en-US" cap="none" sz="2600" b="0" i="0" u="none" baseline="0">
              <a:solidFill>
                <a:srgbClr val="FFFFFF"/>
              </a:solidFill>
              <a:latin typeface="Impact"/>
              <a:ea typeface="Impact"/>
              <a:cs typeface="Impact"/>
            </a:rPr>
            <a:t>
</a:t>
          </a:r>
          <a:r>
            <a:rPr lang="en-US" cap="none" sz="2600" b="0" i="0" u="none" baseline="0">
              <a:solidFill>
                <a:srgbClr val="FFFFFF"/>
              </a:solidFill>
              <a:latin typeface="Impact"/>
              <a:ea typeface="Impact"/>
              <a:cs typeface="Impact"/>
            </a:rPr>
            <a:t>WEEKLY BOX OFFICE &amp; ADMISSION REPORT</a:t>
          </a:r>
        </a:p>
      </xdr:txBody>
    </xdr:sp>
    <xdr:clientData/>
  </xdr:twoCellAnchor>
  <xdr:twoCellAnchor>
    <xdr:from>
      <xdr:col>10</xdr:col>
      <xdr:colOff>76200</xdr:colOff>
      <xdr:row>0</xdr:row>
      <xdr:rowOff>466725</xdr:rowOff>
    </xdr:from>
    <xdr:to>
      <xdr:col>14</xdr:col>
      <xdr:colOff>400050</xdr:colOff>
      <xdr:row>0</xdr:row>
      <xdr:rowOff>1066800</xdr:rowOff>
    </xdr:to>
    <xdr:sp fLocksText="0">
      <xdr:nvSpPr>
        <xdr:cNvPr id="2" name="Text Box 2"/>
        <xdr:cNvSpPr txBox="1">
          <a:spLocks noChangeArrowheads="1"/>
        </xdr:cNvSpPr>
      </xdr:nvSpPr>
      <xdr:spPr>
        <a:xfrm>
          <a:off x="9258300" y="466725"/>
          <a:ext cx="3048000" cy="600075"/>
        </a:xfrm>
        <a:prstGeom prst="rect">
          <a:avLst/>
        </a:prstGeom>
        <a:solidFill>
          <a:srgbClr val="993366"/>
        </a:solidFill>
        <a:ln w="9525" cmpd="sng">
          <a:noFill/>
        </a:ln>
      </xdr:spPr>
      <xdr:txBody>
        <a:bodyPr vertOverflow="clip" wrap="square" lIns="0" tIns="41148" rIns="45720" bIns="0"/>
        <a:p>
          <a:pPr algn="r">
            <a:defRPr/>
          </a:pPr>
          <a:r>
            <a:rPr lang="en-US" cap="none" sz="2000" b="0" i="0" u="none" baseline="0">
              <a:solidFill>
                <a:srgbClr val="FFFFFF"/>
              </a:solidFill>
              <a:latin typeface="Impact"/>
              <a:ea typeface="Impact"/>
              <a:cs typeface="Impact"/>
            </a:rPr>
            <a:t>WEEK: 21
</a:t>
          </a:r>
          <a:r>
            <a:rPr lang="en-US" cap="none" sz="1600" b="0" i="0" u="none" baseline="0">
              <a:solidFill>
                <a:srgbClr val="FFFFFF"/>
              </a:solidFill>
              <a:latin typeface="Impact"/>
              <a:ea typeface="Impact"/>
              <a:cs typeface="Impact"/>
            </a:rPr>
            <a:t>23-29 May 2008</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24</xdr:row>
      <xdr:rowOff>0</xdr:rowOff>
    </xdr:from>
    <xdr:to>
      <xdr:col>13</xdr:col>
      <xdr:colOff>200025</xdr:colOff>
      <xdr:row>27</xdr:row>
      <xdr:rowOff>28575</xdr:rowOff>
    </xdr:to>
    <xdr:sp>
      <xdr:nvSpPr>
        <xdr:cNvPr id="1" name="Text Box 1"/>
        <xdr:cNvSpPr txBox="1">
          <a:spLocks noChangeArrowheads="1"/>
        </xdr:cNvSpPr>
      </xdr:nvSpPr>
      <xdr:spPr>
        <a:xfrm>
          <a:off x="76200" y="4772025"/>
          <a:ext cx="8134350" cy="542925"/>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800" b="1" i="0" u="sng" baseline="0">
              <a:solidFill>
                <a:srgbClr val="000000"/>
              </a:solidFill>
              <a:latin typeface="Arial"/>
              <a:ea typeface="Arial"/>
              <a:cs typeface="Arial"/>
            </a:rPr>
            <a:t>a:</a:t>
          </a:r>
          <a:r>
            <a:rPr lang="en-US" cap="none" sz="800" b="0" i="0" u="none" baseline="0">
              <a:solidFill>
                <a:srgbClr val="000000"/>
              </a:solidFill>
              <a:latin typeface="Arial"/>
              <a:ea typeface="Arial"/>
              <a:cs typeface="Arial"/>
            </a:rPr>
            <a:t> hafta numarasını, </a:t>
          </a:r>
          <a:r>
            <a:rPr lang="en-US" cap="none" sz="800" b="1" i="0" u="sng" baseline="0">
              <a:solidFill>
                <a:srgbClr val="000000"/>
              </a:solidFill>
              <a:latin typeface="Arial"/>
              <a:ea typeface="Arial"/>
              <a:cs typeface="Arial"/>
            </a:rPr>
            <a:t>b:</a:t>
          </a:r>
          <a:r>
            <a:rPr lang="en-US" cap="none" sz="800" b="0" i="0" u="none" baseline="0">
              <a:solidFill>
                <a:srgbClr val="000000"/>
              </a:solidFill>
              <a:latin typeface="Arial"/>
              <a:ea typeface="Arial"/>
              <a:cs typeface="Arial"/>
            </a:rPr>
            <a:t> tarih aralığını,</a:t>
          </a:r>
          <a:r>
            <a:rPr lang="en-US" cap="none" sz="800" b="1" i="0" u="none" baseline="0">
              <a:solidFill>
                <a:srgbClr val="000000"/>
              </a:solidFill>
              <a:latin typeface="Arial"/>
              <a:ea typeface="Arial"/>
              <a:cs typeface="Arial"/>
            </a:rPr>
            <a:t> </a:t>
          </a:r>
          <a:r>
            <a:rPr lang="en-US" cap="none" sz="800" b="1" i="0" u="sng" baseline="0">
              <a:solidFill>
                <a:srgbClr val="000000"/>
              </a:solidFill>
              <a:latin typeface="Arial"/>
              <a:ea typeface="Arial"/>
              <a:cs typeface="Arial"/>
            </a:rPr>
            <a:t>c:</a:t>
          </a:r>
          <a:r>
            <a:rPr lang="en-US" cap="none" sz="800" b="0" i="0" u="none" baseline="0">
              <a:solidFill>
                <a:srgbClr val="000000"/>
              </a:solidFill>
              <a:latin typeface="Arial"/>
              <a:ea typeface="Arial"/>
              <a:cs typeface="Arial"/>
            </a:rPr>
            <a:t> ayı, </a:t>
          </a:r>
          <a:r>
            <a:rPr lang="en-US" cap="none" sz="800" b="1" i="0" u="sng" baseline="0">
              <a:solidFill>
                <a:srgbClr val="000000"/>
              </a:solidFill>
              <a:latin typeface="Arial"/>
              <a:ea typeface="Arial"/>
              <a:cs typeface="Arial"/>
            </a:rPr>
            <a:t>d:</a:t>
          </a:r>
          <a:r>
            <a:rPr lang="en-US" cap="none" sz="800" b="0" i="0" u="none" baseline="0">
              <a:solidFill>
                <a:srgbClr val="000000"/>
              </a:solidFill>
              <a:latin typeface="Arial"/>
              <a:ea typeface="Arial"/>
              <a:cs typeface="Arial"/>
            </a:rPr>
            <a:t> o hafta sinemalarda gösterilen film sayısını, </a:t>
          </a:r>
          <a:r>
            <a:rPr lang="en-US" cap="none" sz="800" b="1" i="0" u="sng" baseline="0">
              <a:solidFill>
                <a:srgbClr val="000000"/>
              </a:solidFill>
              <a:latin typeface="Arial"/>
              <a:ea typeface="Arial"/>
              <a:cs typeface="Arial"/>
            </a:rPr>
            <a:t>e:</a:t>
          </a:r>
          <a:r>
            <a:rPr lang="en-US" cap="none" sz="800" b="0" i="0" u="none" baseline="0">
              <a:solidFill>
                <a:srgbClr val="000000"/>
              </a:solidFill>
              <a:latin typeface="Arial"/>
              <a:ea typeface="Arial"/>
              <a:cs typeface="Arial"/>
            </a:rPr>
            <a:t> toplam hasılatı, </a:t>
          </a:r>
          <a:r>
            <a:rPr lang="en-US" cap="none" sz="800" b="1" i="0" u="sng" baseline="0">
              <a:solidFill>
                <a:srgbClr val="000000"/>
              </a:solidFill>
              <a:latin typeface="Arial"/>
              <a:ea typeface="Arial"/>
              <a:cs typeface="Arial"/>
            </a:rPr>
            <a:t>f:</a:t>
          </a:r>
          <a:r>
            <a:rPr lang="en-US" cap="none" sz="800" b="0" i="0" u="none" baseline="0">
              <a:solidFill>
                <a:srgbClr val="000000"/>
              </a:solidFill>
              <a:latin typeface="Arial"/>
              <a:ea typeface="Arial"/>
              <a:cs typeface="Arial"/>
            </a:rPr>
            <a:t> toplam seyirci sayısını, </a:t>
          </a:r>
          <a:r>
            <a:rPr lang="en-US" cap="none" sz="800" b="1" i="0" u="sng" baseline="0">
              <a:solidFill>
                <a:srgbClr val="000000"/>
              </a:solidFill>
              <a:latin typeface="Arial"/>
              <a:ea typeface="Arial"/>
              <a:cs typeface="Arial"/>
            </a:rPr>
            <a:t>g:</a:t>
          </a:r>
          <a:r>
            <a:rPr lang="en-US" cap="none" sz="800" b="0" i="0" u="none" baseline="0">
              <a:solidFill>
                <a:srgbClr val="000000"/>
              </a:solidFill>
              <a:latin typeface="Arial"/>
              <a:ea typeface="Arial"/>
              <a:cs typeface="Arial"/>
            </a:rPr>
            <a:t> o hafta ilk kez gösterilen film sayısını, </a:t>
          </a:r>
          <a:r>
            <a:rPr lang="en-US" cap="none" sz="800" b="1" i="0" u="sng" baseline="0">
              <a:solidFill>
                <a:srgbClr val="000000"/>
              </a:solidFill>
              <a:latin typeface="Arial"/>
              <a:ea typeface="Arial"/>
              <a:cs typeface="Arial"/>
            </a:rPr>
            <a:t>h:</a:t>
          </a:r>
          <a:r>
            <a:rPr lang="en-US" cap="none" sz="800" b="0" i="0" u="none" baseline="0">
              <a:solidFill>
                <a:srgbClr val="000000"/>
              </a:solidFill>
              <a:latin typeface="Arial"/>
              <a:ea typeface="Arial"/>
              <a:cs typeface="Arial"/>
            </a:rPr>
            <a:t> bu yeni filmlerin toplam hasılatını, </a:t>
          </a:r>
          <a:r>
            <a:rPr lang="en-US" cap="none" sz="800" b="1" i="0" u="sng" baseline="0">
              <a:solidFill>
                <a:srgbClr val="000000"/>
              </a:solidFill>
              <a:latin typeface="Arial"/>
              <a:ea typeface="Arial"/>
              <a:cs typeface="Arial"/>
            </a:rPr>
            <a:t>ı:</a:t>
          </a:r>
          <a:r>
            <a:rPr lang="en-US" cap="none" sz="800" b="0" i="0" u="none" baseline="0">
              <a:solidFill>
                <a:srgbClr val="000000"/>
              </a:solidFill>
              <a:latin typeface="Arial"/>
              <a:ea typeface="Arial"/>
              <a:cs typeface="Arial"/>
            </a:rPr>
            <a:t> aynı filmlerin seyirci sayısını, </a:t>
          </a:r>
          <a:r>
            <a:rPr lang="en-US" cap="none" sz="800" b="1" i="0" u="sng" baseline="0">
              <a:solidFill>
                <a:srgbClr val="000000"/>
              </a:solidFill>
              <a:latin typeface="Arial"/>
              <a:ea typeface="Arial"/>
              <a:cs typeface="Arial"/>
            </a:rPr>
            <a:t>j:</a:t>
          </a:r>
          <a:r>
            <a:rPr lang="en-US" cap="none" sz="800" b="0" i="0" u="none" baseline="0">
              <a:solidFill>
                <a:srgbClr val="000000"/>
              </a:solidFill>
              <a:latin typeface="Arial"/>
              <a:ea typeface="Arial"/>
              <a:cs typeface="Arial"/>
            </a:rPr>
            <a:t> yeni filmlerin toplam seyirci sayısı üzerindeki yüzdesini, </a:t>
          </a:r>
          <a:r>
            <a:rPr lang="en-US" cap="none" sz="800" b="1" i="0" u="sng" baseline="0">
              <a:solidFill>
                <a:srgbClr val="000000"/>
              </a:solidFill>
              <a:latin typeface="Arial"/>
              <a:ea typeface="Arial"/>
              <a:cs typeface="Arial"/>
            </a:rPr>
            <a:t>k:</a:t>
          </a:r>
          <a:r>
            <a:rPr lang="en-US" cap="none" sz="800" b="0" i="0" u="none" baseline="0">
              <a:solidFill>
                <a:srgbClr val="000000"/>
              </a:solidFill>
              <a:latin typeface="Arial"/>
              <a:ea typeface="Arial"/>
              <a:cs typeface="Arial"/>
            </a:rPr>
            <a:t> o hafta gösterilen yerli film sayısını, </a:t>
          </a:r>
          <a:r>
            <a:rPr lang="en-US" cap="none" sz="800" b="1" i="0" u="sng" baseline="0">
              <a:solidFill>
                <a:srgbClr val="000000"/>
              </a:solidFill>
              <a:latin typeface="Arial"/>
              <a:ea typeface="Arial"/>
              <a:cs typeface="Arial"/>
            </a:rPr>
            <a:t>l:</a:t>
          </a:r>
          <a:r>
            <a:rPr lang="en-US" cap="none" sz="800" b="0" i="0" u="none" baseline="0">
              <a:solidFill>
                <a:srgbClr val="000000"/>
              </a:solidFill>
              <a:latin typeface="Arial"/>
              <a:ea typeface="Arial"/>
              <a:cs typeface="Arial"/>
            </a:rPr>
            <a:t> bu filmlerin toplam hasılatını, </a:t>
          </a:r>
          <a:r>
            <a:rPr lang="en-US" cap="none" sz="800" b="1" i="0" u="sng" baseline="0">
              <a:solidFill>
                <a:srgbClr val="000000"/>
              </a:solidFill>
              <a:latin typeface="Arial"/>
              <a:ea typeface="Arial"/>
              <a:cs typeface="Arial"/>
            </a:rPr>
            <a:t>m:</a:t>
          </a:r>
          <a:r>
            <a:rPr lang="en-US" cap="none" sz="800" b="0" i="0" u="none" baseline="0">
              <a:solidFill>
                <a:srgbClr val="000000"/>
              </a:solidFill>
              <a:latin typeface="Arial"/>
              <a:ea typeface="Arial"/>
              <a:cs typeface="Arial"/>
            </a:rPr>
            <a:t> aynı filmlerin toplam seyirci sayısını, </a:t>
          </a:r>
          <a:r>
            <a:rPr lang="en-US" cap="none" sz="800" b="1" i="0" u="sng" baseline="0">
              <a:solidFill>
                <a:srgbClr val="000000"/>
              </a:solidFill>
              <a:latin typeface="Arial"/>
              <a:ea typeface="Arial"/>
              <a:cs typeface="Arial"/>
            </a:rPr>
            <a:t>n:</a:t>
          </a:r>
          <a:r>
            <a:rPr lang="en-US" cap="none" sz="800" b="0" i="0" u="none" baseline="0">
              <a:solidFill>
                <a:srgbClr val="000000"/>
              </a:solidFill>
              <a:latin typeface="Arial"/>
              <a:ea typeface="Arial"/>
              <a:cs typeface="Arial"/>
            </a:rPr>
            <a:t> yerli filmlerin toplam seyirci sayısı üzerindeki yüzdesini,</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P127"/>
  <sheetViews>
    <sheetView showGridLines="0" tabSelected="1" zoomScale="90" zoomScaleNormal="90" zoomScalePageLayoutView="0" workbookViewId="0" topLeftCell="A1">
      <pane xSplit="2" ySplit="4" topLeftCell="C5" activePane="bottomRight" state="frozen"/>
      <selection pane="topLeft" activeCell="A1" sqref="A1"/>
      <selection pane="topRight" activeCell="D1" sqref="D1"/>
      <selection pane="bottomLeft" activeCell="A5" sqref="A5"/>
      <selection pane="bottomRight" activeCell="B3" sqref="B3:B4"/>
    </sheetView>
  </sheetViews>
  <sheetFormatPr defaultColWidth="9.140625" defaultRowHeight="12.75"/>
  <cols>
    <col min="1" max="1" width="5.28125" style="26" bestFit="1" customWidth="1"/>
    <col min="2" max="2" width="40.7109375" style="4" bestFit="1" customWidth="1"/>
    <col min="3" max="3" width="8.28125" style="12" customWidth="1"/>
    <col min="4" max="4" width="11.421875" style="15" bestFit="1" customWidth="1"/>
    <col min="5" max="5" width="25.00390625" style="15" bestFit="1" customWidth="1"/>
    <col min="6" max="6" width="6.00390625" style="6" bestFit="1" customWidth="1"/>
    <col min="7" max="7" width="7.421875" style="6" customWidth="1"/>
    <col min="8" max="8" width="10.28125" style="6" customWidth="1"/>
    <col min="9" max="9" width="14.140625" style="102" bestFit="1" customWidth="1"/>
    <col min="10" max="10" width="9.140625" style="280" bestFit="1" customWidth="1"/>
    <col min="11" max="11" width="10.7109375" style="280" customWidth="1"/>
    <col min="12" max="12" width="6.28125" style="22" bestFit="1" customWidth="1"/>
    <col min="13" max="13" width="13.8515625" style="106" bestFit="1" customWidth="1"/>
    <col min="14" max="14" width="10.00390625" style="111" bestFit="1" customWidth="1"/>
    <col min="15" max="15" width="6.28125" style="22" bestFit="1" customWidth="1"/>
    <col min="16" max="16" width="4.28125" style="380" bestFit="1" customWidth="1"/>
    <col min="17" max="16384" width="9.140625" style="4" customWidth="1"/>
  </cols>
  <sheetData>
    <row r="1" spans="1:16" s="2" customFormat="1" ht="90.75" customHeight="1">
      <c r="A1" s="25"/>
      <c r="B1" s="1"/>
      <c r="C1" s="10"/>
      <c r="D1" s="13"/>
      <c r="E1" s="13"/>
      <c r="F1" s="5"/>
      <c r="G1" s="5"/>
      <c r="H1" s="5"/>
      <c r="I1" s="99"/>
      <c r="J1" s="276"/>
      <c r="K1" s="276"/>
      <c r="L1" s="20"/>
      <c r="M1" s="104"/>
      <c r="N1" s="109"/>
      <c r="O1" s="20"/>
      <c r="P1" s="380"/>
    </row>
    <row r="2" spans="1:16" s="9" customFormat="1" ht="27.75" thickBot="1">
      <c r="A2" s="452" t="s">
        <v>56</v>
      </c>
      <c r="B2" s="453"/>
      <c r="C2" s="453"/>
      <c r="D2" s="453"/>
      <c r="E2" s="453"/>
      <c r="F2" s="453"/>
      <c r="G2" s="453"/>
      <c r="H2" s="453"/>
      <c r="I2" s="453"/>
      <c r="J2" s="453"/>
      <c r="K2" s="453"/>
      <c r="L2" s="453"/>
      <c r="M2" s="453"/>
      <c r="N2" s="453"/>
      <c r="O2" s="453"/>
      <c r="P2" s="380"/>
    </row>
    <row r="3" spans="1:16" s="163" customFormat="1" ht="16.5">
      <c r="A3" s="28"/>
      <c r="B3" s="458" t="s">
        <v>134</v>
      </c>
      <c r="C3" s="463" t="s">
        <v>135</v>
      </c>
      <c r="D3" s="459" t="s">
        <v>259</v>
      </c>
      <c r="E3" s="459" t="s">
        <v>258</v>
      </c>
      <c r="F3" s="456" t="s">
        <v>136</v>
      </c>
      <c r="G3" s="456" t="s">
        <v>143</v>
      </c>
      <c r="H3" s="460" t="s">
        <v>145</v>
      </c>
      <c r="I3" s="462" t="s">
        <v>137</v>
      </c>
      <c r="J3" s="462"/>
      <c r="K3" s="462"/>
      <c r="L3" s="462"/>
      <c r="M3" s="454" t="s">
        <v>138</v>
      </c>
      <c r="N3" s="454"/>
      <c r="O3" s="455"/>
      <c r="P3" s="381"/>
    </row>
    <row r="4" spans="1:16" s="163" customFormat="1" ht="43.5" thickBot="1">
      <c r="A4" s="116"/>
      <c r="B4" s="457"/>
      <c r="C4" s="464"/>
      <c r="D4" s="457"/>
      <c r="E4" s="457"/>
      <c r="F4" s="457"/>
      <c r="G4" s="457"/>
      <c r="H4" s="461"/>
      <c r="I4" s="301" t="s">
        <v>139</v>
      </c>
      <c r="J4" s="164" t="s">
        <v>140</v>
      </c>
      <c r="K4" s="164" t="s">
        <v>403</v>
      </c>
      <c r="L4" s="59" t="s">
        <v>141</v>
      </c>
      <c r="M4" s="301" t="s">
        <v>139</v>
      </c>
      <c r="N4" s="164" t="s">
        <v>140</v>
      </c>
      <c r="O4" s="60" t="s">
        <v>142</v>
      </c>
      <c r="P4" s="381"/>
    </row>
    <row r="5" spans="1:16" s="3" customFormat="1" ht="15">
      <c r="A5" s="83">
        <v>1</v>
      </c>
      <c r="B5" s="391" t="s">
        <v>91</v>
      </c>
      <c r="C5" s="392">
        <v>39584</v>
      </c>
      <c r="D5" s="393" t="s">
        <v>280</v>
      </c>
      <c r="E5" s="393" t="s">
        <v>280</v>
      </c>
      <c r="F5" s="394">
        <v>167</v>
      </c>
      <c r="G5" s="394">
        <v>200</v>
      </c>
      <c r="H5" s="394">
        <v>2</v>
      </c>
      <c r="I5" s="395">
        <v>1274511.795</v>
      </c>
      <c r="J5" s="396">
        <v>169426.75</v>
      </c>
      <c r="K5" s="397">
        <v>847.13375</v>
      </c>
      <c r="L5" s="398">
        <v>7.5224944998354735</v>
      </c>
      <c r="M5" s="399">
        <v>3046329.37</v>
      </c>
      <c r="N5" s="397">
        <v>385405.4</v>
      </c>
      <c r="O5" s="400">
        <v>7.9042207763565315</v>
      </c>
      <c r="P5" s="413">
        <v>1</v>
      </c>
    </row>
    <row r="6" spans="1:16" s="3" customFormat="1" ht="15">
      <c r="A6" s="83">
        <v>2</v>
      </c>
      <c r="B6" s="401" t="s">
        <v>92</v>
      </c>
      <c r="C6" s="384">
        <v>39591</v>
      </c>
      <c r="D6" s="383" t="s">
        <v>261</v>
      </c>
      <c r="E6" s="383" t="s">
        <v>104</v>
      </c>
      <c r="F6" s="385">
        <v>192</v>
      </c>
      <c r="G6" s="385">
        <v>192</v>
      </c>
      <c r="H6" s="385">
        <v>1</v>
      </c>
      <c r="I6" s="386">
        <v>1204099</v>
      </c>
      <c r="J6" s="387">
        <v>136435</v>
      </c>
      <c r="K6" s="388">
        <v>710.5989583333334</v>
      </c>
      <c r="L6" s="389">
        <v>8.82544068604097</v>
      </c>
      <c r="M6" s="390">
        <v>1204099</v>
      </c>
      <c r="N6" s="388">
        <v>136435</v>
      </c>
      <c r="O6" s="402">
        <v>8.82544068604097</v>
      </c>
      <c r="P6" s="413"/>
    </row>
    <row r="7" spans="1:16" s="3" customFormat="1" ht="15">
      <c r="A7" s="355">
        <v>3</v>
      </c>
      <c r="B7" s="425" t="s">
        <v>93</v>
      </c>
      <c r="C7" s="426">
        <v>39591</v>
      </c>
      <c r="D7" s="427" t="s">
        <v>126</v>
      </c>
      <c r="E7" s="427" t="s">
        <v>105</v>
      </c>
      <c r="F7" s="428">
        <v>40</v>
      </c>
      <c r="G7" s="428">
        <v>40</v>
      </c>
      <c r="H7" s="428">
        <v>1</v>
      </c>
      <c r="I7" s="429">
        <v>275670.5</v>
      </c>
      <c r="J7" s="430">
        <v>27626</v>
      </c>
      <c r="K7" s="431">
        <v>690.65</v>
      </c>
      <c r="L7" s="432">
        <v>9.978661405921958</v>
      </c>
      <c r="M7" s="433">
        <v>275670.5</v>
      </c>
      <c r="N7" s="431">
        <v>27626</v>
      </c>
      <c r="O7" s="434">
        <v>9.978661405921958</v>
      </c>
      <c r="P7" s="413"/>
    </row>
    <row r="8" spans="1:16" s="3" customFormat="1" ht="15">
      <c r="A8" s="84">
        <v>4</v>
      </c>
      <c r="B8" s="415" t="s">
        <v>447</v>
      </c>
      <c r="C8" s="416">
        <v>39577</v>
      </c>
      <c r="D8" s="417" t="s">
        <v>309</v>
      </c>
      <c r="E8" s="417" t="s">
        <v>309</v>
      </c>
      <c r="F8" s="418">
        <v>85</v>
      </c>
      <c r="G8" s="418">
        <v>85</v>
      </c>
      <c r="H8" s="418">
        <v>3</v>
      </c>
      <c r="I8" s="419">
        <v>137385</v>
      </c>
      <c r="J8" s="420">
        <v>17036</v>
      </c>
      <c r="K8" s="421">
        <v>92487</v>
      </c>
      <c r="L8" s="422">
        <v>8.06439305001174</v>
      </c>
      <c r="M8" s="423">
        <v>1335318</v>
      </c>
      <c r="N8" s="421">
        <v>159108</v>
      </c>
      <c r="O8" s="424">
        <v>8.392525831510673</v>
      </c>
      <c r="P8" s="413"/>
    </row>
    <row r="9" spans="1:16" s="7" customFormat="1" ht="15">
      <c r="A9" s="83">
        <v>5</v>
      </c>
      <c r="B9" s="401" t="s">
        <v>94</v>
      </c>
      <c r="C9" s="384">
        <v>39570</v>
      </c>
      <c r="D9" s="383" t="s">
        <v>261</v>
      </c>
      <c r="E9" s="383" t="s">
        <v>104</v>
      </c>
      <c r="F9" s="385">
        <v>140</v>
      </c>
      <c r="G9" s="385">
        <v>138</v>
      </c>
      <c r="H9" s="385">
        <v>4</v>
      </c>
      <c r="I9" s="386">
        <v>120405</v>
      </c>
      <c r="J9" s="387">
        <v>16185</v>
      </c>
      <c r="K9" s="388">
        <v>117.2826086956522</v>
      </c>
      <c r="L9" s="389">
        <v>7.43929564411492</v>
      </c>
      <c r="M9" s="390">
        <v>1958732</v>
      </c>
      <c r="N9" s="388">
        <v>235615</v>
      </c>
      <c r="O9" s="402">
        <v>8.313273772892218</v>
      </c>
      <c r="P9" s="413"/>
    </row>
    <row r="10" spans="1:16" s="7" customFormat="1" ht="15">
      <c r="A10" s="83">
        <v>6</v>
      </c>
      <c r="B10" s="401" t="s">
        <v>448</v>
      </c>
      <c r="C10" s="384">
        <v>39577</v>
      </c>
      <c r="D10" s="383" t="s">
        <v>262</v>
      </c>
      <c r="E10" s="383" t="s">
        <v>263</v>
      </c>
      <c r="F10" s="385">
        <v>50</v>
      </c>
      <c r="G10" s="385">
        <v>50</v>
      </c>
      <c r="H10" s="385">
        <v>3</v>
      </c>
      <c r="I10" s="386">
        <v>110972</v>
      </c>
      <c r="J10" s="387">
        <v>12355</v>
      </c>
      <c r="K10" s="388">
        <v>247.1</v>
      </c>
      <c r="L10" s="389">
        <v>8.981950627276404</v>
      </c>
      <c r="M10" s="390">
        <v>674436</v>
      </c>
      <c r="N10" s="388">
        <v>70614</v>
      </c>
      <c r="O10" s="402">
        <v>9.551023876285155</v>
      </c>
      <c r="P10" s="413"/>
    </row>
    <row r="11" spans="1:16" s="7" customFormat="1" ht="15">
      <c r="A11" s="83">
        <v>7</v>
      </c>
      <c r="B11" s="401" t="s">
        <v>281</v>
      </c>
      <c r="C11" s="384">
        <v>39584</v>
      </c>
      <c r="D11" s="383" t="s">
        <v>260</v>
      </c>
      <c r="E11" s="383" t="s">
        <v>50</v>
      </c>
      <c r="F11" s="385">
        <v>70</v>
      </c>
      <c r="G11" s="385">
        <v>69</v>
      </c>
      <c r="H11" s="385">
        <v>2</v>
      </c>
      <c r="I11" s="386">
        <v>101049</v>
      </c>
      <c r="J11" s="387">
        <v>11937</v>
      </c>
      <c r="K11" s="388">
        <v>173</v>
      </c>
      <c r="L11" s="389">
        <v>8.465192259361654</v>
      </c>
      <c r="M11" s="390">
        <v>284920</v>
      </c>
      <c r="N11" s="388">
        <v>31643</v>
      </c>
      <c r="O11" s="402">
        <v>9.00420314129507</v>
      </c>
      <c r="P11" s="414"/>
    </row>
    <row r="12" spans="1:16" s="7" customFormat="1" ht="15">
      <c r="A12" s="83">
        <v>8</v>
      </c>
      <c r="B12" s="401" t="s">
        <v>389</v>
      </c>
      <c r="C12" s="384">
        <v>39584</v>
      </c>
      <c r="D12" s="383" t="s">
        <v>262</v>
      </c>
      <c r="E12" s="383" t="s">
        <v>390</v>
      </c>
      <c r="F12" s="385">
        <v>30</v>
      </c>
      <c r="G12" s="385">
        <v>30</v>
      </c>
      <c r="H12" s="385">
        <v>2</v>
      </c>
      <c r="I12" s="386">
        <v>44604.5</v>
      </c>
      <c r="J12" s="387">
        <v>5197</v>
      </c>
      <c r="K12" s="388">
        <v>173.23333333333332</v>
      </c>
      <c r="L12" s="389">
        <v>8.582740042332114</v>
      </c>
      <c r="M12" s="390">
        <v>121341</v>
      </c>
      <c r="N12" s="388">
        <v>13692</v>
      </c>
      <c r="O12" s="402">
        <v>8.862182296231378</v>
      </c>
      <c r="P12" s="413"/>
    </row>
    <row r="13" spans="1:16" s="7" customFormat="1" ht="15">
      <c r="A13" s="83">
        <v>9</v>
      </c>
      <c r="B13" s="401" t="s">
        <v>95</v>
      </c>
      <c r="C13" s="384">
        <v>39584</v>
      </c>
      <c r="D13" s="383" t="s">
        <v>261</v>
      </c>
      <c r="E13" s="383" t="s">
        <v>104</v>
      </c>
      <c r="F13" s="385">
        <v>38</v>
      </c>
      <c r="G13" s="385">
        <v>38</v>
      </c>
      <c r="H13" s="385">
        <v>2</v>
      </c>
      <c r="I13" s="386">
        <v>43300</v>
      </c>
      <c r="J13" s="387">
        <v>5211</v>
      </c>
      <c r="K13" s="388">
        <v>137.13157894736838</v>
      </c>
      <c r="L13" s="389">
        <v>8.309345615045098</v>
      </c>
      <c r="M13" s="390">
        <v>43300</v>
      </c>
      <c r="N13" s="388">
        <v>6458</v>
      </c>
      <c r="O13" s="402">
        <v>6.704862186435429</v>
      </c>
      <c r="P13" s="413"/>
    </row>
    <row r="14" spans="1:16" s="7" customFormat="1" ht="15">
      <c r="A14" s="83">
        <v>10</v>
      </c>
      <c r="B14" s="401" t="s">
        <v>282</v>
      </c>
      <c r="C14" s="384">
        <v>39584</v>
      </c>
      <c r="D14" s="383" t="s">
        <v>126</v>
      </c>
      <c r="E14" s="383" t="s">
        <v>7</v>
      </c>
      <c r="F14" s="385">
        <v>63</v>
      </c>
      <c r="G14" s="385">
        <v>63</v>
      </c>
      <c r="H14" s="385">
        <v>2</v>
      </c>
      <c r="I14" s="386">
        <v>41989</v>
      </c>
      <c r="J14" s="387">
        <v>5237</v>
      </c>
      <c r="K14" s="388">
        <v>83.1269841269841</v>
      </c>
      <c r="L14" s="389">
        <v>8.017758258544971</v>
      </c>
      <c r="M14" s="390">
        <v>149254.5</v>
      </c>
      <c r="N14" s="388">
        <v>17217</v>
      </c>
      <c r="O14" s="402">
        <v>8.669018992855898</v>
      </c>
      <c r="P14" s="413"/>
    </row>
    <row r="15" spans="1:16" s="7" customFormat="1" ht="15">
      <c r="A15" s="83">
        <v>11</v>
      </c>
      <c r="B15" s="401" t="s">
        <v>449</v>
      </c>
      <c r="C15" s="384">
        <v>39577</v>
      </c>
      <c r="D15" s="383" t="s">
        <v>261</v>
      </c>
      <c r="E15" s="383" t="s">
        <v>360</v>
      </c>
      <c r="F15" s="385">
        <v>45</v>
      </c>
      <c r="G15" s="385">
        <v>42</v>
      </c>
      <c r="H15" s="385">
        <v>3</v>
      </c>
      <c r="I15" s="386">
        <v>29148</v>
      </c>
      <c r="J15" s="387">
        <v>4491</v>
      </c>
      <c r="K15" s="388">
        <v>106.92857142857139</v>
      </c>
      <c r="L15" s="389">
        <v>6.490313961255845</v>
      </c>
      <c r="M15" s="390">
        <v>227428</v>
      </c>
      <c r="N15" s="388">
        <v>27960</v>
      </c>
      <c r="O15" s="402">
        <v>8.13404864091559</v>
      </c>
      <c r="P15" s="413"/>
    </row>
    <row r="16" spans="1:16" s="7" customFormat="1" ht="15">
      <c r="A16" s="83">
        <v>12</v>
      </c>
      <c r="B16" s="401" t="s">
        <v>36</v>
      </c>
      <c r="C16" s="384">
        <v>39556</v>
      </c>
      <c r="D16" s="383" t="s">
        <v>262</v>
      </c>
      <c r="E16" s="383" t="s">
        <v>263</v>
      </c>
      <c r="F16" s="385">
        <v>104</v>
      </c>
      <c r="G16" s="385">
        <v>52</v>
      </c>
      <c r="H16" s="385">
        <v>6</v>
      </c>
      <c r="I16" s="386">
        <v>20534.5</v>
      </c>
      <c r="J16" s="387">
        <v>4284</v>
      </c>
      <c r="K16" s="388">
        <v>82.3846153846154</v>
      </c>
      <c r="L16" s="389">
        <v>4.7933006535947715</v>
      </c>
      <c r="M16" s="390">
        <v>1095031.5</v>
      </c>
      <c r="N16" s="388">
        <v>147044</v>
      </c>
      <c r="O16" s="402">
        <v>7.446964854057288</v>
      </c>
      <c r="P16" s="413"/>
    </row>
    <row r="17" spans="1:16" s="7" customFormat="1" ht="15">
      <c r="A17" s="83">
        <v>13</v>
      </c>
      <c r="B17" s="401" t="s">
        <v>81</v>
      </c>
      <c r="C17" s="384">
        <v>39570</v>
      </c>
      <c r="D17" s="383" t="s">
        <v>126</v>
      </c>
      <c r="E17" s="383" t="s">
        <v>105</v>
      </c>
      <c r="F17" s="385">
        <v>20</v>
      </c>
      <c r="G17" s="385">
        <v>20</v>
      </c>
      <c r="H17" s="385">
        <v>4</v>
      </c>
      <c r="I17" s="386">
        <v>18977</v>
      </c>
      <c r="J17" s="387">
        <v>2933</v>
      </c>
      <c r="K17" s="388">
        <v>146.65</v>
      </c>
      <c r="L17" s="389">
        <v>6.47016706443914</v>
      </c>
      <c r="M17" s="390">
        <v>231279</v>
      </c>
      <c r="N17" s="388">
        <v>26929</v>
      </c>
      <c r="O17" s="402">
        <v>8.588473392996399</v>
      </c>
      <c r="P17" s="413"/>
    </row>
    <row r="18" spans="1:16" s="7" customFormat="1" ht="15">
      <c r="A18" s="83">
        <v>14</v>
      </c>
      <c r="B18" s="401" t="s">
        <v>416</v>
      </c>
      <c r="C18" s="384">
        <v>39563</v>
      </c>
      <c r="D18" s="383" t="s">
        <v>260</v>
      </c>
      <c r="E18" s="383" t="s">
        <v>144</v>
      </c>
      <c r="F18" s="385">
        <v>65</v>
      </c>
      <c r="G18" s="385">
        <v>33</v>
      </c>
      <c r="H18" s="385">
        <v>5</v>
      </c>
      <c r="I18" s="386">
        <v>17378</v>
      </c>
      <c r="J18" s="387">
        <v>3642</v>
      </c>
      <c r="K18" s="388">
        <v>110.36363636363639</v>
      </c>
      <c r="L18" s="389">
        <v>4.771554091158705</v>
      </c>
      <c r="M18" s="390">
        <v>649598</v>
      </c>
      <c r="N18" s="388">
        <v>85295</v>
      </c>
      <c r="O18" s="402">
        <v>7.615897766574829</v>
      </c>
      <c r="P18" s="414"/>
    </row>
    <row r="19" spans="1:16" s="7" customFormat="1" ht="15">
      <c r="A19" s="83">
        <v>15</v>
      </c>
      <c r="B19" s="401">
        <v>120</v>
      </c>
      <c r="C19" s="384">
        <v>39493</v>
      </c>
      <c r="D19" s="383" t="s">
        <v>262</v>
      </c>
      <c r="E19" s="383" t="s">
        <v>53</v>
      </c>
      <c r="F19" s="385">
        <v>179</v>
      </c>
      <c r="G19" s="385">
        <v>15</v>
      </c>
      <c r="H19" s="385">
        <v>15</v>
      </c>
      <c r="I19" s="386">
        <v>13717.5</v>
      </c>
      <c r="J19" s="387">
        <v>4847</v>
      </c>
      <c r="K19" s="388">
        <v>323.1333333333333</v>
      </c>
      <c r="L19" s="389">
        <v>2.830101093459872</v>
      </c>
      <c r="M19" s="390">
        <v>4675220</v>
      </c>
      <c r="N19" s="388">
        <v>931401</v>
      </c>
      <c r="O19" s="402">
        <v>5.019556560493277</v>
      </c>
      <c r="P19" s="413">
        <v>1</v>
      </c>
    </row>
    <row r="20" spans="1:16" s="7" customFormat="1" ht="15">
      <c r="A20" s="83">
        <v>16</v>
      </c>
      <c r="B20" s="401" t="s">
        <v>80</v>
      </c>
      <c r="C20" s="384">
        <v>39570</v>
      </c>
      <c r="D20" s="383" t="s">
        <v>260</v>
      </c>
      <c r="E20" s="383" t="s">
        <v>144</v>
      </c>
      <c r="F20" s="385">
        <v>65</v>
      </c>
      <c r="G20" s="385">
        <v>25</v>
      </c>
      <c r="H20" s="385">
        <v>4</v>
      </c>
      <c r="I20" s="386">
        <v>13049</v>
      </c>
      <c r="J20" s="387">
        <v>2322</v>
      </c>
      <c r="K20" s="388">
        <v>92.88</v>
      </c>
      <c r="L20" s="389">
        <v>5.619724375538329</v>
      </c>
      <c r="M20" s="390">
        <v>566016</v>
      </c>
      <c r="N20" s="388">
        <v>61054</v>
      </c>
      <c r="O20" s="402">
        <v>9.270743931601533</v>
      </c>
      <c r="P20" s="414"/>
    </row>
    <row r="21" spans="1:16" s="7" customFormat="1" ht="15">
      <c r="A21" s="83">
        <v>17</v>
      </c>
      <c r="B21" s="401" t="s">
        <v>96</v>
      </c>
      <c r="C21" s="384">
        <v>39556</v>
      </c>
      <c r="D21" s="383" t="s">
        <v>261</v>
      </c>
      <c r="E21" s="383" t="s">
        <v>266</v>
      </c>
      <c r="F21" s="385">
        <v>56</v>
      </c>
      <c r="G21" s="385">
        <v>18</v>
      </c>
      <c r="H21" s="385">
        <v>5</v>
      </c>
      <c r="I21" s="386">
        <v>9972</v>
      </c>
      <c r="J21" s="387">
        <v>1812</v>
      </c>
      <c r="K21" s="388">
        <v>100.6666666666667</v>
      </c>
      <c r="L21" s="389">
        <v>5.503311258278146</v>
      </c>
      <c r="M21" s="390">
        <v>468154</v>
      </c>
      <c r="N21" s="388">
        <v>57435</v>
      </c>
      <c r="O21" s="402">
        <v>8.151022895447028</v>
      </c>
      <c r="P21" s="413"/>
    </row>
    <row r="22" spans="1:16" s="7" customFormat="1" ht="15">
      <c r="A22" s="83">
        <v>18</v>
      </c>
      <c r="B22" s="401" t="s">
        <v>343</v>
      </c>
      <c r="C22" s="384">
        <v>39500</v>
      </c>
      <c r="D22" s="383" t="s">
        <v>262</v>
      </c>
      <c r="E22" s="383" t="s">
        <v>117</v>
      </c>
      <c r="F22" s="385">
        <v>230</v>
      </c>
      <c r="G22" s="385">
        <v>25</v>
      </c>
      <c r="H22" s="385">
        <v>14</v>
      </c>
      <c r="I22" s="386">
        <v>9708</v>
      </c>
      <c r="J22" s="387">
        <v>3213</v>
      </c>
      <c r="K22" s="388">
        <v>128.52</v>
      </c>
      <c r="L22" s="389">
        <v>3.0214752567693743</v>
      </c>
      <c r="M22" s="390">
        <v>30101445.5</v>
      </c>
      <c r="N22" s="388">
        <v>4279285</v>
      </c>
      <c r="O22" s="402">
        <v>7.03422312372277</v>
      </c>
      <c r="P22" s="413">
        <v>1</v>
      </c>
    </row>
    <row r="23" spans="1:16" s="7" customFormat="1" ht="15">
      <c r="A23" s="83">
        <v>19</v>
      </c>
      <c r="B23" s="401" t="s">
        <v>269</v>
      </c>
      <c r="C23" s="384">
        <v>39577</v>
      </c>
      <c r="D23" s="383" t="s">
        <v>262</v>
      </c>
      <c r="E23" s="383" t="s">
        <v>270</v>
      </c>
      <c r="F23" s="385">
        <v>30</v>
      </c>
      <c r="G23" s="385">
        <v>30</v>
      </c>
      <c r="H23" s="385">
        <v>3</v>
      </c>
      <c r="I23" s="386">
        <v>7985</v>
      </c>
      <c r="J23" s="387">
        <v>1368</v>
      </c>
      <c r="K23" s="388">
        <v>45.6</v>
      </c>
      <c r="L23" s="389">
        <v>5.836988304093568</v>
      </c>
      <c r="M23" s="390">
        <v>45815.5</v>
      </c>
      <c r="N23" s="388">
        <v>6347</v>
      </c>
      <c r="O23" s="402">
        <v>7.218449661257287</v>
      </c>
      <c r="P23" s="413">
        <v>1</v>
      </c>
    </row>
    <row r="24" spans="1:16" s="7" customFormat="1" ht="15">
      <c r="A24" s="83">
        <v>20</v>
      </c>
      <c r="B24" s="401" t="s">
        <v>97</v>
      </c>
      <c r="C24" s="384">
        <v>39570</v>
      </c>
      <c r="D24" s="383" t="s">
        <v>261</v>
      </c>
      <c r="E24" s="383" t="s">
        <v>50</v>
      </c>
      <c r="F24" s="385">
        <v>53</v>
      </c>
      <c r="G24" s="385">
        <v>16</v>
      </c>
      <c r="H24" s="385">
        <v>4</v>
      </c>
      <c r="I24" s="386">
        <v>7169</v>
      </c>
      <c r="J24" s="387">
        <v>1226</v>
      </c>
      <c r="K24" s="388">
        <v>76.625</v>
      </c>
      <c r="L24" s="389">
        <v>5.84747145187602</v>
      </c>
      <c r="M24" s="390">
        <v>172386</v>
      </c>
      <c r="N24" s="388">
        <v>21500</v>
      </c>
      <c r="O24" s="402">
        <v>8.017953488372092</v>
      </c>
      <c r="P24" s="413"/>
    </row>
    <row r="25" spans="1:16" s="7" customFormat="1" ht="15">
      <c r="A25" s="83">
        <v>21</v>
      </c>
      <c r="B25" s="401" t="s">
        <v>35</v>
      </c>
      <c r="C25" s="384">
        <v>39556</v>
      </c>
      <c r="D25" s="383" t="s">
        <v>261</v>
      </c>
      <c r="E25" s="383" t="s">
        <v>50</v>
      </c>
      <c r="F25" s="385">
        <v>123</v>
      </c>
      <c r="G25" s="385">
        <v>21</v>
      </c>
      <c r="H25" s="385">
        <v>6</v>
      </c>
      <c r="I25" s="386">
        <v>6415</v>
      </c>
      <c r="J25" s="387">
        <v>1174</v>
      </c>
      <c r="K25" s="388">
        <v>55.904761904761905</v>
      </c>
      <c r="L25" s="389">
        <v>5.464224872231687</v>
      </c>
      <c r="M25" s="390">
        <v>1425745</v>
      </c>
      <c r="N25" s="388">
        <v>172229</v>
      </c>
      <c r="O25" s="402">
        <v>8.278193567866039</v>
      </c>
      <c r="P25" s="413"/>
    </row>
    <row r="26" spans="1:16" s="7" customFormat="1" ht="15">
      <c r="A26" s="83">
        <v>22</v>
      </c>
      <c r="B26" s="401" t="s">
        <v>391</v>
      </c>
      <c r="C26" s="384">
        <v>39584</v>
      </c>
      <c r="D26" s="383" t="s">
        <v>348</v>
      </c>
      <c r="E26" s="383" t="s">
        <v>6</v>
      </c>
      <c r="F26" s="385">
        <v>2</v>
      </c>
      <c r="G26" s="385">
        <v>2</v>
      </c>
      <c r="H26" s="385">
        <v>2</v>
      </c>
      <c r="I26" s="386">
        <v>5893</v>
      </c>
      <c r="J26" s="387">
        <v>635</v>
      </c>
      <c r="K26" s="388">
        <v>317.5</v>
      </c>
      <c r="L26" s="389">
        <v>9.280314960629921</v>
      </c>
      <c r="M26" s="390">
        <v>17014</v>
      </c>
      <c r="N26" s="388">
        <v>1872</v>
      </c>
      <c r="O26" s="402">
        <v>9.088675213675213</v>
      </c>
      <c r="P26" s="413"/>
    </row>
    <row r="27" spans="1:16" s="7" customFormat="1" ht="15">
      <c r="A27" s="83">
        <v>23</v>
      </c>
      <c r="B27" s="401" t="s">
        <v>17</v>
      </c>
      <c r="C27" s="384">
        <v>39549</v>
      </c>
      <c r="D27" s="383" t="s">
        <v>261</v>
      </c>
      <c r="E27" s="383" t="s">
        <v>104</v>
      </c>
      <c r="F27" s="385">
        <v>58</v>
      </c>
      <c r="G27" s="385">
        <v>12</v>
      </c>
      <c r="H27" s="385">
        <v>7</v>
      </c>
      <c r="I27" s="386">
        <v>5568</v>
      </c>
      <c r="J27" s="387">
        <v>1382</v>
      </c>
      <c r="K27" s="388">
        <v>115.1666666666667</v>
      </c>
      <c r="L27" s="389">
        <v>4.028943560057886</v>
      </c>
      <c r="M27" s="390">
        <v>787060</v>
      </c>
      <c r="N27" s="388">
        <v>100718</v>
      </c>
      <c r="O27" s="402">
        <v>7.81449194781469</v>
      </c>
      <c r="P27" s="413"/>
    </row>
    <row r="28" spans="1:16" s="7" customFormat="1" ht="15">
      <c r="A28" s="83">
        <v>24</v>
      </c>
      <c r="B28" s="401" t="s">
        <v>230</v>
      </c>
      <c r="C28" s="384">
        <v>39528</v>
      </c>
      <c r="D28" s="383" t="s">
        <v>57</v>
      </c>
      <c r="E28" s="383" t="s">
        <v>98</v>
      </c>
      <c r="F28" s="385">
        <v>10</v>
      </c>
      <c r="G28" s="385">
        <v>3</v>
      </c>
      <c r="H28" s="385">
        <v>9</v>
      </c>
      <c r="I28" s="386">
        <v>4276.83</v>
      </c>
      <c r="J28" s="387">
        <v>855</v>
      </c>
      <c r="K28" s="388">
        <v>285</v>
      </c>
      <c r="L28" s="389">
        <v>5.002140350877192</v>
      </c>
      <c r="M28" s="390">
        <v>37787.02</v>
      </c>
      <c r="N28" s="388">
        <v>4617</v>
      </c>
      <c r="O28" s="402">
        <v>8.18432315356292</v>
      </c>
      <c r="P28" s="413"/>
    </row>
    <row r="29" spans="1:16" s="7" customFormat="1" ht="15">
      <c r="A29" s="83">
        <v>25</v>
      </c>
      <c r="B29" s="401" t="s">
        <v>451</v>
      </c>
      <c r="C29" s="384">
        <v>39577</v>
      </c>
      <c r="D29" s="383" t="s">
        <v>267</v>
      </c>
      <c r="E29" s="383" t="s">
        <v>268</v>
      </c>
      <c r="F29" s="385">
        <v>11</v>
      </c>
      <c r="G29" s="385">
        <v>9</v>
      </c>
      <c r="H29" s="385">
        <v>3</v>
      </c>
      <c r="I29" s="386">
        <v>4069</v>
      </c>
      <c r="J29" s="387">
        <v>486</v>
      </c>
      <c r="K29" s="388">
        <v>54</v>
      </c>
      <c r="L29" s="389">
        <v>8.372427983539096</v>
      </c>
      <c r="M29" s="390">
        <v>82136</v>
      </c>
      <c r="N29" s="388">
        <v>8095</v>
      </c>
      <c r="O29" s="402">
        <v>10.146510191476219</v>
      </c>
      <c r="P29" s="413"/>
    </row>
    <row r="30" spans="1:16" s="7" customFormat="1" ht="15">
      <c r="A30" s="83">
        <v>26</v>
      </c>
      <c r="B30" s="401" t="s">
        <v>244</v>
      </c>
      <c r="C30" s="384">
        <v>39535</v>
      </c>
      <c r="D30" s="383" t="s">
        <v>262</v>
      </c>
      <c r="E30" s="383" t="s">
        <v>62</v>
      </c>
      <c r="F30" s="385">
        <v>66</v>
      </c>
      <c r="G30" s="385">
        <v>2</v>
      </c>
      <c r="H30" s="385">
        <v>8</v>
      </c>
      <c r="I30" s="386">
        <v>3397</v>
      </c>
      <c r="J30" s="387">
        <v>826</v>
      </c>
      <c r="K30" s="388">
        <v>413</v>
      </c>
      <c r="L30" s="389">
        <v>4.1125907990314765</v>
      </c>
      <c r="M30" s="390">
        <v>713620.5</v>
      </c>
      <c r="N30" s="388">
        <v>94703</v>
      </c>
      <c r="O30" s="402">
        <v>7.535352628744602</v>
      </c>
      <c r="P30" s="413"/>
    </row>
    <row r="31" spans="1:16" s="7" customFormat="1" ht="15">
      <c r="A31" s="83">
        <v>27</v>
      </c>
      <c r="B31" s="401" t="s">
        <v>195</v>
      </c>
      <c r="C31" s="384">
        <v>39521</v>
      </c>
      <c r="D31" s="383" t="s">
        <v>267</v>
      </c>
      <c r="E31" s="383" t="s">
        <v>196</v>
      </c>
      <c r="F31" s="385">
        <v>42</v>
      </c>
      <c r="G31" s="385">
        <v>10</v>
      </c>
      <c r="H31" s="385">
        <v>11</v>
      </c>
      <c r="I31" s="386">
        <v>3286</v>
      </c>
      <c r="J31" s="387">
        <v>577</v>
      </c>
      <c r="K31" s="388">
        <v>57.7</v>
      </c>
      <c r="L31" s="389">
        <v>5.694974003466203</v>
      </c>
      <c r="M31" s="390">
        <v>1587526</v>
      </c>
      <c r="N31" s="388">
        <v>194406</v>
      </c>
      <c r="O31" s="402">
        <v>8.166033970144957</v>
      </c>
      <c r="P31" s="413"/>
    </row>
    <row r="32" spans="1:16" s="7" customFormat="1" ht="15">
      <c r="A32" s="83">
        <v>28</v>
      </c>
      <c r="B32" s="401" t="s">
        <v>45</v>
      </c>
      <c r="C32" s="384">
        <v>39542</v>
      </c>
      <c r="D32" s="383" t="s">
        <v>260</v>
      </c>
      <c r="E32" s="383" t="s">
        <v>265</v>
      </c>
      <c r="F32" s="385">
        <v>74</v>
      </c>
      <c r="G32" s="385">
        <v>5</v>
      </c>
      <c r="H32" s="385">
        <v>8</v>
      </c>
      <c r="I32" s="386">
        <v>3213</v>
      </c>
      <c r="J32" s="387">
        <v>464</v>
      </c>
      <c r="K32" s="388">
        <v>92.8</v>
      </c>
      <c r="L32" s="389">
        <v>6.92456896551724</v>
      </c>
      <c r="M32" s="390">
        <v>1326000</v>
      </c>
      <c r="N32" s="388">
        <v>153551</v>
      </c>
      <c r="O32" s="402">
        <v>8.63556733593399</v>
      </c>
      <c r="P32" s="414"/>
    </row>
    <row r="33" spans="1:16" s="7" customFormat="1" ht="15">
      <c r="A33" s="83">
        <v>29</v>
      </c>
      <c r="B33" s="401" t="s">
        <v>450</v>
      </c>
      <c r="C33" s="384">
        <v>39577</v>
      </c>
      <c r="D33" s="383" t="s">
        <v>234</v>
      </c>
      <c r="E33" s="383" t="s">
        <v>6</v>
      </c>
      <c r="F33" s="385">
        <v>26</v>
      </c>
      <c r="G33" s="385">
        <v>8</v>
      </c>
      <c r="H33" s="385">
        <v>3</v>
      </c>
      <c r="I33" s="386">
        <v>3163</v>
      </c>
      <c r="J33" s="387">
        <v>408</v>
      </c>
      <c r="K33" s="388">
        <v>51</v>
      </c>
      <c r="L33" s="389">
        <v>7.75</v>
      </c>
      <c r="M33" s="390">
        <v>104284.42</v>
      </c>
      <c r="N33" s="388">
        <v>11703</v>
      </c>
      <c r="O33" s="402">
        <v>8.91</v>
      </c>
      <c r="P33" s="413"/>
    </row>
    <row r="34" spans="1:16" s="7" customFormat="1" ht="15">
      <c r="A34" s="83">
        <v>30</v>
      </c>
      <c r="B34" s="401" t="s">
        <v>300</v>
      </c>
      <c r="C34" s="384">
        <v>39528</v>
      </c>
      <c r="D34" s="383" t="s">
        <v>256</v>
      </c>
      <c r="E34" s="383" t="s">
        <v>106</v>
      </c>
      <c r="F34" s="385">
        <v>37</v>
      </c>
      <c r="G34" s="385">
        <v>5</v>
      </c>
      <c r="H34" s="385">
        <v>10</v>
      </c>
      <c r="I34" s="386">
        <v>3063</v>
      </c>
      <c r="J34" s="387">
        <v>743</v>
      </c>
      <c r="K34" s="388">
        <v>148.6</v>
      </c>
      <c r="L34" s="389">
        <v>4.122476446837146</v>
      </c>
      <c r="M34" s="390">
        <v>957246.5</v>
      </c>
      <c r="N34" s="388">
        <v>124725</v>
      </c>
      <c r="O34" s="402">
        <v>7.674856684706354</v>
      </c>
      <c r="P34" s="413"/>
    </row>
    <row r="35" spans="1:16" s="7" customFormat="1" ht="15">
      <c r="A35" s="83">
        <v>31</v>
      </c>
      <c r="B35" s="401" t="s">
        <v>24</v>
      </c>
      <c r="C35" s="384">
        <v>39549</v>
      </c>
      <c r="D35" s="383" t="s">
        <v>126</v>
      </c>
      <c r="E35" s="383" t="s">
        <v>25</v>
      </c>
      <c r="F35" s="385">
        <v>4</v>
      </c>
      <c r="G35" s="385">
        <v>4</v>
      </c>
      <c r="H35" s="385">
        <v>7</v>
      </c>
      <c r="I35" s="386">
        <v>3014</v>
      </c>
      <c r="J35" s="387">
        <v>587</v>
      </c>
      <c r="K35" s="388">
        <v>146.75</v>
      </c>
      <c r="L35" s="389">
        <v>5.134582623509369</v>
      </c>
      <c r="M35" s="390">
        <v>62287.5</v>
      </c>
      <c r="N35" s="388">
        <v>8082</v>
      </c>
      <c r="O35" s="402">
        <v>7.706941351150705</v>
      </c>
      <c r="P35" s="413"/>
    </row>
    <row r="36" spans="1:16" s="7" customFormat="1" ht="15">
      <c r="A36" s="83">
        <v>32</v>
      </c>
      <c r="B36" s="401" t="s">
        <v>99</v>
      </c>
      <c r="C36" s="384">
        <v>39542</v>
      </c>
      <c r="D36" s="383" t="s">
        <v>57</v>
      </c>
      <c r="E36" s="383" t="s">
        <v>41</v>
      </c>
      <c r="F36" s="385">
        <v>58</v>
      </c>
      <c r="G36" s="385">
        <v>8</v>
      </c>
      <c r="H36" s="385">
        <v>8</v>
      </c>
      <c r="I36" s="386">
        <v>2558</v>
      </c>
      <c r="J36" s="387">
        <v>525</v>
      </c>
      <c r="K36" s="388">
        <v>65.625</v>
      </c>
      <c r="L36" s="389">
        <v>4.872380952380951</v>
      </c>
      <c r="M36" s="390">
        <v>280889.5</v>
      </c>
      <c r="N36" s="388">
        <v>37615</v>
      </c>
      <c r="O36" s="402">
        <v>7.46748637511631</v>
      </c>
      <c r="P36" s="413">
        <v>1</v>
      </c>
    </row>
    <row r="37" spans="1:16" s="7" customFormat="1" ht="15">
      <c r="A37" s="83">
        <v>33</v>
      </c>
      <c r="B37" s="401" t="s">
        <v>112</v>
      </c>
      <c r="C37" s="384">
        <v>39486</v>
      </c>
      <c r="D37" s="383" t="s">
        <v>57</v>
      </c>
      <c r="E37" s="383" t="s">
        <v>113</v>
      </c>
      <c r="F37" s="385">
        <v>61</v>
      </c>
      <c r="G37" s="385">
        <v>4</v>
      </c>
      <c r="H37" s="385">
        <v>16</v>
      </c>
      <c r="I37" s="386">
        <v>2458</v>
      </c>
      <c r="J37" s="387">
        <v>488</v>
      </c>
      <c r="K37" s="388">
        <v>122</v>
      </c>
      <c r="L37" s="389">
        <v>5.036885245901639</v>
      </c>
      <c r="M37" s="390">
        <v>807719.82</v>
      </c>
      <c r="N37" s="388">
        <v>116147</v>
      </c>
      <c r="O37" s="402">
        <v>6.95428913359794</v>
      </c>
      <c r="P37" s="413">
        <v>1</v>
      </c>
    </row>
    <row r="38" spans="1:16" s="7" customFormat="1" ht="15">
      <c r="A38" s="83">
        <v>34</v>
      </c>
      <c r="B38" s="401" t="s">
        <v>37</v>
      </c>
      <c r="C38" s="384">
        <v>39556</v>
      </c>
      <c r="D38" s="383" t="s">
        <v>261</v>
      </c>
      <c r="E38" s="383" t="s">
        <v>266</v>
      </c>
      <c r="F38" s="385">
        <v>37</v>
      </c>
      <c r="G38" s="385">
        <v>3</v>
      </c>
      <c r="H38" s="385">
        <v>6</v>
      </c>
      <c r="I38" s="386">
        <v>2345</v>
      </c>
      <c r="J38" s="387">
        <v>424</v>
      </c>
      <c r="K38" s="388">
        <v>141.33333333333334</v>
      </c>
      <c r="L38" s="389">
        <v>5.53066037735849</v>
      </c>
      <c r="M38" s="390">
        <v>585212</v>
      </c>
      <c r="N38" s="388">
        <v>65308</v>
      </c>
      <c r="O38" s="402">
        <v>8.9608011269676</v>
      </c>
      <c r="P38" s="413"/>
    </row>
    <row r="39" spans="1:16" s="7" customFormat="1" ht="15">
      <c r="A39" s="83">
        <v>35</v>
      </c>
      <c r="B39" s="401" t="s">
        <v>421</v>
      </c>
      <c r="C39" s="384">
        <v>39563</v>
      </c>
      <c r="D39" s="383" t="s">
        <v>126</v>
      </c>
      <c r="E39" s="383" t="s">
        <v>105</v>
      </c>
      <c r="F39" s="385">
        <v>25</v>
      </c>
      <c r="G39" s="385">
        <v>9</v>
      </c>
      <c r="H39" s="385">
        <v>5</v>
      </c>
      <c r="I39" s="386">
        <v>2340</v>
      </c>
      <c r="J39" s="387">
        <v>512</v>
      </c>
      <c r="K39" s="388">
        <v>56.88888888888889</v>
      </c>
      <c r="L39" s="389">
        <v>4.5703125</v>
      </c>
      <c r="M39" s="390">
        <v>94121</v>
      </c>
      <c r="N39" s="388">
        <v>10198</v>
      </c>
      <c r="O39" s="402">
        <v>9.22935869778388</v>
      </c>
      <c r="P39" s="413"/>
    </row>
    <row r="40" spans="1:16" s="7" customFormat="1" ht="15">
      <c r="A40" s="83">
        <v>36</v>
      </c>
      <c r="B40" s="401" t="s">
        <v>375</v>
      </c>
      <c r="C40" s="384">
        <v>39514</v>
      </c>
      <c r="D40" s="383" t="s">
        <v>260</v>
      </c>
      <c r="E40" s="383" t="s">
        <v>144</v>
      </c>
      <c r="F40" s="385">
        <v>129</v>
      </c>
      <c r="G40" s="385">
        <v>5</v>
      </c>
      <c r="H40" s="385">
        <v>12</v>
      </c>
      <c r="I40" s="386">
        <v>2278</v>
      </c>
      <c r="J40" s="387">
        <v>653</v>
      </c>
      <c r="K40" s="388">
        <v>130.6</v>
      </c>
      <c r="L40" s="389">
        <v>3.4885145482388977</v>
      </c>
      <c r="M40" s="390">
        <v>3237030</v>
      </c>
      <c r="N40" s="388">
        <v>432089</v>
      </c>
      <c r="O40" s="402">
        <v>7.491581595458343</v>
      </c>
      <c r="P40" s="414"/>
    </row>
    <row r="41" spans="1:16" s="7" customFormat="1" ht="15">
      <c r="A41" s="83">
        <v>37</v>
      </c>
      <c r="B41" s="401" t="s">
        <v>246</v>
      </c>
      <c r="C41" s="384">
        <v>39535</v>
      </c>
      <c r="D41" s="383" t="s">
        <v>126</v>
      </c>
      <c r="E41" s="383" t="s">
        <v>105</v>
      </c>
      <c r="F41" s="385">
        <v>69</v>
      </c>
      <c r="G41" s="385">
        <v>6</v>
      </c>
      <c r="H41" s="385">
        <v>9</v>
      </c>
      <c r="I41" s="386">
        <v>2266</v>
      </c>
      <c r="J41" s="387">
        <v>584</v>
      </c>
      <c r="K41" s="388">
        <v>97.33333333333331</v>
      </c>
      <c r="L41" s="389">
        <v>3.88013698630137</v>
      </c>
      <c r="M41" s="390">
        <v>390218</v>
      </c>
      <c r="N41" s="388">
        <v>52815</v>
      </c>
      <c r="O41" s="402">
        <v>7.388393448830826</v>
      </c>
      <c r="P41" s="413"/>
    </row>
    <row r="42" spans="1:16" s="7" customFormat="1" ht="15">
      <c r="A42" s="83">
        <v>38</v>
      </c>
      <c r="B42" s="401" t="s">
        <v>273</v>
      </c>
      <c r="C42" s="384">
        <v>39577</v>
      </c>
      <c r="D42" s="383" t="s">
        <v>126</v>
      </c>
      <c r="E42" s="383" t="s">
        <v>7</v>
      </c>
      <c r="F42" s="385">
        <v>4</v>
      </c>
      <c r="G42" s="385">
        <v>4</v>
      </c>
      <c r="H42" s="385">
        <v>3</v>
      </c>
      <c r="I42" s="386">
        <v>1997</v>
      </c>
      <c r="J42" s="387">
        <v>260</v>
      </c>
      <c r="K42" s="388">
        <v>65</v>
      </c>
      <c r="L42" s="389">
        <v>7.680769230769231</v>
      </c>
      <c r="M42" s="390">
        <v>14831</v>
      </c>
      <c r="N42" s="388">
        <v>1646</v>
      </c>
      <c r="O42" s="402">
        <v>9.010328068043743</v>
      </c>
      <c r="P42" s="413"/>
    </row>
    <row r="43" spans="1:16" s="7" customFormat="1" ht="15">
      <c r="A43" s="83">
        <v>39</v>
      </c>
      <c r="B43" s="401" t="s">
        <v>357</v>
      </c>
      <c r="C43" s="384">
        <v>39507</v>
      </c>
      <c r="D43" s="383" t="s">
        <v>57</v>
      </c>
      <c r="E43" s="383" t="s">
        <v>296</v>
      </c>
      <c r="F43" s="385">
        <v>130</v>
      </c>
      <c r="G43" s="385">
        <v>6</v>
      </c>
      <c r="H43" s="385">
        <v>13</v>
      </c>
      <c r="I43" s="386">
        <v>1936</v>
      </c>
      <c r="J43" s="387">
        <v>334</v>
      </c>
      <c r="K43" s="388">
        <v>55.66666666666664</v>
      </c>
      <c r="L43" s="389">
        <v>5.796407185628743</v>
      </c>
      <c r="M43" s="390">
        <v>1518483.16</v>
      </c>
      <c r="N43" s="388">
        <v>213046</v>
      </c>
      <c r="O43" s="402">
        <v>7.127489650122507</v>
      </c>
      <c r="P43" s="413">
        <v>1</v>
      </c>
    </row>
    <row r="44" spans="1:16" s="7" customFormat="1" ht="15">
      <c r="A44" s="83">
        <v>40</v>
      </c>
      <c r="B44" s="401" t="s">
        <v>363</v>
      </c>
      <c r="C44" s="384">
        <v>39507</v>
      </c>
      <c r="D44" s="383" t="s">
        <v>261</v>
      </c>
      <c r="E44" s="383" t="s">
        <v>223</v>
      </c>
      <c r="F44" s="385">
        <v>38</v>
      </c>
      <c r="G44" s="385">
        <v>1</v>
      </c>
      <c r="H44" s="385">
        <v>13</v>
      </c>
      <c r="I44" s="386">
        <v>1750</v>
      </c>
      <c r="J44" s="387">
        <v>525</v>
      </c>
      <c r="K44" s="388">
        <v>525</v>
      </c>
      <c r="L44" s="389">
        <v>3.333333333333333</v>
      </c>
      <c r="M44" s="390">
        <v>141233</v>
      </c>
      <c r="N44" s="388">
        <v>15466</v>
      </c>
      <c r="O44" s="402">
        <v>9.131837579206001</v>
      </c>
      <c r="P44" s="413"/>
    </row>
    <row r="45" spans="1:16" s="7" customFormat="1" ht="15">
      <c r="A45" s="83">
        <v>41</v>
      </c>
      <c r="B45" s="401" t="s">
        <v>399</v>
      </c>
      <c r="C45" s="384">
        <v>39549</v>
      </c>
      <c r="D45" s="383" t="s">
        <v>57</v>
      </c>
      <c r="E45" s="383" t="s">
        <v>400</v>
      </c>
      <c r="F45" s="385">
        <v>50</v>
      </c>
      <c r="G45" s="385">
        <v>9</v>
      </c>
      <c r="H45" s="385">
        <v>7</v>
      </c>
      <c r="I45" s="386">
        <v>1621</v>
      </c>
      <c r="J45" s="387">
        <v>317</v>
      </c>
      <c r="K45" s="388">
        <v>35.22222222222223</v>
      </c>
      <c r="L45" s="389">
        <v>5.1135646687697145</v>
      </c>
      <c r="M45" s="390">
        <v>161697</v>
      </c>
      <c r="N45" s="388">
        <v>23821</v>
      </c>
      <c r="O45" s="402">
        <v>6.78800218294782</v>
      </c>
      <c r="P45" s="413">
        <v>1</v>
      </c>
    </row>
    <row r="46" spans="1:16" s="7" customFormat="1" ht="15">
      <c r="A46" s="83">
        <v>42</v>
      </c>
      <c r="B46" s="401" t="s">
        <v>417</v>
      </c>
      <c r="C46" s="384">
        <v>39563</v>
      </c>
      <c r="D46" s="383" t="s">
        <v>60</v>
      </c>
      <c r="E46" s="383" t="s">
        <v>100</v>
      </c>
      <c r="F46" s="385">
        <v>99</v>
      </c>
      <c r="G46" s="385">
        <v>16</v>
      </c>
      <c r="H46" s="385">
        <v>5</v>
      </c>
      <c r="I46" s="386">
        <v>1604</v>
      </c>
      <c r="J46" s="387">
        <v>306</v>
      </c>
      <c r="K46" s="388">
        <v>19.125</v>
      </c>
      <c r="L46" s="389">
        <v>5.241830065359477</v>
      </c>
      <c r="M46" s="390">
        <v>395813.5</v>
      </c>
      <c r="N46" s="388">
        <v>61569</v>
      </c>
      <c r="O46" s="402">
        <v>6.428779093374913</v>
      </c>
      <c r="P46" s="413">
        <v>1</v>
      </c>
    </row>
    <row r="47" spans="1:16" s="7" customFormat="1" ht="15">
      <c r="A47" s="83">
        <v>43</v>
      </c>
      <c r="B47" s="401" t="s">
        <v>247</v>
      </c>
      <c r="C47" s="384">
        <v>39535</v>
      </c>
      <c r="D47" s="383" t="s">
        <v>267</v>
      </c>
      <c r="E47" s="383" t="s">
        <v>196</v>
      </c>
      <c r="F47" s="385">
        <v>10</v>
      </c>
      <c r="G47" s="385">
        <v>8</v>
      </c>
      <c r="H47" s="385">
        <v>9</v>
      </c>
      <c r="I47" s="386">
        <v>1498</v>
      </c>
      <c r="J47" s="387">
        <v>268</v>
      </c>
      <c r="K47" s="388">
        <v>33.5</v>
      </c>
      <c r="L47" s="389">
        <v>5.58955223880597</v>
      </c>
      <c r="M47" s="390">
        <v>190568</v>
      </c>
      <c r="N47" s="388">
        <v>22285</v>
      </c>
      <c r="O47" s="402">
        <v>8.55140228853489</v>
      </c>
      <c r="P47" s="413"/>
    </row>
    <row r="48" spans="1:16" s="7" customFormat="1" ht="15">
      <c r="A48" s="83">
        <v>44</v>
      </c>
      <c r="B48" s="401" t="s">
        <v>40</v>
      </c>
      <c r="C48" s="384">
        <v>39556</v>
      </c>
      <c r="D48" s="383" t="s">
        <v>309</v>
      </c>
      <c r="E48" s="383" t="s">
        <v>412</v>
      </c>
      <c r="F48" s="385">
        <v>48</v>
      </c>
      <c r="G48" s="385">
        <v>10</v>
      </c>
      <c r="H48" s="385">
        <v>6</v>
      </c>
      <c r="I48" s="386">
        <v>1485</v>
      </c>
      <c r="J48" s="387">
        <v>303</v>
      </c>
      <c r="K48" s="388">
        <v>30.3</v>
      </c>
      <c r="L48" s="389">
        <v>4.900990099009901</v>
      </c>
      <c r="M48" s="390">
        <v>56487</v>
      </c>
      <c r="N48" s="388">
        <v>7487</v>
      </c>
      <c r="O48" s="402">
        <v>7.544677440897556</v>
      </c>
      <c r="P48" s="413"/>
    </row>
    <row r="49" spans="1:16" s="7" customFormat="1" ht="15">
      <c r="A49" s="83">
        <v>45</v>
      </c>
      <c r="B49" s="401" t="s">
        <v>203</v>
      </c>
      <c r="C49" s="384">
        <v>39451</v>
      </c>
      <c r="D49" s="383" t="s">
        <v>126</v>
      </c>
      <c r="E49" s="383" t="s">
        <v>105</v>
      </c>
      <c r="F49" s="385">
        <v>25</v>
      </c>
      <c r="G49" s="385">
        <v>4</v>
      </c>
      <c r="H49" s="385">
        <v>20</v>
      </c>
      <c r="I49" s="386">
        <v>1373</v>
      </c>
      <c r="J49" s="387">
        <v>229</v>
      </c>
      <c r="K49" s="388">
        <v>57.25</v>
      </c>
      <c r="L49" s="389">
        <v>5.995633187772927</v>
      </c>
      <c r="M49" s="390">
        <v>257940</v>
      </c>
      <c r="N49" s="388">
        <v>31797</v>
      </c>
      <c r="O49" s="402">
        <v>8.112086045853383</v>
      </c>
      <c r="P49" s="413"/>
    </row>
    <row r="50" spans="1:16" s="7" customFormat="1" ht="15">
      <c r="A50" s="83">
        <v>46</v>
      </c>
      <c r="B50" s="401" t="s">
        <v>419</v>
      </c>
      <c r="C50" s="384">
        <v>39563</v>
      </c>
      <c r="D50" s="383" t="s">
        <v>267</v>
      </c>
      <c r="E50" s="383" t="s">
        <v>420</v>
      </c>
      <c r="F50" s="385">
        <v>15</v>
      </c>
      <c r="G50" s="385">
        <v>6</v>
      </c>
      <c r="H50" s="385">
        <v>5</v>
      </c>
      <c r="I50" s="386">
        <v>1372</v>
      </c>
      <c r="J50" s="387">
        <v>233</v>
      </c>
      <c r="K50" s="388">
        <v>38.83333333333334</v>
      </c>
      <c r="L50" s="389">
        <v>5.888412017167381</v>
      </c>
      <c r="M50" s="390">
        <v>106539</v>
      </c>
      <c r="N50" s="388">
        <v>10758</v>
      </c>
      <c r="O50" s="402">
        <v>9.90323480200781</v>
      </c>
      <c r="P50" s="413"/>
    </row>
    <row r="51" spans="1:16" s="7" customFormat="1" ht="15">
      <c r="A51" s="83">
        <v>47</v>
      </c>
      <c r="B51" s="401" t="s">
        <v>68</v>
      </c>
      <c r="C51" s="384">
        <v>39472</v>
      </c>
      <c r="D51" s="383" t="s">
        <v>62</v>
      </c>
      <c r="E51" s="383" t="s">
        <v>62</v>
      </c>
      <c r="F51" s="385">
        <v>59</v>
      </c>
      <c r="G51" s="385">
        <v>2</v>
      </c>
      <c r="H51" s="385">
        <v>18</v>
      </c>
      <c r="I51" s="386">
        <v>1329</v>
      </c>
      <c r="J51" s="387">
        <v>355</v>
      </c>
      <c r="K51" s="388">
        <v>177.5</v>
      </c>
      <c r="L51" s="389">
        <v>3.7436619718309867</v>
      </c>
      <c r="M51" s="390">
        <v>790277</v>
      </c>
      <c r="N51" s="388">
        <v>101082</v>
      </c>
      <c r="O51" s="402">
        <v>7.81817732138264</v>
      </c>
      <c r="P51" s="413"/>
    </row>
    <row r="52" spans="1:16" s="7" customFormat="1" ht="15">
      <c r="A52" s="83">
        <v>48</v>
      </c>
      <c r="B52" s="401" t="s">
        <v>122</v>
      </c>
      <c r="C52" s="384">
        <v>39542</v>
      </c>
      <c r="D52" s="383" t="s">
        <v>126</v>
      </c>
      <c r="E52" s="383" t="s">
        <v>105</v>
      </c>
      <c r="F52" s="385">
        <v>16</v>
      </c>
      <c r="G52" s="385">
        <v>6</v>
      </c>
      <c r="H52" s="385">
        <v>8</v>
      </c>
      <c r="I52" s="386">
        <v>1315</v>
      </c>
      <c r="J52" s="387">
        <v>244</v>
      </c>
      <c r="K52" s="388">
        <v>40.66666666666664</v>
      </c>
      <c r="L52" s="389">
        <v>5.389344262295081</v>
      </c>
      <c r="M52" s="390">
        <v>113927.5</v>
      </c>
      <c r="N52" s="388">
        <v>13255</v>
      </c>
      <c r="O52" s="402">
        <v>8.595058468502453</v>
      </c>
      <c r="P52" s="413"/>
    </row>
    <row r="53" spans="1:16" s="7" customFormat="1" ht="15">
      <c r="A53" s="83">
        <v>49</v>
      </c>
      <c r="B53" s="401" t="s">
        <v>120</v>
      </c>
      <c r="C53" s="384">
        <v>39542</v>
      </c>
      <c r="D53" s="383" t="s">
        <v>60</v>
      </c>
      <c r="E53" s="383" t="s">
        <v>121</v>
      </c>
      <c r="F53" s="385">
        <v>43</v>
      </c>
      <c r="G53" s="385">
        <v>3</v>
      </c>
      <c r="H53" s="385">
        <v>8</v>
      </c>
      <c r="I53" s="386">
        <v>1263</v>
      </c>
      <c r="J53" s="387">
        <v>264</v>
      </c>
      <c r="K53" s="388">
        <v>88</v>
      </c>
      <c r="L53" s="389">
        <v>4.784090909090908</v>
      </c>
      <c r="M53" s="390">
        <v>222338.5</v>
      </c>
      <c r="N53" s="388">
        <v>27726</v>
      </c>
      <c r="O53" s="402">
        <v>8.019133665151843</v>
      </c>
      <c r="P53" s="413"/>
    </row>
    <row r="54" spans="1:16" s="7" customFormat="1" ht="15">
      <c r="A54" s="83">
        <v>50</v>
      </c>
      <c r="B54" s="401" t="s">
        <v>180</v>
      </c>
      <c r="C54" s="384">
        <v>39458</v>
      </c>
      <c r="D54" s="383" t="s">
        <v>126</v>
      </c>
      <c r="E54" s="383" t="s">
        <v>408</v>
      </c>
      <c r="F54" s="385">
        <v>4</v>
      </c>
      <c r="G54" s="385">
        <v>1</v>
      </c>
      <c r="H54" s="385">
        <v>16</v>
      </c>
      <c r="I54" s="386">
        <v>1188</v>
      </c>
      <c r="J54" s="387">
        <v>297</v>
      </c>
      <c r="K54" s="388">
        <v>297</v>
      </c>
      <c r="L54" s="389">
        <v>4</v>
      </c>
      <c r="M54" s="390">
        <v>96316</v>
      </c>
      <c r="N54" s="388">
        <v>11844</v>
      </c>
      <c r="O54" s="402">
        <v>8.132049983113813</v>
      </c>
      <c r="P54" s="413"/>
    </row>
    <row r="55" spans="1:16" s="7" customFormat="1" ht="15">
      <c r="A55" s="83">
        <v>51</v>
      </c>
      <c r="B55" s="401" t="s">
        <v>303</v>
      </c>
      <c r="C55" s="384">
        <v>39528</v>
      </c>
      <c r="D55" s="383" t="s">
        <v>260</v>
      </c>
      <c r="E55" s="383" t="s">
        <v>304</v>
      </c>
      <c r="F55" s="385">
        <v>72</v>
      </c>
      <c r="G55" s="385">
        <v>2</v>
      </c>
      <c r="H55" s="385">
        <v>10</v>
      </c>
      <c r="I55" s="386">
        <v>1033</v>
      </c>
      <c r="J55" s="387">
        <v>232</v>
      </c>
      <c r="K55" s="388">
        <v>116</v>
      </c>
      <c r="L55" s="389">
        <v>4.45258620689655</v>
      </c>
      <c r="M55" s="390">
        <v>322617</v>
      </c>
      <c r="N55" s="388">
        <v>48020</v>
      </c>
      <c r="O55" s="402">
        <v>6.718388171595168</v>
      </c>
      <c r="P55" s="414">
        <v>1</v>
      </c>
    </row>
    <row r="56" spans="1:16" s="7" customFormat="1" ht="15">
      <c r="A56" s="83">
        <v>52</v>
      </c>
      <c r="B56" s="401" t="s">
        <v>274</v>
      </c>
      <c r="C56" s="384">
        <v>39577</v>
      </c>
      <c r="D56" s="383" t="s">
        <v>126</v>
      </c>
      <c r="E56" s="383" t="s">
        <v>210</v>
      </c>
      <c r="F56" s="385">
        <v>1</v>
      </c>
      <c r="G56" s="385">
        <v>1</v>
      </c>
      <c r="H56" s="385">
        <v>3</v>
      </c>
      <c r="I56" s="386">
        <v>970</v>
      </c>
      <c r="J56" s="387">
        <v>115</v>
      </c>
      <c r="K56" s="388">
        <v>115</v>
      </c>
      <c r="L56" s="389">
        <v>8.434782608695652</v>
      </c>
      <c r="M56" s="390">
        <v>13299</v>
      </c>
      <c r="N56" s="388">
        <v>2178</v>
      </c>
      <c r="O56" s="402">
        <v>6.106060606060606</v>
      </c>
      <c r="P56" s="413"/>
    </row>
    <row r="57" spans="1:16" s="7" customFormat="1" ht="15">
      <c r="A57" s="83">
        <v>53</v>
      </c>
      <c r="B57" s="401" t="s">
        <v>109</v>
      </c>
      <c r="C57" s="384">
        <v>39486</v>
      </c>
      <c r="D57" s="383" t="s">
        <v>260</v>
      </c>
      <c r="E57" s="383" t="s">
        <v>110</v>
      </c>
      <c r="F57" s="385">
        <v>138</v>
      </c>
      <c r="G57" s="385">
        <v>1</v>
      </c>
      <c r="H57" s="385">
        <v>12</v>
      </c>
      <c r="I57" s="386">
        <v>918</v>
      </c>
      <c r="J57" s="387">
        <v>182</v>
      </c>
      <c r="K57" s="388">
        <v>182</v>
      </c>
      <c r="L57" s="389">
        <v>5.043956043956044</v>
      </c>
      <c r="M57" s="390">
        <v>2245567</v>
      </c>
      <c r="N57" s="388">
        <v>333496</v>
      </c>
      <c r="O57" s="402">
        <v>6.733415093434405</v>
      </c>
      <c r="P57" s="414">
        <v>1</v>
      </c>
    </row>
    <row r="58" spans="1:16" s="7" customFormat="1" ht="15">
      <c r="A58" s="83">
        <v>54</v>
      </c>
      <c r="B58" s="401" t="s">
        <v>55</v>
      </c>
      <c r="C58" s="384">
        <v>39493</v>
      </c>
      <c r="D58" s="383" t="s">
        <v>260</v>
      </c>
      <c r="E58" s="383" t="s">
        <v>50</v>
      </c>
      <c r="F58" s="385">
        <v>53</v>
      </c>
      <c r="G58" s="385">
        <v>2</v>
      </c>
      <c r="H58" s="385">
        <v>15</v>
      </c>
      <c r="I58" s="386">
        <v>904</v>
      </c>
      <c r="J58" s="387">
        <v>188</v>
      </c>
      <c r="K58" s="388">
        <v>94</v>
      </c>
      <c r="L58" s="389">
        <v>4.808510638297871</v>
      </c>
      <c r="M58" s="390">
        <v>1110664</v>
      </c>
      <c r="N58" s="388">
        <v>129214</v>
      </c>
      <c r="O58" s="402">
        <v>8.59553918306066</v>
      </c>
      <c r="P58" s="414"/>
    </row>
    <row r="59" spans="1:16" s="7" customFormat="1" ht="15">
      <c r="A59" s="83">
        <v>55</v>
      </c>
      <c r="B59" s="401" t="s">
        <v>83</v>
      </c>
      <c r="C59" s="384">
        <v>39570</v>
      </c>
      <c r="D59" s="383" t="s">
        <v>256</v>
      </c>
      <c r="E59" s="383" t="s">
        <v>84</v>
      </c>
      <c r="F59" s="385">
        <v>3</v>
      </c>
      <c r="G59" s="385">
        <v>3</v>
      </c>
      <c r="H59" s="385">
        <v>4</v>
      </c>
      <c r="I59" s="386">
        <v>900</v>
      </c>
      <c r="J59" s="387">
        <v>173</v>
      </c>
      <c r="K59" s="388">
        <v>57.66666666666664</v>
      </c>
      <c r="L59" s="389">
        <v>5.202312138728325</v>
      </c>
      <c r="M59" s="390">
        <v>19145.5</v>
      </c>
      <c r="N59" s="388">
        <v>2146</v>
      </c>
      <c r="O59" s="402">
        <v>8.92148182665424</v>
      </c>
      <c r="P59" s="413">
        <v>1</v>
      </c>
    </row>
    <row r="60" spans="1:16" s="7" customFormat="1" ht="15">
      <c r="A60" s="83">
        <v>56</v>
      </c>
      <c r="B60" s="401" t="s">
        <v>394</v>
      </c>
      <c r="C60" s="384">
        <v>39381</v>
      </c>
      <c r="D60" s="383" t="s">
        <v>126</v>
      </c>
      <c r="E60" s="383" t="s">
        <v>250</v>
      </c>
      <c r="F60" s="385">
        <v>2</v>
      </c>
      <c r="G60" s="385">
        <v>1</v>
      </c>
      <c r="H60" s="385">
        <v>12</v>
      </c>
      <c r="I60" s="386">
        <v>891</v>
      </c>
      <c r="J60" s="387">
        <v>105</v>
      </c>
      <c r="K60" s="388">
        <v>105</v>
      </c>
      <c r="L60" s="389">
        <v>8.485714285714288</v>
      </c>
      <c r="M60" s="390">
        <v>38237.5</v>
      </c>
      <c r="N60" s="388">
        <v>5924</v>
      </c>
      <c r="O60" s="402">
        <v>6.454675894665766</v>
      </c>
      <c r="P60" s="413"/>
    </row>
    <row r="61" spans="1:16" s="7" customFormat="1" ht="15">
      <c r="A61" s="83">
        <v>57</v>
      </c>
      <c r="B61" s="401" t="s">
        <v>301</v>
      </c>
      <c r="C61" s="384">
        <v>39528</v>
      </c>
      <c r="D61" s="383" t="s">
        <v>309</v>
      </c>
      <c r="E61" s="383" t="s">
        <v>309</v>
      </c>
      <c r="F61" s="385">
        <v>34</v>
      </c>
      <c r="G61" s="385">
        <v>4</v>
      </c>
      <c r="H61" s="385">
        <v>10</v>
      </c>
      <c r="I61" s="386">
        <v>872</v>
      </c>
      <c r="J61" s="387">
        <v>256</v>
      </c>
      <c r="K61" s="388">
        <v>64</v>
      </c>
      <c r="L61" s="389">
        <v>3.40625</v>
      </c>
      <c r="M61" s="390">
        <v>906587</v>
      </c>
      <c r="N61" s="388">
        <v>101930</v>
      </c>
      <c r="O61" s="402">
        <v>8.894211713921319</v>
      </c>
      <c r="P61" s="413"/>
    </row>
    <row r="62" spans="1:16" s="7" customFormat="1" ht="15">
      <c r="A62" s="83">
        <v>58</v>
      </c>
      <c r="B62" s="401" t="s">
        <v>82</v>
      </c>
      <c r="C62" s="384">
        <v>39570</v>
      </c>
      <c r="D62" s="383" t="s">
        <v>126</v>
      </c>
      <c r="E62" s="383" t="s">
        <v>127</v>
      </c>
      <c r="F62" s="385">
        <v>9</v>
      </c>
      <c r="G62" s="385">
        <v>4</v>
      </c>
      <c r="H62" s="385">
        <v>4</v>
      </c>
      <c r="I62" s="386">
        <v>868</v>
      </c>
      <c r="J62" s="387">
        <v>124</v>
      </c>
      <c r="K62" s="388">
        <v>31</v>
      </c>
      <c r="L62" s="389">
        <v>7</v>
      </c>
      <c r="M62" s="390">
        <v>27261</v>
      </c>
      <c r="N62" s="388">
        <v>3595</v>
      </c>
      <c r="O62" s="402">
        <v>7.583031988873436</v>
      </c>
      <c r="P62" s="413"/>
    </row>
    <row r="63" spans="1:16" s="7" customFormat="1" ht="15">
      <c r="A63" s="83">
        <v>59</v>
      </c>
      <c r="B63" s="401" t="s">
        <v>271</v>
      </c>
      <c r="C63" s="384">
        <v>39577</v>
      </c>
      <c r="D63" s="383" t="s">
        <v>57</v>
      </c>
      <c r="E63" s="383" t="s">
        <v>272</v>
      </c>
      <c r="F63" s="385">
        <v>10</v>
      </c>
      <c r="G63" s="385">
        <v>7</v>
      </c>
      <c r="H63" s="385">
        <v>3</v>
      </c>
      <c r="I63" s="386">
        <v>857.5</v>
      </c>
      <c r="J63" s="387">
        <v>118</v>
      </c>
      <c r="K63" s="388">
        <v>16.857142857142858</v>
      </c>
      <c r="L63" s="389">
        <v>7.266949152542373</v>
      </c>
      <c r="M63" s="390">
        <v>16474.5</v>
      </c>
      <c r="N63" s="388">
        <v>1610</v>
      </c>
      <c r="O63" s="402">
        <v>10.232608695652168</v>
      </c>
      <c r="P63" s="413"/>
    </row>
    <row r="64" spans="1:16" s="7" customFormat="1" ht="15">
      <c r="A64" s="83">
        <v>60</v>
      </c>
      <c r="B64" s="401" t="s">
        <v>47</v>
      </c>
      <c r="C64" s="384">
        <v>39444</v>
      </c>
      <c r="D64" s="383" t="s">
        <v>126</v>
      </c>
      <c r="E64" s="383" t="s">
        <v>210</v>
      </c>
      <c r="F64" s="385">
        <v>25</v>
      </c>
      <c r="G64" s="385">
        <v>3</v>
      </c>
      <c r="H64" s="385">
        <v>11</v>
      </c>
      <c r="I64" s="386">
        <v>811</v>
      </c>
      <c r="J64" s="387">
        <v>137</v>
      </c>
      <c r="K64" s="388">
        <v>45.66666666666664</v>
      </c>
      <c r="L64" s="389">
        <v>5.91970802919708</v>
      </c>
      <c r="M64" s="390">
        <v>264868.25</v>
      </c>
      <c r="N64" s="388">
        <v>27605</v>
      </c>
      <c r="O64" s="402">
        <v>9.594937511320415</v>
      </c>
      <c r="P64" s="413"/>
    </row>
    <row r="65" spans="1:16" s="7" customFormat="1" ht="15">
      <c r="A65" s="83">
        <v>61</v>
      </c>
      <c r="B65" s="401" t="s">
        <v>38</v>
      </c>
      <c r="C65" s="384">
        <v>39556</v>
      </c>
      <c r="D65" s="383" t="s">
        <v>126</v>
      </c>
      <c r="E65" s="383" t="s">
        <v>6</v>
      </c>
      <c r="F65" s="385">
        <v>17</v>
      </c>
      <c r="G65" s="385">
        <v>3</v>
      </c>
      <c r="H65" s="385">
        <v>6</v>
      </c>
      <c r="I65" s="386">
        <v>718</v>
      </c>
      <c r="J65" s="387">
        <v>144</v>
      </c>
      <c r="K65" s="388">
        <v>48</v>
      </c>
      <c r="L65" s="389">
        <v>4.98611111111111</v>
      </c>
      <c r="M65" s="390">
        <v>124155</v>
      </c>
      <c r="N65" s="388">
        <v>13018</v>
      </c>
      <c r="O65" s="402">
        <v>9.53717929021355</v>
      </c>
      <c r="P65" s="413"/>
    </row>
    <row r="66" spans="1:16" s="7" customFormat="1" ht="15">
      <c r="A66" s="83">
        <v>62</v>
      </c>
      <c r="B66" s="401" t="s">
        <v>18</v>
      </c>
      <c r="C66" s="384">
        <v>39549</v>
      </c>
      <c r="D66" s="383" t="s">
        <v>262</v>
      </c>
      <c r="E66" s="383" t="s">
        <v>263</v>
      </c>
      <c r="F66" s="385">
        <v>56</v>
      </c>
      <c r="G66" s="385">
        <v>2</v>
      </c>
      <c r="H66" s="385">
        <v>7</v>
      </c>
      <c r="I66" s="386">
        <v>700</v>
      </c>
      <c r="J66" s="387">
        <v>127</v>
      </c>
      <c r="K66" s="388">
        <v>63.5</v>
      </c>
      <c r="L66" s="389">
        <v>5.511811023622047</v>
      </c>
      <c r="M66" s="390">
        <v>689659.5</v>
      </c>
      <c r="N66" s="388">
        <v>83443</v>
      </c>
      <c r="O66" s="402">
        <v>8.265037211030286</v>
      </c>
      <c r="P66" s="413"/>
    </row>
    <row r="67" spans="1:16" s="7" customFormat="1" ht="15">
      <c r="A67" s="83">
        <v>63</v>
      </c>
      <c r="B67" s="401" t="s">
        <v>65</v>
      </c>
      <c r="C67" s="384">
        <v>39472</v>
      </c>
      <c r="D67" s="383" t="s">
        <v>260</v>
      </c>
      <c r="E67" s="383" t="s">
        <v>144</v>
      </c>
      <c r="F67" s="385">
        <v>111</v>
      </c>
      <c r="G67" s="385">
        <v>1</v>
      </c>
      <c r="H67" s="385">
        <v>15</v>
      </c>
      <c r="I67" s="386">
        <v>676</v>
      </c>
      <c r="J67" s="387">
        <v>242</v>
      </c>
      <c r="K67" s="388">
        <v>242</v>
      </c>
      <c r="L67" s="389">
        <v>2.793388429752066</v>
      </c>
      <c r="M67" s="390">
        <v>3326534</v>
      </c>
      <c r="N67" s="388">
        <v>413801</v>
      </c>
      <c r="O67" s="402">
        <v>8.038970422981093</v>
      </c>
      <c r="P67" s="414"/>
    </row>
    <row r="68" spans="1:16" s="7" customFormat="1" ht="15">
      <c r="A68" s="83">
        <v>64</v>
      </c>
      <c r="B68" s="401" t="s">
        <v>19</v>
      </c>
      <c r="C68" s="384">
        <v>39549</v>
      </c>
      <c r="D68" s="383" t="s">
        <v>260</v>
      </c>
      <c r="E68" s="383" t="s">
        <v>20</v>
      </c>
      <c r="F68" s="385">
        <v>44</v>
      </c>
      <c r="G68" s="385">
        <v>1</v>
      </c>
      <c r="H68" s="385">
        <v>7</v>
      </c>
      <c r="I68" s="386">
        <v>625</v>
      </c>
      <c r="J68" s="387">
        <v>297</v>
      </c>
      <c r="K68" s="388">
        <v>297</v>
      </c>
      <c r="L68" s="389">
        <v>2.1043771043771042</v>
      </c>
      <c r="M68" s="390">
        <v>150072</v>
      </c>
      <c r="N68" s="388">
        <v>18535</v>
      </c>
      <c r="O68" s="402">
        <v>8.096681953061776</v>
      </c>
      <c r="P68" s="414">
        <v>1</v>
      </c>
    </row>
    <row r="69" spans="1:16" s="7" customFormat="1" ht="15">
      <c r="A69" s="83">
        <v>65</v>
      </c>
      <c r="B69" s="401" t="s">
        <v>311</v>
      </c>
      <c r="C69" s="384">
        <v>39430</v>
      </c>
      <c r="D69" s="383" t="s">
        <v>261</v>
      </c>
      <c r="E69" s="383" t="s">
        <v>87</v>
      </c>
      <c r="F69" s="385">
        <v>242</v>
      </c>
      <c r="G69" s="385">
        <v>1</v>
      </c>
      <c r="H69" s="385">
        <v>22</v>
      </c>
      <c r="I69" s="386">
        <v>593</v>
      </c>
      <c r="J69" s="387">
        <v>203</v>
      </c>
      <c r="K69" s="388">
        <v>203</v>
      </c>
      <c r="L69" s="389">
        <v>2.9211822660098523</v>
      </c>
      <c r="M69" s="390">
        <v>15282250</v>
      </c>
      <c r="N69" s="388">
        <v>1985454</v>
      </c>
      <c r="O69" s="402">
        <v>7.697106052318511</v>
      </c>
      <c r="P69" s="413">
        <v>1</v>
      </c>
    </row>
    <row r="70" spans="1:16" s="7" customFormat="1" ht="15">
      <c r="A70" s="83">
        <v>66</v>
      </c>
      <c r="B70" s="401" t="s">
        <v>23</v>
      </c>
      <c r="C70" s="384">
        <v>39542</v>
      </c>
      <c r="D70" s="383" t="s">
        <v>309</v>
      </c>
      <c r="E70" s="383" t="s">
        <v>412</v>
      </c>
      <c r="F70" s="385">
        <v>24</v>
      </c>
      <c r="G70" s="385">
        <v>4</v>
      </c>
      <c r="H70" s="385">
        <v>8</v>
      </c>
      <c r="I70" s="386">
        <v>570</v>
      </c>
      <c r="J70" s="387">
        <v>106</v>
      </c>
      <c r="K70" s="388">
        <v>26.5</v>
      </c>
      <c r="L70" s="389">
        <v>5.377358490566038</v>
      </c>
      <c r="M70" s="390">
        <v>174432</v>
      </c>
      <c r="N70" s="388">
        <v>18609</v>
      </c>
      <c r="O70" s="402">
        <v>9.373528937610834</v>
      </c>
      <c r="P70" s="413"/>
    </row>
    <row r="71" spans="1:16" s="7" customFormat="1" ht="15">
      <c r="A71" s="83">
        <v>67</v>
      </c>
      <c r="B71" s="401" t="s">
        <v>26</v>
      </c>
      <c r="C71" s="384">
        <v>39549</v>
      </c>
      <c r="D71" s="383" t="s">
        <v>126</v>
      </c>
      <c r="E71" s="383" t="s">
        <v>27</v>
      </c>
      <c r="F71" s="385">
        <v>5</v>
      </c>
      <c r="G71" s="385">
        <v>3</v>
      </c>
      <c r="H71" s="385">
        <v>7</v>
      </c>
      <c r="I71" s="386">
        <v>525</v>
      </c>
      <c r="J71" s="387">
        <v>90</v>
      </c>
      <c r="K71" s="388">
        <v>30</v>
      </c>
      <c r="L71" s="389">
        <v>5.833333333333333</v>
      </c>
      <c r="M71" s="390">
        <v>32950</v>
      </c>
      <c r="N71" s="388">
        <v>3521</v>
      </c>
      <c r="O71" s="402">
        <v>9.35813689292815</v>
      </c>
      <c r="P71" s="413"/>
    </row>
    <row r="72" spans="1:16" s="7" customFormat="1" ht="15">
      <c r="A72" s="83">
        <v>68</v>
      </c>
      <c r="B72" s="401" t="s">
        <v>392</v>
      </c>
      <c r="C72" s="384">
        <v>39500</v>
      </c>
      <c r="D72" s="383" t="s">
        <v>126</v>
      </c>
      <c r="E72" s="383" t="s">
        <v>344</v>
      </c>
      <c r="F72" s="385">
        <v>100</v>
      </c>
      <c r="G72" s="385">
        <v>5</v>
      </c>
      <c r="H72" s="385">
        <v>14</v>
      </c>
      <c r="I72" s="386">
        <v>513</v>
      </c>
      <c r="J72" s="387">
        <v>111</v>
      </c>
      <c r="K72" s="388">
        <v>22.2</v>
      </c>
      <c r="L72" s="389">
        <v>4.621621621621622</v>
      </c>
      <c r="M72" s="390">
        <v>1699982.4</v>
      </c>
      <c r="N72" s="388">
        <v>229249</v>
      </c>
      <c r="O72" s="402">
        <v>7.415440852522802</v>
      </c>
      <c r="P72" s="413"/>
    </row>
    <row r="73" spans="1:16" s="7" customFormat="1" ht="15">
      <c r="A73" s="83">
        <v>69</v>
      </c>
      <c r="B73" s="401" t="s">
        <v>345</v>
      </c>
      <c r="C73" s="384">
        <v>39500</v>
      </c>
      <c r="D73" s="383" t="s">
        <v>261</v>
      </c>
      <c r="E73" s="383" t="s">
        <v>346</v>
      </c>
      <c r="F73" s="385">
        <v>123</v>
      </c>
      <c r="G73" s="385">
        <v>1</v>
      </c>
      <c r="H73" s="385">
        <v>14</v>
      </c>
      <c r="I73" s="386">
        <v>441</v>
      </c>
      <c r="J73" s="387">
        <v>350</v>
      </c>
      <c r="K73" s="388">
        <v>350</v>
      </c>
      <c r="L73" s="389">
        <v>1.26</v>
      </c>
      <c r="M73" s="390">
        <v>728257</v>
      </c>
      <c r="N73" s="388">
        <v>103320</v>
      </c>
      <c r="O73" s="402">
        <v>7.0485578784359255</v>
      </c>
      <c r="P73" s="413">
        <v>1</v>
      </c>
    </row>
    <row r="74" spans="1:16" s="7" customFormat="1" ht="15">
      <c r="A74" s="83">
        <v>70</v>
      </c>
      <c r="B74" s="401" t="s">
        <v>211</v>
      </c>
      <c r="C74" s="384">
        <v>39437</v>
      </c>
      <c r="D74" s="383" t="s">
        <v>126</v>
      </c>
      <c r="E74" s="383" t="s">
        <v>250</v>
      </c>
      <c r="F74" s="385">
        <v>1</v>
      </c>
      <c r="G74" s="385">
        <v>1</v>
      </c>
      <c r="H74" s="385">
        <v>9</v>
      </c>
      <c r="I74" s="386">
        <v>414</v>
      </c>
      <c r="J74" s="387">
        <v>50</v>
      </c>
      <c r="K74" s="388">
        <v>50</v>
      </c>
      <c r="L74" s="389">
        <v>8.28</v>
      </c>
      <c r="M74" s="390">
        <v>30245.5</v>
      </c>
      <c r="N74" s="388">
        <v>4916</v>
      </c>
      <c r="O74" s="402">
        <v>6.152461350691619</v>
      </c>
      <c r="P74" s="413"/>
    </row>
    <row r="75" spans="1:16" s="7" customFormat="1" ht="15">
      <c r="A75" s="83">
        <v>71</v>
      </c>
      <c r="B75" s="401" t="s">
        <v>422</v>
      </c>
      <c r="C75" s="384">
        <v>39563</v>
      </c>
      <c r="D75" s="383" t="s">
        <v>309</v>
      </c>
      <c r="E75" s="383" t="s">
        <v>412</v>
      </c>
      <c r="F75" s="385">
        <v>25</v>
      </c>
      <c r="G75" s="385">
        <v>4</v>
      </c>
      <c r="H75" s="385">
        <v>5</v>
      </c>
      <c r="I75" s="386">
        <v>385</v>
      </c>
      <c r="J75" s="387">
        <v>79</v>
      </c>
      <c r="K75" s="388">
        <v>19.75</v>
      </c>
      <c r="L75" s="389">
        <v>4.8734177215189876</v>
      </c>
      <c r="M75" s="390">
        <v>62717</v>
      </c>
      <c r="N75" s="388">
        <v>6787</v>
      </c>
      <c r="O75" s="402">
        <v>9.240754383379992</v>
      </c>
      <c r="P75" s="413"/>
    </row>
    <row r="76" spans="1:16" s="7" customFormat="1" ht="15">
      <c r="A76" s="83">
        <v>72</v>
      </c>
      <c r="B76" s="401" t="s">
        <v>361</v>
      </c>
      <c r="C76" s="384">
        <v>39507</v>
      </c>
      <c r="D76" s="383" t="s">
        <v>260</v>
      </c>
      <c r="E76" s="383" t="s">
        <v>50</v>
      </c>
      <c r="F76" s="385">
        <v>81</v>
      </c>
      <c r="G76" s="385">
        <v>2</v>
      </c>
      <c r="H76" s="385">
        <v>13</v>
      </c>
      <c r="I76" s="386">
        <v>372</v>
      </c>
      <c r="J76" s="387">
        <v>76</v>
      </c>
      <c r="K76" s="388">
        <v>38</v>
      </c>
      <c r="L76" s="389">
        <v>4.894736842105261</v>
      </c>
      <c r="M76" s="390">
        <v>871932</v>
      </c>
      <c r="N76" s="388">
        <v>117809</v>
      </c>
      <c r="O76" s="402">
        <v>7.401234201122155</v>
      </c>
      <c r="P76" s="414"/>
    </row>
    <row r="77" spans="1:16" s="7" customFormat="1" ht="15">
      <c r="A77" s="83">
        <v>73</v>
      </c>
      <c r="B77" s="401" t="s">
        <v>67</v>
      </c>
      <c r="C77" s="384">
        <v>39472</v>
      </c>
      <c r="D77" s="383" t="s">
        <v>267</v>
      </c>
      <c r="E77" s="383" t="s">
        <v>127</v>
      </c>
      <c r="F77" s="385">
        <v>70</v>
      </c>
      <c r="G77" s="385">
        <v>1</v>
      </c>
      <c r="H77" s="385">
        <v>18</v>
      </c>
      <c r="I77" s="386">
        <v>309</v>
      </c>
      <c r="J77" s="387">
        <v>73</v>
      </c>
      <c r="K77" s="388">
        <v>73</v>
      </c>
      <c r="L77" s="389">
        <v>4.232876712328767</v>
      </c>
      <c r="M77" s="390">
        <v>865236</v>
      </c>
      <c r="N77" s="388">
        <v>108472</v>
      </c>
      <c r="O77" s="402">
        <v>7.976583818865698</v>
      </c>
      <c r="P77" s="413"/>
    </row>
    <row r="78" spans="1:16" s="7" customFormat="1" ht="15">
      <c r="A78" s="83">
        <v>74</v>
      </c>
      <c r="B78" s="401" t="s">
        <v>306</v>
      </c>
      <c r="C78" s="384">
        <v>39521</v>
      </c>
      <c r="D78" s="383" t="s">
        <v>260</v>
      </c>
      <c r="E78" s="383" t="s">
        <v>228</v>
      </c>
      <c r="F78" s="385">
        <v>36</v>
      </c>
      <c r="G78" s="385">
        <v>1</v>
      </c>
      <c r="H78" s="385">
        <v>10</v>
      </c>
      <c r="I78" s="386">
        <v>300</v>
      </c>
      <c r="J78" s="387">
        <v>75</v>
      </c>
      <c r="K78" s="388">
        <v>75</v>
      </c>
      <c r="L78" s="389">
        <v>4</v>
      </c>
      <c r="M78" s="390">
        <v>197714</v>
      </c>
      <c r="N78" s="388">
        <v>26182</v>
      </c>
      <c r="O78" s="402">
        <v>7.551523947750363</v>
      </c>
      <c r="P78" s="414"/>
    </row>
    <row r="79" spans="1:16" s="7" customFormat="1" ht="15">
      <c r="A79" s="83">
        <v>75</v>
      </c>
      <c r="B79" s="401" t="s">
        <v>278</v>
      </c>
      <c r="C79" s="384">
        <v>39493</v>
      </c>
      <c r="D79" s="383" t="s">
        <v>309</v>
      </c>
      <c r="E79" s="383" t="s">
        <v>412</v>
      </c>
      <c r="F79" s="385">
        <v>10</v>
      </c>
      <c r="G79" s="385">
        <v>1</v>
      </c>
      <c r="H79" s="385">
        <v>15</v>
      </c>
      <c r="I79" s="386">
        <v>286</v>
      </c>
      <c r="J79" s="387">
        <v>28</v>
      </c>
      <c r="K79" s="388">
        <v>28</v>
      </c>
      <c r="L79" s="389">
        <v>10.21428571428571</v>
      </c>
      <c r="M79" s="390">
        <v>167316</v>
      </c>
      <c r="N79" s="388">
        <v>20148</v>
      </c>
      <c r="O79" s="402">
        <v>8.304347826086957</v>
      </c>
      <c r="P79" s="413"/>
    </row>
    <row r="80" spans="1:16" s="7" customFormat="1" ht="15">
      <c r="A80" s="83">
        <v>76</v>
      </c>
      <c r="B80" s="401" t="s">
        <v>42</v>
      </c>
      <c r="C80" s="384">
        <v>39556</v>
      </c>
      <c r="D80" s="383" t="s">
        <v>57</v>
      </c>
      <c r="E80" s="383" t="s">
        <v>348</v>
      </c>
      <c r="F80" s="385">
        <v>6</v>
      </c>
      <c r="G80" s="385">
        <v>3</v>
      </c>
      <c r="H80" s="385">
        <v>6</v>
      </c>
      <c r="I80" s="386">
        <v>234</v>
      </c>
      <c r="J80" s="387">
        <v>48</v>
      </c>
      <c r="K80" s="388">
        <v>16</v>
      </c>
      <c r="L80" s="389">
        <v>4.875</v>
      </c>
      <c r="M80" s="390">
        <v>25415</v>
      </c>
      <c r="N80" s="388">
        <v>2974</v>
      </c>
      <c r="O80" s="402">
        <v>8.545729657027572</v>
      </c>
      <c r="P80" s="413"/>
    </row>
    <row r="81" spans="1:16" s="7" customFormat="1" ht="15">
      <c r="A81" s="83">
        <v>77</v>
      </c>
      <c r="B81" s="401" t="s">
        <v>101</v>
      </c>
      <c r="C81" s="384">
        <v>39563</v>
      </c>
      <c r="D81" s="383" t="s">
        <v>425</v>
      </c>
      <c r="E81" s="383" t="s">
        <v>127</v>
      </c>
      <c r="F81" s="385">
        <v>3</v>
      </c>
      <c r="G81" s="385">
        <v>2</v>
      </c>
      <c r="H81" s="385">
        <v>5</v>
      </c>
      <c r="I81" s="386">
        <v>214</v>
      </c>
      <c r="J81" s="387">
        <v>35</v>
      </c>
      <c r="K81" s="388">
        <v>17.5</v>
      </c>
      <c r="L81" s="389">
        <v>6</v>
      </c>
      <c r="M81" s="390">
        <v>16874</v>
      </c>
      <c r="N81" s="388">
        <v>1478</v>
      </c>
      <c r="O81" s="402">
        <v>7</v>
      </c>
      <c r="P81" s="413"/>
    </row>
    <row r="82" spans="1:16" s="7" customFormat="1" ht="15">
      <c r="A82" s="83">
        <v>78</v>
      </c>
      <c r="B82" s="401" t="s">
        <v>85</v>
      </c>
      <c r="C82" s="384">
        <v>39570</v>
      </c>
      <c r="D82" s="383" t="s">
        <v>261</v>
      </c>
      <c r="E82" s="383" t="s">
        <v>360</v>
      </c>
      <c r="F82" s="385">
        <v>2</v>
      </c>
      <c r="G82" s="385">
        <v>2</v>
      </c>
      <c r="H82" s="385">
        <v>2</v>
      </c>
      <c r="I82" s="386">
        <v>199</v>
      </c>
      <c r="J82" s="387">
        <v>33</v>
      </c>
      <c r="K82" s="388">
        <v>16.5</v>
      </c>
      <c r="L82" s="389">
        <v>6.03030303030303</v>
      </c>
      <c r="M82" s="390">
        <v>9039</v>
      </c>
      <c r="N82" s="388">
        <v>943</v>
      </c>
      <c r="O82" s="402">
        <v>9.585365853658537</v>
      </c>
      <c r="P82" s="413"/>
    </row>
    <row r="83" spans="1:16" s="7" customFormat="1" ht="15">
      <c r="A83" s="83">
        <v>79</v>
      </c>
      <c r="B83" s="401" t="s">
        <v>229</v>
      </c>
      <c r="C83" s="384">
        <v>39528</v>
      </c>
      <c r="D83" s="383" t="s">
        <v>126</v>
      </c>
      <c r="E83" s="383" t="s">
        <v>102</v>
      </c>
      <c r="F83" s="385">
        <v>17</v>
      </c>
      <c r="G83" s="385">
        <v>2</v>
      </c>
      <c r="H83" s="385">
        <v>10</v>
      </c>
      <c r="I83" s="386">
        <v>171</v>
      </c>
      <c r="J83" s="387">
        <v>35</v>
      </c>
      <c r="K83" s="388">
        <v>17.5</v>
      </c>
      <c r="L83" s="389">
        <v>4.885714285714286</v>
      </c>
      <c r="M83" s="390">
        <v>53368</v>
      </c>
      <c r="N83" s="388">
        <v>8728</v>
      </c>
      <c r="O83" s="402">
        <v>6.114573785517875</v>
      </c>
      <c r="P83" s="413">
        <v>1</v>
      </c>
    </row>
    <row r="84" spans="1:16" s="7" customFormat="1" ht="15">
      <c r="A84" s="83">
        <v>80</v>
      </c>
      <c r="B84" s="401" t="s">
        <v>364</v>
      </c>
      <c r="C84" s="384">
        <v>39507</v>
      </c>
      <c r="D84" s="383" t="s">
        <v>126</v>
      </c>
      <c r="E84" s="383" t="s">
        <v>105</v>
      </c>
      <c r="F84" s="385">
        <v>20</v>
      </c>
      <c r="G84" s="385">
        <v>1</v>
      </c>
      <c r="H84" s="385">
        <v>13</v>
      </c>
      <c r="I84" s="386">
        <v>171</v>
      </c>
      <c r="J84" s="387">
        <v>34</v>
      </c>
      <c r="K84" s="388">
        <v>34</v>
      </c>
      <c r="L84" s="389">
        <v>5.029411764705881</v>
      </c>
      <c r="M84" s="390">
        <v>115184</v>
      </c>
      <c r="N84" s="388">
        <v>14257</v>
      </c>
      <c r="O84" s="402">
        <v>8.07911902924879</v>
      </c>
      <c r="P84" s="413"/>
    </row>
    <row r="85" spans="1:16" s="7" customFormat="1" ht="15">
      <c r="A85" s="83">
        <v>81</v>
      </c>
      <c r="B85" s="401" t="s">
        <v>430</v>
      </c>
      <c r="C85" s="384">
        <v>39542</v>
      </c>
      <c r="D85" s="383" t="s">
        <v>126</v>
      </c>
      <c r="E85" s="383" t="s">
        <v>127</v>
      </c>
      <c r="F85" s="385">
        <v>1</v>
      </c>
      <c r="G85" s="385">
        <v>1</v>
      </c>
      <c r="H85" s="385">
        <v>8</v>
      </c>
      <c r="I85" s="386">
        <v>102</v>
      </c>
      <c r="J85" s="387">
        <v>17</v>
      </c>
      <c r="K85" s="388">
        <v>17</v>
      </c>
      <c r="L85" s="389">
        <v>6</v>
      </c>
      <c r="M85" s="390">
        <v>13666</v>
      </c>
      <c r="N85" s="388">
        <v>1403</v>
      </c>
      <c r="O85" s="402">
        <v>9.74055595153243</v>
      </c>
      <c r="P85" s="413"/>
    </row>
    <row r="86" spans="1:16" s="7" customFormat="1" ht="15">
      <c r="A86" s="83">
        <v>82</v>
      </c>
      <c r="B86" s="401" t="s">
        <v>69</v>
      </c>
      <c r="C86" s="384">
        <v>39472</v>
      </c>
      <c r="D86" s="383" t="s">
        <v>126</v>
      </c>
      <c r="E86" s="383" t="s">
        <v>6</v>
      </c>
      <c r="F86" s="385">
        <v>25</v>
      </c>
      <c r="G86" s="385">
        <v>1</v>
      </c>
      <c r="H86" s="385">
        <v>18</v>
      </c>
      <c r="I86" s="386">
        <v>85</v>
      </c>
      <c r="J86" s="387">
        <v>17</v>
      </c>
      <c r="K86" s="388">
        <v>17</v>
      </c>
      <c r="L86" s="389">
        <v>5</v>
      </c>
      <c r="M86" s="390">
        <v>163904.5</v>
      </c>
      <c r="N86" s="388">
        <v>24594</v>
      </c>
      <c r="O86" s="402">
        <v>6.664410018703747</v>
      </c>
      <c r="P86" s="413"/>
    </row>
    <row r="87" spans="1:16" s="7" customFormat="1" ht="15">
      <c r="A87" s="83">
        <v>83</v>
      </c>
      <c r="B87" s="401" t="s">
        <v>152</v>
      </c>
      <c r="C87" s="384">
        <v>39465</v>
      </c>
      <c r="D87" s="383" t="s">
        <v>309</v>
      </c>
      <c r="E87" s="383" t="s">
        <v>309</v>
      </c>
      <c r="F87" s="385">
        <v>16</v>
      </c>
      <c r="G87" s="385">
        <v>1</v>
      </c>
      <c r="H87" s="385">
        <v>18</v>
      </c>
      <c r="I87" s="386">
        <v>55</v>
      </c>
      <c r="J87" s="387">
        <v>11</v>
      </c>
      <c r="K87" s="388">
        <v>11</v>
      </c>
      <c r="L87" s="389">
        <v>5</v>
      </c>
      <c r="M87" s="390">
        <v>153187</v>
      </c>
      <c r="N87" s="388">
        <v>15511</v>
      </c>
      <c r="O87" s="402">
        <v>9.876023467216815</v>
      </c>
      <c r="P87" s="413"/>
    </row>
    <row r="88" spans="1:16" s="7" customFormat="1" ht="15">
      <c r="A88" s="83">
        <v>84</v>
      </c>
      <c r="B88" s="401" t="s">
        <v>197</v>
      </c>
      <c r="C88" s="384">
        <v>39521</v>
      </c>
      <c r="D88" s="383" t="s">
        <v>261</v>
      </c>
      <c r="E88" s="383" t="s">
        <v>104</v>
      </c>
      <c r="F88" s="385">
        <v>121</v>
      </c>
      <c r="G88" s="385">
        <v>1</v>
      </c>
      <c r="H88" s="385">
        <v>11</v>
      </c>
      <c r="I88" s="386">
        <v>50</v>
      </c>
      <c r="J88" s="387">
        <v>13</v>
      </c>
      <c r="K88" s="388">
        <v>13</v>
      </c>
      <c r="L88" s="389">
        <v>3.846153846153846</v>
      </c>
      <c r="M88" s="390">
        <v>723254</v>
      </c>
      <c r="N88" s="388">
        <v>90268</v>
      </c>
      <c r="O88" s="402">
        <v>8.012296716444368</v>
      </c>
      <c r="P88" s="413"/>
    </row>
    <row r="89" spans="1:16" s="7" customFormat="1" ht="15">
      <c r="A89" s="83">
        <v>85</v>
      </c>
      <c r="B89" s="401" t="s">
        <v>305</v>
      </c>
      <c r="C89" s="384">
        <v>39528</v>
      </c>
      <c r="D89" s="383" t="s">
        <v>261</v>
      </c>
      <c r="E89" s="383" t="s">
        <v>104</v>
      </c>
      <c r="F89" s="385">
        <v>33</v>
      </c>
      <c r="G89" s="385">
        <v>1</v>
      </c>
      <c r="H89" s="385">
        <v>10</v>
      </c>
      <c r="I89" s="386">
        <v>22</v>
      </c>
      <c r="J89" s="387">
        <v>6</v>
      </c>
      <c r="K89" s="388">
        <v>6</v>
      </c>
      <c r="L89" s="389">
        <v>3.666666666666666</v>
      </c>
      <c r="M89" s="390">
        <v>130135</v>
      </c>
      <c r="N89" s="388">
        <v>13991</v>
      </c>
      <c r="O89" s="402">
        <v>9.301336573511545</v>
      </c>
      <c r="P89" s="413"/>
    </row>
    <row r="90" spans="1:16" s="7" customFormat="1" ht="15.75" thickBot="1">
      <c r="A90" s="83">
        <v>86</v>
      </c>
      <c r="B90" s="403" t="s">
        <v>46</v>
      </c>
      <c r="C90" s="404">
        <v>39087</v>
      </c>
      <c r="D90" s="405" t="s">
        <v>260</v>
      </c>
      <c r="E90" s="405" t="s">
        <v>265</v>
      </c>
      <c r="F90" s="406">
        <v>80</v>
      </c>
      <c r="G90" s="406">
        <v>1</v>
      </c>
      <c r="H90" s="406">
        <v>40</v>
      </c>
      <c r="I90" s="407">
        <v>15</v>
      </c>
      <c r="J90" s="408">
        <v>3</v>
      </c>
      <c r="K90" s="409">
        <v>3</v>
      </c>
      <c r="L90" s="410">
        <v>5</v>
      </c>
      <c r="M90" s="411">
        <v>1714948</v>
      </c>
      <c r="N90" s="409">
        <v>208086</v>
      </c>
      <c r="O90" s="412">
        <v>8.241534750055266</v>
      </c>
      <c r="P90" s="414"/>
    </row>
    <row r="91" spans="1:16" s="40" customFormat="1" ht="15">
      <c r="A91" s="447" t="s">
        <v>257</v>
      </c>
      <c r="B91" s="448"/>
      <c r="C91" s="36"/>
      <c r="D91" s="271"/>
      <c r="E91" s="271"/>
      <c r="F91" s="37"/>
      <c r="G91" s="38">
        <f>SUM(G5:G90)</f>
        <v>1448</v>
      </c>
      <c r="H91" s="37"/>
      <c r="I91" s="100">
        <f>SUM(I5:I90)</f>
        <v>3598727.125</v>
      </c>
      <c r="J91" s="277">
        <f>SUM(J5:J90)</f>
        <v>455974.75</v>
      </c>
      <c r="K91" s="277">
        <f>J91/G91</f>
        <v>314.89968922651934</v>
      </c>
      <c r="L91" s="75">
        <f>I91/J91</f>
        <v>7.892382472932986</v>
      </c>
      <c r="M91" s="105"/>
      <c r="N91" s="110"/>
      <c r="O91" s="39"/>
      <c r="P91" s="380"/>
    </row>
    <row r="92" spans="1:16" s="7" customFormat="1" ht="13.5">
      <c r="A92" s="26"/>
      <c r="C92" s="11"/>
      <c r="D92" s="14"/>
      <c r="E92" s="14"/>
      <c r="F92" s="8"/>
      <c r="G92" s="8"/>
      <c r="H92" s="8"/>
      <c r="I92" s="101"/>
      <c r="J92" s="278"/>
      <c r="K92" s="278"/>
      <c r="L92" s="21"/>
      <c r="M92" s="107"/>
      <c r="N92" s="112"/>
      <c r="O92" s="21"/>
      <c r="P92" s="380"/>
    </row>
    <row r="93" spans="1:16" s="7" customFormat="1" ht="13.5">
      <c r="A93" s="26"/>
      <c r="B93"/>
      <c r="C93" s="115"/>
      <c r="D93" s="272"/>
      <c r="E93" s="272"/>
      <c r="F93" s="82"/>
      <c r="G93" s="16"/>
      <c r="H93" s="8"/>
      <c r="I93" s="101"/>
      <c r="J93" s="278"/>
      <c r="K93" s="449" t="s">
        <v>255</v>
      </c>
      <c r="L93" s="450"/>
      <c r="M93" s="450"/>
      <c r="N93" s="450"/>
      <c r="O93" s="450"/>
      <c r="P93" s="380"/>
    </row>
    <row r="94" spans="1:16" s="7" customFormat="1" ht="13.5">
      <c r="A94" s="26"/>
      <c r="B94"/>
      <c r="C94" s="115"/>
      <c r="D94" s="272"/>
      <c r="E94" s="272"/>
      <c r="F94" s="82"/>
      <c r="G94" s="8"/>
      <c r="H94" s="17"/>
      <c r="I94" s="101"/>
      <c r="J94" s="278"/>
      <c r="K94" s="450"/>
      <c r="L94" s="450"/>
      <c r="M94" s="450"/>
      <c r="N94" s="450"/>
      <c r="O94" s="450"/>
      <c r="P94" s="380"/>
    </row>
    <row r="95" spans="1:16" s="7" customFormat="1" ht="13.5">
      <c r="A95" s="26"/>
      <c r="B95"/>
      <c r="C95" s="115"/>
      <c r="D95" s="272"/>
      <c r="E95" s="272"/>
      <c r="F95" s="82"/>
      <c r="G95" s="8"/>
      <c r="H95" s="17"/>
      <c r="I95" s="101"/>
      <c r="J95" s="278"/>
      <c r="K95" s="450"/>
      <c r="L95" s="450"/>
      <c r="M95" s="450"/>
      <c r="N95" s="450"/>
      <c r="O95" s="450"/>
      <c r="P95" s="380"/>
    </row>
    <row r="96" spans="1:16" s="7" customFormat="1" ht="13.5">
      <c r="A96" s="26"/>
      <c r="B96"/>
      <c r="C96" s="115"/>
      <c r="D96" s="272"/>
      <c r="E96" s="272"/>
      <c r="F96" s="82"/>
      <c r="G96" s="8"/>
      <c r="H96" s="17"/>
      <c r="I96" s="101"/>
      <c r="J96" s="278"/>
      <c r="K96" s="451"/>
      <c r="L96" s="451"/>
      <c r="M96" s="451"/>
      <c r="N96" s="451"/>
      <c r="O96" s="451"/>
      <c r="P96" s="380"/>
    </row>
    <row r="97" spans="1:16" s="7" customFormat="1" ht="13.5">
      <c r="A97" s="26"/>
      <c r="B97"/>
      <c r="C97" s="115"/>
      <c r="D97" s="272"/>
      <c r="E97" s="272"/>
      <c r="F97" s="82"/>
      <c r="G97" s="8"/>
      <c r="H97" s="444" t="s">
        <v>401</v>
      </c>
      <c r="I97" s="445"/>
      <c r="J97" s="445"/>
      <c r="K97" s="445"/>
      <c r="L97" s="445"/>
      <c r="M97" s="445"/>
      <c r="N97" s="445"/>
      <c r="O97" s="445"/>
      <c r="P97" s="380"/>
    </row>
    <row r="98" spans="1:16" s="19" customFormat="1" ht="15">
      <c r="A98" s="26"/>
      <c r="B98"/>
      <c r="C98" s="115"/>
      <c r="D98" s="272"/>
      <c r="E98" s="272"/>
      <c r="F98" s="82"/>
      <c r="G98" s="23"/>
      <c r="H98" s="445"/>
      <c r="I98" s="445"/>
      <c r="J98" s="445"/>
      <c r="K98" s="445"/>
      <c r="L98" s="445"/>
      <c r="M98" s="445"/>
      <c r="N98" s="445"/>
      <c r="O98" s="445"/>
      <c r="P98" s="380"/>
    </row>
    <row r="99" spans="1:16" s="19" customFormat="1" ht="15">
      <c r="A99" s="26"/>
      <c r="B99"/>
      <c r="C99" s="115"/>
      <c r="D99" s="272"/>
      <c r="E99" s="272"/>
      <c r="F99" s="82"/>
      <c r="G99" s="18"/>
      <c r="H99" s="445"/>
      <c r="I99" s="445"/>
      <c r="J99" s="445"/>
      <c r="K99" s="445"/>
      <c r="L99" s="445"/>
      <c r="M99" s="445"/>
      <c r="N99" s="445"/>
      <c r="O99" s="445"/>
      <c r="P99" s="380"/>
    </row>
    <row r="100" spans="1:16" s="19" customFormat="1" ht="15">
      <c r="A100" s="26"/>
      <c r="B100"/>
      <c r="C100" s="115"/>
      <c r="D100" s="272"/>
      <c r="E100" s="272"/>
      <c r="F100" s="82"/>
      <c r="G100" s="18"/>
      <c r="H100" s="445"/>
      <c r="I100" s="445"/>
      <c r="J100" s="445"/>
      <c r="K100" s="445"/>
      <c r="L100" s="445"/>
      <c r="M100" s="445"/>
      <c r="N100" s="445"/>
      <c r="O100" s="445"/>
      <c r="P100" s="380"/>
    </row>
    <row r="101" spans="1:16" s="19" customFormat="1" ht="15">
      <c r="A101" s="26"/>
      <c r="B101"/>
      <c r="C101" s="115"/>
      <c r="D101" s="272"/>
      <c r="E101" s="272"/>
      <c r="F101" s="82"/>
      <c r="G101" s="18"/>
      <c r="H101" s="445"/>
      <c r="I101" s="445"/>
      <c r="J101" s="445"/>
      <c r="K101" s="445"/>
      <c r="L101" s="445"/>
      <c r="M101" s="445"/>
      <c r="N101" s="445"/>
      <c r="O101" s="445"/>
      <c r="P101" s="380"/>
    </row>
    <row r="102" spans="1:16" s="19" customFormat="1" ht="15">
      <c r="A102" s="26"/>
      <c r="B102"/>
      <c r="C102" s="115"/>
      <c r="D102" s="272"/>
      <c r="E102" s="272"/>
      <c r="F102" s="82"/>
      <c r="G102" s="18"/>
      <c r="H102" s="445"/>
      <c r="I102" s="445"/>
      <c r="J102" s="445"/>
      <c r="K102" s="445"/>
      <c r="L102" s="445"/>
      <c r="M102" s="445"/>
      <c r="N102" s="445"/>
      <c r="O102" s="445"/>
      <c r="P102" s="380"/>
    </row>
    <row r="103" spans="1:16" s="19" customFormat="1" ht="15">
      <c r="A103" s="26"/>
      <c r="B103"/>
      <c r="C103" s="115"/>
      <c r="D103" s="272"/>
      <c r="E103" s="272"/>
      <c r="F103" s="82"/>
      <c r="G103" s="18"/>
      <c r="H103" s="446" t="s">
        <v>124</v>
      </c>
      <c r="I103" s="445"/>
      <c r="J103" s="445"/>
      <c r="K103" s="445"/>
      <c r="L103" s="445"/>
      <c r="M103" s="445"/>
      <c r="N103" s="445"/>
      <c r="O103" s="445"/>
      <c r="P103" s="380"/>
    </row>
    <row r="104" spans="1:16" s="19" customFormat="1" ht="15">
      <c r="A104" s="26"/>
      <c r="B104"/>
      <c r="C104" s="115"/>
      <c r="D104" s="272"/>
      <c r="E104" s="272"/>
      <c r="F104" s="82"/>
      <c r="G104" s="18"/>
      <c r="H104" s="445"/>
      <c r="I104" s="445"/>
      <c r="J104" s="445"/>
      <c r="K104" s="445"/>
      <c r="L104" s="445"/>
      <c r="M104" s="445"/>
      <c r="N104" s="445"/>
      <c r="O104" s="445"/>
      <c r="P104" s="380"/>
    </row>
    <row r="105" spans="1:16" s="19" customFormat="1" ht="15">
      <c r="A105" s="26"/>
      <c r="B105"/>
      <c r="C105" s="115"/>
      <c r="D105" s="272"/>
      <c r="E105" s="272"/>
      <c r="F105" s="82"/>
      <c r="G105" s="18"/>
      <c r="H105" s="445"/>
      <c r="I105" s="445"/>
      <c r="J105" s="445"/>
      <c r="K105" s="445"/>
      <c r="L105" s="445"/>
      <c r="M105" s="445"/>
      <c r="N105" s="445"/>
      <c r="O105" s="445"/>
      <c r="P105" s="380"/>
    </row>
    <row r="106" spans="1:16" s="19" customFormat="1" ht="15">
      <c r="A106" s="26"/>
      <c r="B106"/>
      <c r="C106" s="115"/>
      <c r="D106" s="272"/>
      <c r="E106" s="272"/>
      <c r="F106" s="82"/>
      <c r="G106" s="18"/>
      <c r="H106" s="445"/>
      <c r="I106" s="445"/>
      <c r="J106" s="445"/>
      <c r="K106" s="445"/>
      <c r="L106" s="445"/>
      <c r="M106" s="445"/>
      <c r="N106" s="445"/>
      <c r="O106" s="445"/>
      <c r="P106" s="380"/>
    </row>
    <row r="107" spans="1:16" s="19" customFormat="1" ht="15">
      <c r="A107" s="26"/>
      <c r="B107"/>
      <c r="C107" s="115"/>
      <c r="D107" s="272"/>
      <c r="E107" s="272"/>
      <c r="F107" s="82"/>
      <c r="G107" s="18"/>
      <c r="H107" s="445"/>
      <c r="I107" s="445"/>
      <c r="J107" s="445"/>
      <c r="K107" s="445"/>
      <c r="L107" s="445"/>
      <c r="M107" s="445"/>
      <c r="N107" s="445"/>
      <c r="O107" s="445"/>
      <c r="P107" s="380"/>
    </row>
    <row r="108" spans="1:16" s="19" customFormat="1" ht="15">
      <c r="A108" s="26"/>
      <c r="B108" s="27"/>
      <c r="C108" s="50"/>
      <c r="D108" s="273"/>
      <c r="E108" s="273"/>
      <c r="F108" s="73"/>
      <c r="G108" s="18"/>
      <c r="H108" s="445"/>
      <c r="I108" s="445"/>
      <c r="J108" s="445"/>
      <c r="K108" s="445"/>
      <c r="L108" s="445"/>
      <c r="M108" s="445"/>
      <c r="N108" s="445"/>
      <c r="O108" s="445"/>
      <c r="P108" s="380"/>
    </row>
    <row r="109" spans="1:16" s="19" customFormat="1" ht="15">
      <c r="A109" s="26"/>
      <c r="B109" s="27"/>
      <c r="C109" s="50"/>
      <c r="D109" s="273"/>
      <c r="E109" s="273"/>
      <c r="F109" s="73"/>
      <c r="G109" s="18"/>
      <c r="H109" s="445"/>
      <c r="I109" s="445"/>
      <c r="J109" s="445"/>
      <c r="K109" s="445"/>
      <c r="L109" s="445"/>
      <c r="M109" s="445"/>
      <c r="N109" s="445"/>
      <c r="O109" s="445"/>
      <c r="P109" s="380"/>
    </row>
    <row r="110" spans="1:16" s="19" customFormat="1" ht="15">
      <c r="A110" s="26"/>
      <c r="B110" s="27"/>
      <c r="C110" s="50"/>
      <c r="D110" s="273"/>
      <c r="E110" s="273"/>
      <c r="F110" s="73"/>
      <c r="G110" s="18"/>
      <c r="H110" s="73"/>
      <c r="I110" s="103"/>
      <c r="J110" s="279"/>
      <c r="K110" s="279"/>
      <c r="L110" s="74"/>
      <c r="M110" s="281"/>
      <c r="N110" s="113"/>
      <c r="O110" s="74"/>
      <c r="P110" s="380"/>
    </row>
    <row r="111" spans="1:16" s="19" customFormat="1" ht="15">
      <c r="A111" s="26"/>
      <c r="B111" s="27"/>
      <c r="C111" s="50"/>
      <c r="D111" s="273"/>
      <c r="E111" s="273"/>
      <c r="F111" s="73"/>
      <c r="G111" s="18"/>
      <c r="H111" s="73"/>
      <c r="I111" s="103"/>
      <c r="J111" s="279"/>
      <c r="K111" s="279"/>
      <c r="L111" s="74"/>
      <c r="M111" s="281"/>
      <c r="N111" s="113"/>
      <c r="O111" s="74"/>
      <c r="P111" s="380"/>
    </row>
    <row r="112" spans="2:6" ht="18">
      <c r="B112" s="27"/>
      <c r="C112" s="50"/>
      <c r="D112" s="273"/>
      <c r="E112" s="273"/>
      <c r="F112" s="73"/>
    </row>
    <row r="113" spans="2:6" ht="18">
      <c r="B113" s="27"/>
      <c r="C113" s="50"/>
      <c r="D113" s="273"/>
      <c r="E113" s="273"/>
      <c r="F113" s="73"/>
    </row>
    <row r="114" spans="2:15" ht="18">
      <c r="B114" s="27"/>
      <c r="C114" s="50"/>
      <c r="D114" s="273"/>
      <c r="E114" s="273"/>
      <c r="F114" s="73"/>
      <c r="G114" s="73"/>
      <c r="H114" s="73"/>
      <c r="I114" s="103"/>
      <c r="J114" s="279"/>
      <c r="K114" s="279"/>
      <c r="L114" s="74"/>
      <c r="M114" s="108"/>
      <c r="N114" s="114"/>
      <c r="O114" s="74"/>
    </row>
    <row r="115" spans="2:15" ht="18">
      <c r="B115" s="27"/>
      <c r="C115" s="50"/>
      <c r="D115" s="273"/>
      <c r="E115" s="273"/>
      <c r="F115" s="73"/>
      <c r="G115" s="73"/>
      <c r="H115" s="73"/>
      <c r="I115" s="103"/>
      <c r="J115" s="279"/>
      <c r="K115" s="279"/>
      <c r="L115" s="74"/>
      <c r="M115" s="108"/>
      <c r="N115" s="114"/>
      <c r="O115" s="74"/>
    </row>
    <row r="116" spans="2:15" ht="18">
      <c r="B116" s="27"/>
      <c r="C116" s="50"/>
      <c r="D116" s="273"/>
      <c r="E116" s="273"/>
      <c r="F116" s="73"/>
      <c r="G116" s="73"/>
      <c r="H116" s="73"/>
      <c r="I116" s="103"/>
      <c r="J116" s="279"/>
      <c r="K116" s="279"/>
      <c r="L116" s="74"/>
      <c r="M116" s="108"/>
      <c r="N116" s="114"/>
      <c r="O116" s="74"/>
    </row>
    <row r="117" spans="2:15" ht="18">
      <c r="B117" s="27"/>
      <c r="C117" s="50"/>
      <c r="D117" s="273"/>
      <c r="E117" s="273"/>
      <c r="F117" s="73"/>
      <c r="G117" s="73"/>
      <c r="H117" s="73"/>
      <c r="I117" s="103"/>
      <c r="J117" s="279"/>
      <c r="K117" s="279"/>
      <c r="L117" s="74"/>
      <c r="M117" s="108"/>
      <c r="N117" s="114"/>
      <c r="O117" s="74"/>
    </row>
    <row r="118" spans="2:15" ht="18">
      <c r="B118" s="27"/>
      <c r="C118" s="50"/>
      <c r="D118" s="273"/>
      <c r="E118" s="273"/>
      <c r="F118" s="73"/>
      <c r="G118" s="73"/>
      <c r="H118" s="73"/>
      <c r="I118" s="103"/>
      <c r="J118" s="279"/>
      <c r="K118" s="279"/>
      <c r="L118" s="74"/>
      <c r="M118" s="108"/>
      <c r="N118" s="114"/>
      <c r="O118" s="74"/>
    </row>
    <row r="119" spans="2:15" ht="18">
      <c r="B119" s="27"/>
      <c r="C119" s="50"/>
      <c r="D119" s="273"/>
      <c r="E119" s="273"/>
      <c r="F119" s="73"/>
      <c r="G119" s="73"/>
      <c r="H119" s="73"/>
      <c r="I119" s="103"/>
      <c r="J119" s="279"/>
      <c r="K119" s="279"/>
      <c r="L119" s="74"/>
      <c r="M119" s="108"/>
      <c r="N119" s="114"/>
      <c r="O119" s="74"/>
    </row>
    <row r="120" spans="2:15" ht="18">
      <c r="B120" s="27"/>
      <c r="C120" s="50"/>
      <c r="D120" s="273"/>
      <c r="E120" s="273"/>
      <c r="F120" s="73"/>
      <c r="G120" s="73"/>
      <c r="H120" s="73"/>
      <c r="I120" s="103"/>
      <c r="J120" s="279"/>
      <c r="K120" s="279"/>
      <c r="L120" s="74"/>
      <c r="M120" s="108"/>
      <c r="N120" s="114"/>
      <c r="O120" s="74"/>
    </row>
    <row r="121" spans="2:15" ht="18">
      <c r="B121" s="27"/>
      <c r="C121" s="50"/>
      <c r="D121" s="273"/>
      <c r="E121" s="273"/>
      <c r="F121" s="73"/>
      <c r="G121" s="73"/>
      <c r="H121" s="73"/>
      <c r="I121" s="103"/>
      <c r="J121" s="279"/>
      <c r="K121" s="279"/>
      <c r="L121" s="74"/>
      <c r="M121" s="108"/>
      <c r="N121" s="114"/>
      <c r="O121" s="74"/>
    </row>
    <row r="122" spans="7:15" ht="18">
      <c r="G122" s="73"/>
      <c r="H122" s="73"/>
      <c r="I122" s="103"/>
      <c r="J122" s="279"/>
      <c r="K122" s="279"/>
      <c r="L122" s="74"/>
      <c r="M122" s="108"/>
      <c r="N122" s="114"/>
      <c r="O122" s="74"/>
    </row>
    <row r="123" spans="7:15" ht="18">
      <c r="G123" s="73"/>
      <c r="H123" s="73"/>
      <c r="I123" s="103"/>
      <c r="J123" s="279"/>
      <c r="K123" s="279"/>
      <c r="L123" s="74"/>
      <c r="M123" s="108"/>
      <c r="N123" s="114"/>
      <c r="O123" s="74"/>
    </row>
    <row r="124" spans="7:15" ht="18">
      <c r="G124" s="73"/>
      <c r="H124" s="73"/>
      <c r="I124" s="103"/>
      <c r="J124" s="279"/>
      <c r="K124" s="279"/>
      <c r="L124" s="74"/>
      <c r="M124" s="108"/>
      <c r="N124" s="114"/>
      <c r="O124" s="74"/>
    </row>
    <row r="125" spans="7:15" ht="18">
      <c r="G125" s="73"/>
      <c r="H125" s="73"/>
      <c r="I125" s="103"/>
      <c r="J125" s="279"/>
      <c r="K125" s="279"/>
      <c r="L125" s="74"/>
      <c r="M125" s="108"/>
      <c r="N125" s="114"/>
      <c r="O125" s="74"/>
    </row>
    <row r="126" spans="7:15" ht="18">
      <c r="G126" s="73"/>
      <c r="H126" s="73"/>
      <c r="I126" s="103"/>
      <c r="J126" s="279"/>
      <c r="K126" s="279"/>
      <c r="L126" s="74"/>
      <c r="M126" s="108"/>
      <c r="N126" s="114"/>
      <c r="O126" s="74"/>
    </row>
    <row r="127" spans="7:15" ht="18">
      <c r="G127" s="73"/>
      <c r="H127" s="73"/>
      <c r="I127" s="103"/>
      <c r="J127" s="279"/>
      <c r="K127" s="279"/>
      <c r="L127" s="74"/>
      <c r="M127" s="108"/>
      <c r="N127" s="114"/>
      <c r="O127" s="74"/>
    </row>
  </sheetData>
  <sheetProtection insertRows="0" deleteRows="0" sort="0"/>
  <mergeCells count="15">
    <mergeCell ref="D3:D4"/>
    <mergeCell ref="H3:H4"/>
    <mergeCell ref="I3:L3"/>
    <mergeCell ref="C3:C4"/>
    <mergeCell ref="E3:E4"/>
    <mergeCell ref="H97:O102"/>
    <mergeCell ref="H103:O109"/>
    <mergeCell ref="A91:B91"/>
    <mergeCell ref="K93:O95"/>
    <mergeCell ref="K96:O96"/>
    <mergeCell ref="A2:O2"/>
    <mergeCell ref="M3:O3"/>
    <mergeCell ref="G3:G4"/>
    <mergeCell ref="F3:F4"/>
    <mergeCell ref="B3:B4"/>
  </mergeCells>
  <printOptions horizontalCentered="1" verticalCentered="1"/>
  <pageMargins left="0.53" right="0.19" top="0.5905511811023623" bottom="0.5" header="0.5118110236220472" footer="0.45"/>
  <pageSetup orientation="portrait" paperSize="9" scale="45"/>
  <ignoredErrors>
    <ignoredError sqref="Q42:Q43 Q41 Q30:Q40 Q7 Q13:Q14 Q11:Q12 Q22:Q23 Q49:Q50 Q45 Q47:Q48 Q46 Q44 Q24 Q56:Q65 Q15:Q21 Q51:Q55 Q10 Q25:Q29 Q8:Q9" formula="1"/>
  </ignoredErrors>
  <drawing r:id="rId1"/>
</worksheet>
</file>

<file path=xl/worksheets/sheet2.xml><?xml version="1.0" encoding="utf-8"?>
<worksheet xmlns="http://schemas.openxmlformats.org/spreadsheetml/2006/main" xmlns:r="http://schemas.openxmlformats.org/officeDocument/2006/relationships">
  <dimension ref="A1:P144"/>
  <sheetViews>
    <sheetView zoomScale="120" zoomScaleNormal="120" zoomScalePageLayoutView="0" workbookViewId="0" topLeftCell="A1">
      <selection activeCell="B2" sqref="B2:B3"/>
    </sheetView>
  </sheetViews>
  <sheetFormatPr defaultColWidth="13.28125" defaultRowHeight="12.75"/>
  <cols>
    <col min="1" max="1" width="3.7109375" style="34" bestFit="1" customWidth="1"/>
    <col min="2" max="2" width="37.28125" style="32" bestFit="1" customWidth="1"/>
    <col min="3" max="3" width="8.28125" style="24" customWidth="1"/>
    <col min="4" max="4" width="17.00390625" style="24" bestFit="1" customWidth="1"/>
    <col min="5" max="5" width="24.00390625" style="24" bestFit="1" customWidth="1"/>
    <col min="6" max="6" width="6.00390625" style="24" bestFit="1" customWidth="1"/>
    <col min="7" max="7" width="8.421875" style="24" customWidth="1"/>
    <col min="8" max="8" width="14.7109375" style="189" customWidth="1"/>
    <col min="9" max="9" width="11.00390625" style="190" customWidth="1"/>
    <col min="10" max="10" width="7.7109375" style="33" customWidth="1"/>
    <col min="11" max="11" width="2.28125" style="305" bestFit="1" customWidth="1"/>
    <col min="12" max="12" width="13.140625" style="67" customWidth="1"/>
    <col min="13" max="13" width="15.140625" style="70" bestFit="1" customWidth="1"/>
    <col min="14" max="14" width="11.00390625" style="67" bestFit="1" customWidth="1"/>
    <col min="15" max="16" width="8.8515625" style="0" customWidth="1"/>
    <col min="17" max="16384" width="13.28125" style="32" customWidth="1"/>
  </cols>
  <sheetData>
    <row r="1" spans="1:14" s="30" customFormat="1" ht="81.75" customHeight="1" thickBot="1">
      <c r="A1" s="473" t="s">
        <v>103</v>
      </c>
      <c r="B1" s="473"/>
      <c r="C1" s="473"/>
      <c r="D1" s="473"/>
      <c r="E1" s="473"/>
      <c r="F1" s="473"/>
      <c r="G1" s="473"/>
      <c r="H1" s="473"/>
      <c r="I1" s="473"/>
      <c r="J1" s="473"/>
      <c r="K1" s="303"/>
      <c r="L1" s="72"/>
      <c r="M1" s="71"/>
      <c r="N1" s="72"/>
    </row>
    <row r="2" spans="1:14" s="31" customFormat="1" ht="14.25">
      <c r="A2" s="35"/>
      <c r="B2" s="466" t="s">
        <v>134</v>
      </c>
      <c r="C2" s="466" t="s">
        <v>404</v>
      </c>
      <c r="D2" s="466" t="s">
        <v>222</v>
      </c>
      <c r="E2" s="466" t="s">
        <v>221</v>
      </c>
      <c r="F2" s="460" t="s">
        <v>136</v>
      </c>
      <c r="G2" s="460" t="s">
        <v>405</v>
      </c>
      <c r="H2" s="469" t="s">
        <v>138</v>
      </c>
      <c r="I2" s="470"/>
      <c r="J2" s="471" t="s">
        <v>406</v>
      </c>
      <c r="K2" s="304"/>
      <c r="L2" s="65"/>
      <c r="M2" s="68"/>
      <c r="N2" s="65"/>
    </row>
    <row r="3" spans="1:14" s="31" customFormat="1" ht="33" customHeight="1" thickBot="1">
      <c r="A3" s="52"/>
      <c r="B3" s="467"/>
      <c r="C3" s="467"/>
      <c r="D3" s="467"/>
      <c r="E3" s="467"/>
      <c r="F3" s="468"/>
      <c r="G3" s="468"/>
      <c r="H3" s="90" t="s">
        <v>407</v>
      </c>
      <c r="I3" s="29" t="s">
        <v>128</v>
      </c>
      <c r="J3" s="472"/>
      <c r="K3" s="304"/>
      <c r="L3" s="65"/>
      <c r="M3" s="68"/>
      <c r="N3" s="65"/>
    </row>
    <row r="4" spans="1:14" s="31" customFormat="1" ht="15">
      <c r="A4" s="257">
        <v>1</v>
      </c>
      <c r="B4" s="119" t="s">
        <v>343</v>
      </c>
      <c r="C4" s="193">
        <v>39500</v>
      </c>
      <c r="D4" s="340" t="s">
        <v>262</v>
      </c>
      <c r="E4" s="340" t="s">
        <v>117</v>
      </c>
      <c r="F4" s="121">
        <v>230</v>
      </c>
      <c r="G4" s="121">
        <v>14</v>
      </c>
      <c r="H4" s="375">
        <f>11178366+8377359.5+4672112.5+2362758+1366481.5+794201+526150+259383+162480.5+71477.5+186652+102815+31501+9708</f>
        <v>30101445.5</v>
      </c>
      <c r="I4" s="376">
        <f>1530255+1134702+635170+318515+192563+137173+96324+54461+35028+20139+72208+38598+10936+3213</f>
        <v>4279285</v>
      </c>
      <c r="J4" s="370">
        <f>H4/I4</f>
        <v>7.0342231237227715</v>
      </c>
      <c r="K4" s="443">
        <v>1</v>
      </c>
      <c r="L4" s="258"/>
      <c r="M4" s="259"/>
      <c r="N4" s="258"/>
    </row>
    <row r="5" spans="1:14" s="31" customFormat="1" ht="15">
      <c r="A5" s="257">
        <v>2</v>
      </c>
      <c r="B5" s="56" t="s">
        <v>249</v>
      </c>
      <c r="C5" s="41">
        <v>39457</v>
      </c>
      <c r="D5" s="46" t="s">
        <v>261</v>
      </c>
      <c r="E5" s="46" t="s">
        <v>395</v>
      </c>
      <c r="F5" s="43">
        <v>233</v>
      </c>
      <c r="G5" s="43">
        <v>19</v>
      </c>
      <c r="H5" s="195">
        <v>6793469</v>
      </c>
      <c r="I5" s="196">
        <v>960309</v>
      </c>
      <c r="J5" s="226">
        <f>+H5/I5</f>
        <v>7.074253183090026</v>
      </c>
      <c r="K5" s="260">
        <v>1</v>
      </c>
      <c r="L5" s="258"/>
      <c r="M5" s="259"/>
      <c r="N5" s="258"/>
    </row>
    <row r="6" spans="1:14" s="31" customFormat="1" ht="15">
      <c r="A6" s="362">
        <v>3</v>
      </c>
      <c r="B6" s="356" t="s">
        <v>174</v>
      </c>
      <c r="C6" s="357">
        <v>39458</v>
      </c>
      <c r="D6" s="358" t="s">
        <v>262</v>
      </c>
      <c r="E6" s="358" t="s">
        <v>175</v>
      </c>
      <c r="F6" s="366">
        <v>213</v>
      </c>
      <c r="G6" s="359">
        <v>14</v>
      </c>
      <c r="H6" s="378">
        <f>427669.5+1938073+150000+1380941+1095820.5+816147.5+1486+389781.5+45114.5+7082.5-8+4849+22793+809+720+5158+1216+418</f>
        <v>6288071</v>
      </c>
      <c r="I6" s="379">
        <f>45000+279515+20000+201794+152671+116739+58282+7998+1796+956+5506+180+166+1305+230+78</f>
        <v>892216</v>
      </c>
      <c r="J6" s="363">
        <f>+H6/I6</f>
        <v>7.047700332654872</v>
      </c>
      <c r="K6" s="260"/>
      <c r="L6" s="258"/>
      <c r="M6" s="259"/>
      <c r="N6" s="258"/>
    </row>
    <row r="7" spans="1:14" s="31" customFormat="1" ht="15">
      <c r="A7" s="257">
        <v>4</v>
      </c>
      <c r="B7" s="235">
        <v>120</v>
      </c>
      <c r="C7" s="267">
        <v>39493</v>
      </c>
      <c r="D7" s="341" t="s">
        <v>262</v>
      </c>
      <c r="E7" s="341" t="s">
        <v>53</v>
      </c>
      <c r="F7" s="237">
        <v>179</v>
      </c>
      <c r="G7" s="237">
        <v>15</v>
      </c>
      <c r="H7" s="238">
        <f>940515+844172.5+750489+533469+396399.5+362067.5+228159+211115.5+153941.5+48+73076.5+60280+47290.5+46690+13789+13717.5</f>
        <v>4675220</v>
      </c>
      <c r="I7" s="239">
        <f>135921+127724+124508+97493+101422+99063+62455+57586+44490+6+19837+19877+15923+15427+4822+4847</f>
        <v>931401</v>
      </c>
      <c r="J7" s="367">
        <f>H7/I7</f>
        <v>5.019556560493278</v>
      </c>
      <c r="K7" s="443">
        <v>1</v>
      </c>
      <c r="L7" s="258"/>
      <c r="M7" s="259"/>
      <c r="N7" s="258"/>
    </row>
    <row r="8" spans="1:14" s="31" customFormat="1" ht="15">
      <c r="A8" s="257">
        <v>5</v>
      </c>
      <c r="B8" s="56" t="s">
        <v>66</v>
      </c>
      <c r="C8" s="41">
        <v>39472</v>
      </c>
      <c r="D8" s="46" t="s">
        <v>261</v>
      </c>
      <c r="E8" s="46" t="s">
        <v>58</v>
      </c>
      <c r="F8" s="43">
        <v>152</v>
      </c>
      <c r="G8" s="43">
        <v>15</v>
      </c>
      <c r="H8" s="195">
        <v>3976158</v>
      </c>
      <c r="I8" s="196">
        <v>522196</v>
      </c>
      <c r="J8" s="226">
        <f>+H8/I8</f>
        <v>7.614301909627803</v>
      </c>
      <c r="K8" s="260">
        <v>1</v>
      </c>
      <c r="L8" s="258"/>
      <c r="M8" s="259"/>
      <c r="N8" s="258"/>
    </row>
    <row r="9" spans="1:14" s="31" customFormat="1" ht="15">
      <c r="A9" s="257">
        <v>6</v>
      </c>
      <c r="B9" s="56" t="s">
        <v>65</v>
      </c>
      <c r="C9" s="41">
        <v>39472</v>
      </c>
      <c r="D9" s="46" t="s">
        <v>260</v>
      </c>
      <c r="E9" s="46" t="s">
        <v>144</v>
      </c>
      <c r="F9" s="43">
        <v>111</v>
      </c>
      <c r="G9" s="43">
        <v>15</v>
      </c>
      <c r="H9" s="195">
        <f>1551506+940903+602264+144551+29688+19039+13388+3909+3175+6017+3240+154+5643+2381+676</f>
        <v>3326534</v>
      </c>
      <c r="I9" s="196">
        <f>185165+115152+74770+21048+5434+3839+2772+840+558+1222+569+28+1369+793+242</f>
        <v>413801</v>
      </c>
      <c r="J9" s="226">
        <f>+H9/I9</f>
        <v>8.038970422981095</v>
      </c>
      <c r="K9" s="260"/>
      <c r="L9" s="258"/>
      <c r="M9" s="259"/>
      <c r="N9" s="258"/>
    </row>
    <row r="10" spans="1:14" s="31" customFormat="1" ht="15">
      <c r="A10" s="257">
        <v>7</v>
      </c>
      <c r="B10" s="56" t="s">
        <v>375</v>
      </c>
      <c r="C10" s="41">
        <v>39514</v>
      </c>
      <c r="D10" s="46" t="s">
        <v>260</v>
      </c>
      <c r="E10" s="46" t="s">
        <v>144</v>
      </c>
      <c r="F10" s="43">
        <v>129</v>
      </c>
      <c r="G10" s="43">
        <v>12</v>
      </c>
      <c r="H10" s="195">
        <f>1426287+820107+516469+257495+100801+69492+26640+9108+3545+2846+1962+2278</f>
        <v>3237030</v>
      </c>
      <c r="I10" s="196">
        <f>180898+107241+67200+35456+16036+14880+5582+1948+951+715+529+653</f>
        <v>432089</v>
      </c>
      <c r="J10" s="226">
        <f>+H10/I10</f>
        <v>7.491581595458343</v>
      </c>
      <c r="K10" s="260"/>
      <c r="L10" s="258"/>
      <c r="M10" s="259"/>
      <c r="N10" s="258"/>
    </row>
    <row r="11" spans="1:14" s="31" customFormat="1" ht="15">
      <c r="A11" s="257">
        <v>8</v>
      </c>
      <c r="B11" s="56" t="s">
        <v>91</v>
      </c>
      <c r="C11" s="41">
        <v>39584</v>
      </c>
      <c r="D11" s="46" t="s">
        <v>280</v>
      </c>
      <c r="E11" s="46" t="s">
        <v>280</v>
      </c>
      <c r="F11" s="43">
        <v>167</v>
      </c>
      <c r="G11" s="43" t="s">
        <v>132</v>
      </c>
      <c r="H11" s="195">
        <v>3046329.37</v>
      </c>
      <c r="I11" s="196">
        <v>385405.4</v>
      </c>
      <c r="J11" s="226">
        <f>H11/I11</f>
        <v>7.904220776356532</v>
      </c>
      <c r="K11" s="443">
        <v>1</v>
      </c>
      <c r="L11" s="258"/>
      <c r="M11" s="259"/>
      <c r="N11" s="258"/>
    </row>
    <row r="12" spans="1:14" s="31" customFormat="1" ht="15">
      <c r="A12" s="257">
        <v>9</v>
      </c>
      <c r="B12" s="56" t="s">
        <v>226</v>
      </c>
      <c r="C12" s="41">
        <v>39451</v>
      </c>
      <c r="D12" s="46" t="s">
        <v>261</v>
      </c>
      <c r="E12" s="46" t="s">
        <v>223</v>
      </c>
      <c r="F12" s="43">
        <v>137</v>
      </c>
      <c r="G12" s="43">
        <v>11</v>
      </c>
      <c r="H12" s="195">
        <v>2786897</v>
      </c>
      <c r="I12" s="196">
        <v>336440</v>
      </c>
      <c r="J12" s="226">
        <f>+H12/I12</f>
        <v>8.283488883604804</v>
      </c>
      <c r="K12" s="260"/>
      <c r="L12" s="258"/>
      <c r="M12" s="259"/>
      <c r="N12" s="258"/>
    </row>
    <row r="13" spans="1:14" s="31" customFormat="1" ht="15">
      <c r="A13" s="257">
        <v>10</v>
      </c>
      <c r="B13" s="56" t="s">
        <v>109</v>
      </c>
      <c r="C13" s="41">
        <v>39486</v>
      </c>
      <c r="D13" s="46" t="s">
        <v>260</v>
      </c>
      <c r="E13" s="46" t="s">
        <v>110</v>
      </c>
      <c r="F13" s="43">
        <v>138</v>
      </c>
      <c r="G13" s="43">
        <v>12</v>
      </c>
      <c r="H13" s="195">
        <f>1002369+655421+339962+116542+43967+41854+21467+9106+4629+5735+3597+918</f>
        <v>2245567</v>
      </c>
      <c r="I13" s="196">
        <f>140503+94564+50087+20103+10039+8460+4373+1889+1077+1210+1009+182</f>
        <v>333496</v>
      </c>
      <c r="J13" s="226">
        <f>+H13/I13</f>
        <v>6.733415093434404</v>
      </c>
      <c r="K13" s="260">
        <v>1</v>
      </c>
      <c r="L13" s="258"/>
      <c r="M13" s="259"/>
      <c r="N13" s="258"/>
    </row>
    <row r="14" spans="1:14" s="31" customFormat="1" ht="15">
      <c r="A14" s="257">
        <v>11</v>
      </c>
      <c r="B14" s="56" t="s">
        <v>79</v>
      </c>
      <c r="C14" s="41">
        <v>39570</v>
      </c>
      <c r="D14" s="46" t="s">
        <v>261</v>
      </c>
      <c r="E14" s="46" t="s">
        <v>104</v>
      </c>
      <c r="F14" s="43">
        <v>140</v>
      </c>
      <c r="G14" s="43">
        <v>4</v>
      </c>
      <c r="H14" s="195">
        <v>1958732</v>
      </c>
      <c r="I14" s="196">
        <v>235615</v>
      </c>
      <c r="J14" s="226">
        <f>+H14/I14</f>
        <v>8.313273772892218</v>
      </c>
      <c r="K14" s="443"/>
      <c r="L14" s="258"/>
      <c r="M14" s="259"/>
      <c r="N14" s="258"/>
    </row>
    <row r="15" spans="1:14" s="31" customFormat="1" ht="15">
      <c r="A15" s="257">
        <v>12</v>
      </c>
      <c r="B15" s="56" t="s">
        <v>392</v>
      </c>
      <c r="C15" s="41">
        <v>39500</v>
      </c>
      <c r="D15" s="46" t="s">
        <v>126</v>
      </c>
      <c r="E15" s="46" t="s">
        <v>344</v>
      </c>
      <c r="F15" s="43">
        <v>100</v>
      </c>
      <c r="G15" s="43">
        <v>14</v>
      </c>
      <c r="H15" s="195">
        <v>1699982.4</v>
      </c>
      <c r="I15" s="196">
        <v>229249</v>
      </c>
      <c r="J15" s="226">
        <f>H15/I15</f>
        <v>7.415440852522802</v>
      </c>
      <c r="K15" s="443"/>
      <c r="L15" s="258"/>
      <c r="M15" s="259"/>
      <c r="N15" s="258"/>
    </row>
    <row r="16" spans="1:14" s="31" customFormat="1" ht="15">
      <c r="A16" s="257">
        <v>13</v>
      </c>
      <c r="B16" s="56" t="s">
        <v>151</v>
      </c>
      <c r="C16" s="41">
        <v>39465</v>
      </c>
      <c r="D16" s="46" t="s">
        <v>261</v>
      </c>
      <c r="E16" s="46" t="s">
        <v>266</v>
      </c>
      <c r="F16" s="43">
        <v>113</v>
      </c>
      <c r="G16" s="43">
        <v>15</v>
      </c>
      <c r="H16" s="86">
        <v>1615522</v>
      </c>
      <c r="I16" s="95">
        <v>181684</v>
      </c>
      <c r="J16" s="81">
        <f>+H16/I16</f>
        <v>8.891933246736091</v>
      </c>
      <c r="K16" s="260"/>
      <c r="L16" s="258"/>
      <c r="M16" s="259"/>
      <c r="N16" s="258"/>
    </row>
    <row r="17" spans="1:14" s="31" customFormat="1" ht="15">
      <c r="A17" s="257">
        <v>14</v>
      </c>
      <c r="B17" s="56" t="s">
        <v>195</v>
      </c>
      <c r="C17" s="41">
        <v>39521</v>
      </c>
      <c r="D17" s="46" t="s">
        <v>267</v>
      </c>
      <c r="E17" s="46" t="s">
        <v>196</v>
      </c>
      <c r="F17" s="43">
        <v>42</v>
      </c>
      <c r="G17" s="43">
        <v>11</v>
      </c>
      <c r="H17" s="195">
        <v>1587526</v>
      </c>
      <c r="I17" s="196">
        <v>194406</v>
      </c>
      <c r="J17" s="226">
        <f>H17/I17</f>
        <v>8.166033970144955</v>
      </c>
      <c r="K17" s="443"/>
      <c r="L17" s="258"/>
      <c r="M17" s="259"/>
      <c r="N17" s="258"/>
    </row>
    <row r="18" spans="1:14" s="31" customFormat="1" ht="15">
      <c r="A18" s="257">
        <v>15</v>
      </c>
      <c r="B18" s="56" t="s">
        <v>357</v>
      </c>
      <c r="C18" s="41">
        <v>39507</v>
      </c>
      <c r="D18" s="46" t="s">
        <v>57</v>
      </c>
      <c r="E18" s="46" t="s">
        <v>296</v>
      </c>
      <c r="F18" s="43" t="s">
        <v>358</v>
      </c>
      <c r="G18" s="43" t="s">
        <v>16</v>
      </c>
      <c r="H18" s="195">
        <v>1518483.16</v>
      </c>
      <c r="I18" s="196">
        <v>213046</v>
      </c>
      <c r="J18" s="226">
        <f aca="true" t="shared" si="0" ref="J18:J26">+H18/I18</f>
        <v>7.1274896501225085</v>
      </c>
      <c r="K18" s="443">
        <v>1</v>
      </c>
      <c r="L18" s="258"/>
      <c r="M18" s="259"/>
      <c r="N18" s="258"/>
    </row>
    <row r="19" spans="1:14" s="31" customFormat="1" ht="15">
      <c r="A19" s="257">
        <v>16</v>
      </c>
      <c r="B19" s="56" t="s">
        <v>35</v>
      </c>
      <c r="C19" s="41">
        <v>39556</v>
      </c>
      <c r="D19" s="46" t="s">
        <v>261</v>
      </c>
      <c r="E19" s="46" t="s">
        <v>50</v>
      </c>
      <c r="F19" s="43">
        <v>123</v>
      </c>
      <c r="G19" s="43">
        <v>6</v>
      </c>
      <c r="H19" s="195">
        <v>1425745</v>
      </c>
      <c r="I19" s="196">
        <v>172229</v>
      </c>
      <c r="J19" s="226">
        <f t="shared" si="0"/>
        <v>8.278193567866039</v>
      </c>
      <c r="K19" s="443"/>
      <c r="L19" s="258"/>
      <c r="M19" s="259"/>
      <c r="N19" s="258"/>
    </row>
    <row r="20" spans="1:14" s="31" customFormat="1" ht="15">
      <c r="A20" s="257">
        <v>17</v>
      </c>
      <c r="B20" s="56" t="s">
        <v>447</v>
      </c>
      <c r="C20" s="41">
        <v>39577</v>
      </c>
      <c r="D20" s="46" t="s">
        <v>309</v>
      </c>
      <c r="E20" s="46" t="s">
        <v>309</v>
      </c>
      <c r="F20" s="43">
        <v>85</v>
      </c>
      <c r="G20" s="43">
        <v>3</v>
      </c>
      <c r="H20" s="195">
        <v>1335318</v>
      </c>
      <c r="I20" s="196">
        <v>159108</v>
      </c>
      <c r="J20" s="226">
        <f t="shared" si="0"/>
        <v>8.392525831510673</v>
      </c>
      <c r="K20" s="443"/>
      <c r="L20" s="258"/>
      <c r="M20" s="259"/>
      <c r="N20" s="258"/>
    </row>
    <row r="21" spans="1:14" s="31" customFormat="1" ht="15">
      <c r="A21" s="257">
        <v>18</v>
      </c>
      <c r="B21" s="56" t="s">
        <v>45</v>
      </c>
      <c r="C21" s="41">
        <v>39542</v>
      </c>
      <c r="D21" s="46" t="s">
        <v>260</v>
      </c>
      <c r="E21" s="46" t="s">
        <v>265</v>
      </c>
      <c r="F21" s="43">
        <v>74</v>
      </c>
      <c r="G21" s="43">
        <v>8</v>
      </c>
      <c r="H21" s="195">
        <f>1128+629672+306256+249189+74697+45336+11817+4692+3213</f>
        <v>1326000</v>
      </c>
      <c r="I21" s="196">
        <f>106+69367+34984+27955+10156+7289+2161+1069+464</f>
        <v>153551</v>
      </c>
      <c r="J21" s="226">
        <f t="shared" si="0"/>
        <v>8.63556733593399</v>
      </c>
      <c r="K21" s="260"/>
      <c r="L21" s="258"/>
      <c r="M21" s="259"/>
      <c r="N21" s="258"/>
    </row>
    <row r="22" spans="1:14" s="31" customFormat="1" ht="15">
      <c r="A22" s="257">
        <v>19</v>
      </c>
      <c r="B22" s="56" t="s">
        <v>291</v>
      </c>
      <c r="C22" s="41">
        <v>39479</v>
      </c>
      <c r="D22" s="46" t="s">
        <v>260</v>
      </c>
      <c r="E22" s="46" t="s">
        <v>144</v>
      </c>
      <c r="F22" s="43">
        <v>48</v>
      </c>
      <c r="G22" s="43">
        <v>16</v>
      </c>
      <c r="H22" s="195">
        <f>300+559935+434395+195557+20127+10758+3791+6562+6592+4029+6780+4161+5630+756+4378+130+2548</f>
        <v>1266429</v>
      </c>
      <c r="I22" s="196">
        <f>40+55864+44109+21194+2258+1822+696+1321+1165+1034+1153+840+1123+123+1602+19+500</f>
        <v>134863</v>
      </c>
      <c r="J22" s="226">
        <f t="shared" si="0"/>
        <v>9.39048515901322</v>
      </c>
      <c r="K22" s="260"/>
      <c r="L22" s="258"/>
      <c r="M22" s="259"/>
      <c r="N22" s="258"/>
    </row>
    <row r="23" spans="1:14" s="31" customFormat="1" ht="15">
      <c r="A23" s="257">
        <v>20</v>
      </c>
      <c r="B23" s="56" t="s">
        <v>92</v>
      </c>
      <c r="C23" s="41">
        <v>39591</v>
      </c>
      <c r="D23" s="46" t="s">
        <v>261</v>
      </c>
      <c r="E23" s="46" t="s">
        <v>104</v>
      </c>
      <c r="F23" s="43">
        <v>192</v>
      </c>
      <c r="G23" s="43">
        <v>1</v>
      </c>
      <c r="H23" s="195">
        <v>1204099</v>
      </c>
      <c r="I23" s="196">
        <v>136435</v>
      </c>
      <c r="J23" s="226">
        <f t="shared" si="0"/>
        <v>8.825440686040972</v>
      </c>
      <c r="K23" s="443"/>
      <c r="L23" s="258"/>
      <c r="M23" s="259"/>
      <c r="N23" s="258"/>
    </row>
    <row r="24" spans="1:14" s="31" customFormat="1" ht="15">
      <c r="A24" s="257">
        <v>21</v>
      </c>
      <c r="B24" s="56" t="s">
        <v>111</v>
      </c>
      <c r="C24" s="41">
        <v>39479</v>
      </c>
      <c r="D24" s="46" t="s">
        <v>57</v>
      </c>
      <c r="E24" s="46" t="s">
        <v>412</v>
      </c>
      <c r="F24" s="43" t="s">
        <v>315</v>
      </c>
      <c r="G24" s="43" t="s">
        <v>351</v>
      </c>
      <c r="H24" s="195">
        <v>1182898.02</v>
      </c>
      <c r="I24" s="196">
        <v>143600</v>
      </c>
      <c r="J24" s="226">
        <f t="shared" si="0"/>
        <v>8.237451392757661</v>
      </c>
      <c r="K24" s="260"/>
      <c r="L24" s="258"/>
      <c r="M24" s="259"/>
      <c r="N24" s="258"/>
    </row>
    <row r="25" spans="1:14" s="31" customFormat="1" ht="15">
      <c r="A25" s="257">
        <v>22</v>
      </c>
      <c r="B25" s="56" t="s">
        <v>55</v>
      </c>
      <c r="C25" s="41">
        <v>39493</v>
      </c>
      <c r="D25" s="46" t="s">
        <v>260</v>
      </c>
      <c r="E25" s="46" t="s">
        <v>50</v>
      </c>
      <c r="F25" s="43">
        <v>53</v>
      </c>
      <c r="G25" s="43">
        <v>15</v>
      </c>
      <c r="H25" s="195">
        <f>496653+338165+147188+7622+20375+13201+22122+16110+15107+7153+6103+6011+8532+5418+904</f>
        <v>1110664</v>
      </c>
      <c r="I25" s="196">
        <f>54042+36169+15909+1283+3836+2773+4056+2942+2933+1275+1033+848+1235+692+188</f>
        <v>129214</v>
      </c>
      <c r="J25" s="226">
        <f t="shared" si="0"/>
        <v>8.595539183060659</v>
      </c>
      <c r="K25" s="260"/>
      <c r="L25" s="258"/>
      <c r="M25" s="259"/>
      <c r="N25" s="258"/>
    </row>
    <row r="26" spans="1:14" s="31" customFormat="1" ht="15">
      <c r="A26" s="257">
        <v>23</v>
      </c>
      <c r="B26" s="56" t="s">
        <v>1</v>
      </c>
      <c r="C26" s="41">
        <v>39479</v>
      </c>
      <c r="D26" s="46" t="s">
        <v>261</v>
      </c>
      <c r="E26" s="46" t="s">
        <v>50</v>
      </c>
      <c r="F26" s="43">
        <v>60</v>
      </c>
      <c r="G26" s="43">
        <v>14</v>
      </c>
      <c r="H26" s="195">
        <v>1100095</v>
      </c>
      <c r="I26" s="196">
        <v>130223</v>
      </c>
      <c r="J26" s="226">
        <f t="shared" si="0"/>
        <v>8.447778042281318</v>
      </c>
      <c r="K26" s="260"/>
      <c r="L26" s="258"/>
      <c r="M26" s="259"/>
      <c r="N26" s="258"/>
    </row>
    <row r="27" spans="1:14" s="31" customFormat="1" ht="15">
      <c r="A27" s="257">
        <v>24</v>
      </c>
      <c r="B27" s="56" t="s">
        <v>36</v>
      </c>
      <c r="C27" s="41">
        <v>39556</v>
      </c>
      <c r="D27" s="46" t="s">
        <v>262</v>
      </c>
      <c r="E27" s="46" t="s">
        <v>263</v>
      </c>
      <c r="F27" s="43">
        <v>104</v>
      </c>
      <c r="G27" s="43">
        <v>6</v>
      </c>
      <c r="H27" s="195">
        <f>547723+268930+138072.5+72001+47770.5+20534.5</f>
        <v>1095031.5</v>
      </c>
      <c r="I27" s="196">
        <f>69527+33465+19378+11928+8462+4284</f>
        <v>147044</v>
      </c>
      <c r="J27" s="226">
        <f>H27/I27</f>
        <v>7.446964854057289</v>
      </c>
      <c r="K27" s="443"/>
      <c r="L27" s="258"/>
      <c r="M27" s="259"/>
      <c r="N27" s="258"/>
    </row>
    <row r="28" spans="1:14" s="31" customFormat="1" ht="15">
      <c r="A28" s="257">
        <v>25</v>
      </c>
      <c r="B28" s="56" t="s">
        <v>49</v>
      </c>
      <c r="C28" s="41">
        <v>39486</v>
      </c>
      <c r="D28" s="339" t="s">
        <v>261</v>
      </c>
      <c r="E28" s="339" t="s">
        <v>266</v>
      </c>
      <c r="F28" s="43">
        <v>96</v>
      </c>
      <c r="G28" s="43">
        <v>8</v>
      </c>
      <c r="H28" s="195">
        <v>983503</v>
      </c>
      <c r="I28" s="196">
        <v>107314</v>
      </c>
      <c r="J28" s="226">
        <f>+H28/I28</f>
        <v>9.164722217045306</v>
      </c>
      <c r="K28" s="260"/>
      <c r="L28" s="258"/>
      <c r="M28" s="259"/>
      <c r="N28" s="258"/>
    </row>
    <row r="29" spans="1:14" s="31" customFormat="1" ht="15">
      <c r="A29" s="257">
        <v>26</v>
      </c>
      <c r="B29" s="56" t="s">
        <v>300</v>
      </c>
      <c r="C29" s="41">
        <v>39528</v>
      </c>
      <c r="D29" s="46" t="s">
        <v>256</v>
      </c>
      <c r="E29" s="46" t="s">
        <v>106</v>
      </c>
      <c r="F29" s="43">
        <v>37</v>
      </c>
      <c r="G29" s="43">
        <v>10</v>
      </c>
      <c r="H29" s="195">
        <f>314518.5+229380+141083.5+88543+87053+50104.5+26860+11253+5388+3063</f>
        <v>957246.5</v>
      </c>
      <c r="I29" s="196">
        <f>26718+37063+16898+13075+13737+8392+4711+2218+1170+743</f>
        <v>124725</v>
      </c>
      <c r="J29" s="226">
        <f>H29/I29</f>
        <v>7.674856684706354</v>
      </c>
      <c r="K29" s="443"/>
      <c r="L29" s="258"/>
      <c r="M29" s="259"/>
      <c r="N29" s="258"/>
    </row>
    <row r="30" spans="1:14" s="31" customFormat="1" ht="15">
      <c r="A30" s="257">
        <v>27</v>
      </c>
      <c r="B30" s="56" t="s">
        <v>301</v>
      </c>
      <c r="C30" s="41">
        <v>39528</v>
      </c>
      <c r="D30" s="46" t="s">
        <v>309</v>
      </c>
      <c r="E30" s="46" t="s">
        <v>309</v>
      </c>
      <c r="F30" s="43">
        <v>34</v>
      </c>
      <c r="G30" s="43">
        <v>10</v>
      </c>
      <c r="H30" s="195">
        <v>906587</v>
      </c>
      <c r="I30" s="196">
        <v>101930</v>
      </c>
      <c r="J30" s="226">
        <f>+H30/I30</f>
        <v>8.894211713921319</v>
      </c>
      <c r="K30" s="443"/>
      <c r="L30" s="258"/>
      <c r="M30" s="259"/>
      <c r="N30" s="258"/>
    </row>
    <row r="31" spans="1:14" s="31" customFormat="1" ht="15">
      <c r="A31" s="257">
        <v>28</v>
      </c>
      <c r="B31" s="56" t="s">
        <v>54</v>
      </c>
      <c r="C31" s="41">
        <v>39493</v>
      </c>
      <c r="D31" s="46" t="s">
        <v>261</v>
      </c>
      <c r="E31" s="46" t="s">
        <v>104</v>
      </c>
      <c r="F31" s="43">
        <v>69</v>
      </c>
      <c r="G31" s="43">
        <v>13</v>
      </c>
      <c r="H31" s="195">
        <v>879062</v>
      </c>
      <c r="I31" s="196">
        <v>106657</v>
      </c>
      <c r="J31" s="226">
        <f>+H31/I31</f>
        <v>8.241953177006666</v>
      </c>
      <c r="K31" s="260"/>
      <c r="L31" s="258"/>
      <c r="M31" s="259"/>
      <c r="N31" s="258"/>
    </row>
    <row r="32" spans="1:14" s="31" customFormat="1" ht="15">
      <c r="A32" s="257">
        <v>29</v>
      </c>
      <c r="B32" s="56" t="s">
        <v>361</v>
      </c>
      <c r="C32" s="41">
        <v>39507</v>
      </c>
      <c r="D32" s="46" t="s">
        <v>260</v>
      </c>
      <c r="E32" s="46" t="s">
        <v>50</v>
      </c>
      <c r="F32" s="43">
        <v>81</v>
      </c>
      <c r="G32" s="43">
        <v>13</v>
      </c>
      <c r="H32" s="195">
        <f>390592+281742+92300+14485+38340+34340+7638+8876+611+1056+748+832+372</f>
        <v>871932</v>
      </c>
      <c r="I32" s="196">
        <f>48282+35299+12688+2621+7467+7727+1347+1652+79+256+152+163+76</f>
        <v>117809</v>
      </c>
      <c r="J32" s="226">
        <f>+H32/I32</f>
        <v>7.401234201122155</v>
      </c>
      <c r="K32" s="260"/>
      <c r="L32" s="258"/>
      <c r="M32" s="259"/>
      <c r="N32" s="258"/>
    </row>
    <row r="33" spans="1:14" s="31" customFormat="1" ht="15">
      <c r="A33" s="257">
        <v>30</v>
      </c>
      <c r="B33" s="56" t="s">
        <v>67</v>
      </c>
      <c r="C33" s="41">
        <v>39472</v>
      </c>
      <c r="D33" s="46" t="s">
        <v>267</v>
      </c>
      <c r="E33" s="46" t="s">
        <v>127</v>
      </c>
      <c r="F33" s="43">
        <v>70</v>
      </c>
      <c r="G33" s="43">
        <v>18</v>
      </c>
      <c r="H33" s="195">
        <v>865236</v>
      </c>
      <c r="I33" s="196">
        <v>108472</v>
      </c>
      <c r="J33" s="226">
        <f>H33/I33</f>
        <v>7.976583818865698</v>
      </c>
      <c r="K33" s="443"/>
      <c r="L33" s="258"/>
      <c r="M33" s="259"/>
      <c r="N33" s="258"/>
    </row>
    <row r="34" spans="1:14" s="31" customFormat="1" ht="15">
      <c r="A34" s="257">
        <v>31</v>
      </c>
      <c r="B34" s="56" t="s">
        <v>446</v>
      </c>
      <c r="C34" s="41">
        <v>39493</v>
      </c>
      <c r="D34" s="46" t="s">
        <v>260</v>
      </c>
      <c r="E34" s="46" t="s">
        <v>144</v>
      </c>
      <c r="F34" s="43">
        <v>32</v>
      </c>
      <c r="G34" s="43">
        <v>13</v>
      </c>
      <c r="H34" s="195">
        <f>5643+438785+213400+82531+6690+11030+10898+14171+12996+6957+3767+738+1350+3307</f>
        <v>812263</v>
      </c>
      <c r="I34" s="196">
        <f>555+45799+22350+8777+939+2022+2113+2528+2486+1226+646+96+246+567</f>
        <v>90350</v>
      </c>
      <c r="J34" s="226">
        <f>+H34/I34</f>
        <v>8.990182623132263</v>
      </c>
      <c r="K34" s="260"/>
      <c r="L34" s="258"/>
      <c r="M34" s="259"/>
      <c r="N34" s="258"/>
    </row>
    <row r="35" spans="1:14" s="31" customFormat="1" ht="15">
      <c r="A35" s="257">
        <v>32</v>
      </c>
      <c r="B35" s="56" t="s">
        <v>112</v>
      </c>
      <c r="C35" s="41">
        <v>39486</v>
      </c>
      <c r="D35" s="46" t="s">
        <v>57</v>
      </c>
      <c r="E35" s="46" t="s">
        <v>113</v>
      </c>
      <c r="F35" s="43" t="s">
        <v>114</v>
      </c>
      <c r="G35" s="43" t="s">
        <v>351</v>
      </c>
      <c r="H35" s="195">
        <v>807719.82</v>
      </c>
      <c r="I35" s="196">
        <v>116147</v>
      </c>
      <c r="J35" s="226">
        <f>+H35/I35</f>
        <v>6.95428913359794</v>
      </c>
      <c r="K35" s="443">
        <v>1</v>
      </c>
      <c r="L35" s="258"/>
      <c r="M35" s="259"/>
      <c r="N35" s="258"/>
    </row>
    <row r="36" spans="1:14" s="31" customFormat="1" ht="15">
      <c r="A36" s="257">
        <v>33</v>
      </c>
      <c r="B36" s="56" t="s">
        <v>359</v>
      </c>
      <c r="C36" s="41">
        <v>39507</v>
      </c>
      <c r="D36" s="46" t="s">
        <v>261</v>
      </c>
      <c r="E36" s="46" t="s">
        <v>360</v>
      </c>
      <c r="F36" s="43">
        <v>73</v>
      </c>
      <c r="G36" s="43">
        <v>10</v>
      </c>
      <c r="H36" s="195">
        <v>796182</v>
      </c>
      <c r="I36" s="196">
        <v>101362</v>
      </c>
      <c r="J36" s="226">
        <f>+H36/I36</f>
        <v>7.854837118446755</v>
      </c>
      <c r="K36" s="260"/>
      <c r="L36" s="258"/>
      <c r="M36" s="259"/>
      <c r="N36" s="258"/>
    </row>
    <row r="37" spans="1:14" s="31" customFormat="1" ht="15">
      <c r="A37" s="257">
        <v>34</v>
      </c>
      <c r="B37" s="56" t="s">
        <v>68</v>
      </c>
      <c r="C37" s="41">
        <v>39472</v>
      </c>
      <c r="D37" s="46" t="s">
        <v>62</v>
      </c>
      <c r="E37" s="46" t="s">
        <v>62</v>
      </c>
      <c r="F37" s="43">
        <v>59</v>
      </c>
      <c r="G37" s="43">
        <v>18</v>
      </c>
      <c r="H37" s="195">
        <f>395290.5+262822+75939+23709.5+4083+1327+9321+1445+1267+2173+4575+201+1748+3343+728+28+948+1329</f>
        <v>790277</v>
      </c>
      <c r="I37" s="196">
        <f>47426+32442+9866+4010+887+225+2185+263+226+460+1077+33+367+887+230+4+139+355</f>
        <v>101082</v>
      </c>
      <c r="J37" s="226">
        <f>H37/I37</f>
        <v>7.81817732138264</v>
      </c>
      <c r="K37" s="443"/>
      <c r="L37" s="258"/>
      <c r="M37" s="259"/>
      <c r="N37" s="258"/>
    </row>
    <row r="38" spans="1:14" s="31" customFormat="1" ht="15">
      <c r="A38" s="257">
        <v>35</v>
      </c>
      <c r="B38" s="56" t="s">
        <v>17</v>
      </c>
      <c r="C38" s="41">
        <v>39549</v>
      </c>
      <c r="D38" s="46" t="s">
        <v>261</v>
      </c>
      <c r="E38" s="46" t="s">
        <v>104</v>
      </c>
      <c r="F38" s="43">
        <v>58</v>
      </c>
      <c r="G38" s="43">
        <v>7</v>
      </c>
      <c r="H38" s="195">
        <v>787060</v>
      </c>
      <c r="I38" s="196">
        <v>100718</v>
      </c>
      <c r="J38" s="226">
        <f>+H38/I38</f>
        <v>7.81449194781469</v>
      </c>
      <c r="K38" s="443"/>
      <c r="L38" s="258"/>
      <c r="M38" s="259"/>
      <c r="N38" s="258"/>
    </row>
    <row r="39" spans="1:14" s="31" customFormat="1" ht="15">
      <c r="A39" s="257">
        <v>36</v>
      </c>
      <c r="B39" s="56" t="s">
        <v>345</v>
      </c>
      <c r="C39" s="41">
        <v>39500</v>
      </c>
      <c r="D39" s="46" t="s">
        <v>261</v>
      </c>
      <c r="E39" s="46" t="s">
        <v>346</v>
      </c>
      <c r="F39" s="43">
        <v>123</v>
      </c>
      <c r="G39" s="43">
        <v>14</v>
      </c>
      <c r="H39" s="195">
        <v>728257</v>
      </c>
      <c r="I39" s="196">
        <v>103320</v>
      </c>
      <c r="J39" s="226">
        <f>+H39/I39</f>
        <v>7.048557878435927</v>
      </c>
      <c r="K39" s="443">
        <v>1</v>
      </c>
      <c r="L39" s="258"/>
      <c r="M39" s="259"/>
      <c r="N39" s="258"/>
    </row>
    <row r="40" spans="1:14" s="31" customFormat="1" ht="15">
      <c r="A40" s="257">
        <v>37</v>
      </c>
      <c r="B40" s="56" t="s">
        <v>197</v>
      </c>
      <c r="C40" s="41">
        <v>39521</v>
      </c>
      <c r="D40" s="46" t="s">
        <v>261</v>
      </c>
      <c r="E40" s="46" t="s">
        <v>104</v>
      </c>
      <c r="F40" s="43">
        <v>121</v>
      </c>
      <c r="G40" s="43">
        <v>11</v>
      </c>
      <c r="H40" s="195">
        <v>723254</v>
      </c>
      <c r="I40" s="196">
        <v>90268</v>
      </c>
      <c r="J40" s="226">
        <f>+H40/I40</f>
        <v>8.012296716444366</v>
      </c>
      <c r="K40" s="443"/>
      <c r="L40" s="258"/>
      <c r="M40" s="259"/>
      <c r="N40" s="258"/>
    </row>
    <row r="41" spans="1:14" s="31" customFormat="1" ht="15">
      <c r="A41" s="257">
        <v>38</v>
      </c>
      <c r="B41" s="56" t="s">
        <v>244</v>
      </c>
      <c r="C41" s="41">
        <v>39535</v>
      </c>
      <c r="D41" s="46" t="s">
        <v>262</v>
      </c>
      <c r="E41" s="46" t="s">
        <v>62</v>
      </c>
      <c r="F41" s="43">
        <v>66</v>
      </c>
      <c r="G41" s="43">
        <v>8</v>
      </c>
      <c r="H41" s="195">
        <f>339982.5+200038+78812.5+60585+25543.5+3851+1411+3397</f>
        <v>713620.5</v>
      </c>
      <c r="I41" s="196">
        <f>40987+24617+11029+11094+4863+961+326+826</f>
        <v>94703</v>
      </c>
      <c r="J41" s="226">
        <f>H41/I41</f>
        <v>7.535352628744602</v>
      </c>
      <c r="K41" s="443"/>
      <c r="L41" s="258"/>
      <c r="M41" s="259"/>
      <c r="N41" s="258"/>
    </row>
    <row r="42" spans="1:14" s="31" customFormat="1" ht="15">
      <c r="A42" s="257">
        <v>39</v>
      </c>
      <c r="B42" s="56" t="s">
        <v>18</v>
      </c>
      <c r="C42" s="41">
        <v>39549</v>
      </c>
      <c r="D42" s="46" t="s">
        <v>262</v>
      </c>
      <c r="E42" s="46" t="s">
        <v>263</v>
      </c>
      <c r="F42" s="43">
        <v>56</v>
      </c>
      <c r="G42" s="43">
        <v>7</v>
      </c>
      <c r="H42" s="195">
        <f>277447+238820.5+109243.5+38077+22023+3348.5+700</f>
        <v>689659.5</v>
      </c>
      <c r="I42" s="196">
        <f>31977+27659+12530+6334+4053+763+127</f>
        <v>83443</v>
      </c>
      <c r="J42" s="226">
        <f>H42/I42</f>
        <v>8.265037211030284</v>
      </c>
      <c r="K42" s="443"/>
      <c r="L42" s="258"/>
      <c r="M42" s="259"/>
      <c r="N42" s="258"/>
    </row>
    <row r="43" spans="1:14" s="31" customFormat="1" ht="15">
      <c r="A43" s="257">
        <v>40</v>
      </c>
      <c r="B43" s="56" t="s">
        <v>376</v>
      </c>
      <c r="C43" s="41">
        <v>39514</v>
      </c>
      <c r="D43" s="46" t="s">
        <v>261</v>
      </c>
      <c r="E43" s="46" t="s">
        <v>104</v>
      </c>
      <c r="F43" s="43">
        <v>30</v>
      </c>
      <c r="G43" s="43">
        <v>11</v>
      </c>
      <c r="H43" s="195">
        <v>688055</v>
      </c>
      <c r="I43" s="196">
        <v>78205</v>
      </c>
      <c r="J43" s="226">
        <f>+H43/I43</f>
        <v>8.798094750975002</v>
      </c>
      <c r="K43" s="260"/>
      <c r="L43" s="258"/>
      <c r="M43" s="259"/>
      <c r="N43" s="258"/>
    </row>
    <row r="44" spans="1:14" s="31" customFormat="1" ht="15">
      <c r="A44" s="257">
        <v>41</v>
      </c>
      <c r="B44" s="56" t="s">
        <v>448</v>
      </c>
      <c r="C44" s="41">
        <v>39577</v>
      </c>
      <c r="D44" s="46" t="s">
        <v>262</v>
      </c>
      <c r="E44" s="46" t="s">
        <v>263</v>
      </c>
      <c r="F44" s="43">
        <v>50</v>
      </c>
      <c r="G44" s="43">
        <v>3</v>
      </c>
      <c r="H44" s="195">
        <f>332700+230764+110972</f>
        <v>674436</v>
      </c>
      <c r="I44" s="196">
        <f>34514+23745+12355</f>
        <v>70614</v>
      </c>
      <c r="J44" s="226">
        <f>H44/I44</f>
        <v>9.551023876285155</v>
      </c>
      <c r="K44" s="443"/>
      <c r="L44" s="258"/>
      <c r="M44" s="259"/>
      <c r="N44" s="258"/>
    </row>
    <row r="45" spans="1:14" s="31" customFormat="1" ht="15">
      <c r="A45" s="257">
        <v>42</v>
      </c>
      <c r="B45" s="56" t="s">
        <v>416</v>
      </c>
      <c r="C45" s="41">
        <v>39563</v>
      </c>
      <c r="D45" s="46" t="s">
        <v>260</v>
      </c>
      <c r="E45" s="46" t="s">
        <v>144</v>
      </c>
      <c r="F45" s="43">
        <v>65</v>
      </c>
      <c r="G45" s="43">
        <v>5</v>
      </c>
      <c r="H45" s="195">
        <f>300337+199681+86511+45691+17378</f>
        <v>649598</v>
      </c>
      <c r="I45" s="196">
        <f>36141+24610+12709+8193+3642</f>
        <v>85295</v>
      </c>
      <c r="J45" s="226">
        <f aca="true" t="shared" si="1" ref="J45:J52">+H45/I45</f>
        <v>7.615897766574829</v>
      </c>
      <c r="K45" s="260"/>
      <c r="L45" s="258"/>
      <c r="M45" s="259"/>
      <c r="N45" s="258"/>
    </row>
    <row r="46" spans="1:14" s="31" customFormat="1" ht="15">
      <c r="A46" s="257">
        <v>43</v>
      </c>
      <c r="B46" s="56" t="s">
        <v>37</v>
      </c>
      <c r="C46" s="41">
        <v>39556</v>
      </c>
      <c r="D46" s="46" t="s">
        <v>261</v>
      </c>
      <c r="E46" s="46" t="s">
        <v>266</v>
      </c>
      <c r="F46" s="43">
        <v>37</v>
      </c>
      <c r="G46" s="43">
        <v>6</v>
      </c>
      <c r="H46" s="195">
        <v>585212</v>
      </c>
      <c r="I46" s="196">
        <v>65308</v>
      </c>
      <c r="J46" s="226">
        <f t="shared" si="1"/>
        <v>8.9608011269676</v>
      </c>
      <c r="K46" s="443"/>
      <c r="L46" s="258"/>
      <c r="M46" s="259"/>
      <c r="N46" s="258"/>
    </row>
    <row r="47" spans="1:14" s="31" customFormat="1" ht="15">
      <c r="A47" s="257">
        <v>44</v>
      </c>
      <c r="B47" s="56" t="s">
        <v>80</v>
      </c>
      <c r="C47" s="41">
        <v>39570</v>
      </c>
      <c r="D47" s="46" t="s">
        <v>260</v>
      </c>
      <c r="E47" s="46" t="s">
        <v>144</v>
      </c>
      <c r="F47" s="43">
        <v>65</v>
      </c>
      <c r="G47" s="43">
        <v>4</v>
      </c>
      <c r="H47" s="195">
        <f>359358+139130+54479+13049</f>
        <v>566016</v>
      </c>
      <c r="I47" s="196">
        <f>37511+15364+5857+2322</f>
        <v>61054</v>
      </c>
      <c r="J47" s="226">
        <f t="shared" si="1"/>
        <v>9.270743931601533</v>
      </c>
      <c r="K47" s="260"/>
      <c r="L47" s="258"/>
      <c r="M47" s="259"/>
      <c r="N47" s="258"/>
    </row>
    <row r="48" spans="1:14" s="31" customFormat="1" ht="15">
      <c r="A48" s="257">
        <v>45</v>
      </c>
      <c r="B48" s="56" t="s">
        <v>118</v>
      </c>
      <c r="C48" s="41">
        <v>39542</v>
      </c>
      <c r="D48" s="46" t="s">
        <v>261</v>
      </c>
      <c r="E48" s="46" t="s">
        <v>50</v>
      </c>
      <c r="F48" s="43">
        <v>59</v>
      </c>
      <c r="G48" s="43">
        <v>7</v>
      </c>
      <c r="H48" s="195">
        <v>562205</v>
      </c>
      <c r="I48" s="196">
        <v>65146</v>
      </c>
      <c r="J48" s="226">
        <f t="shared" si="1"/>
        <v>8.629923556319651</v>
      </c>
      <c r="K48" s="260"/>
      <c r="L48" s="258"/>
      <c r="M48" s="259"/>
      <c r="N48" s="258"/>
    </row>
    <row r="49" spans="1:14" s="31" customFormat="1" ht="15">
      <c r="A49" s="257">
        <v>46</v>
      </c>
      <c r="B49" s="56" t="s">
        <v>377</v>
      </c>
      <c r="C49" s="41">
        <v>39514</v>
      </c>
      <c r="D49" s="46" t="s">
        <v>262</v>
      </c>
      <c r="E49" s="46" t="s">
        <v>263</v>
      </c>
      <c r="F49" s="43">
        <v>50</v>
      </c>
      <c r="G49" s="43">
        <v>9</v>
      </c>
      <c r="H49" s="195">
        <f>284632.5+170499+47319.5+20448.5+15296+11617.5+3238+4038+4394.5</f>
        <v>561483.5</v>
      </c>
      <c r="I49" s="196">
        <f>32279+19514+6381+3372+2811+2427+565+891+1044</f>
        <v>69284</v>
      </c>
      <c r="J49" s="226">
        <f t="shared" si="1"/>
        <v>8.104086080480341</v>
      </c>
      <c r="K49" s="260"/>
      <c r="L49" s="258"/>
      <c r="M49" s="259"/>
      <c r="N49" s="258"/>
    </row>
    <row r="50" spans="1:14" s="31" customFormat="1" ht="15">
      <c r="A50" s="257">
        <v>47</v>
      </c>
      <c r="B50" s="56" t="s">
        <v>2</v>
      </c>
      <c r="C50" s="41">
        <v>39479</v>
      </c>
      <c r="D50" s="46" t="s">
        <v>262</v>
      </c>
      <c r="E50" s="46" t="s">
        <v>3</v>
      </c>
      <c r="F50" s="43">
        <v>50</v>
      </c>
      <c r="G50" s="43">
        <v>13</v>
      </c>
      <c r="H50" s="195">
        <f>249846+165891.5+56017.5+10366.5+7784.5+9405+3173.5+4913.5+1135+268+726+924+2487</f>
        <v>512938</v>
      </c>
      <c r="I50" s="196">
        <f>28682+19055+7088+1931+1245+1759+638+852+223+53+121+285+829</f>
        <v>62761</v>
      </c>
      <c r="J50" s="226">
        <f t="shared" si="1"/>
        <v>8.17287806121636</v>
      </c>
      <c r="K50" s="260"/>
      <c r="L50" s="258"/>
      <c r="M50" s="259"/>
      <c r="N50" s="258"/>
    </row>
    <row r="51" spans="1:14" s="31" customFormat="1" ht="15">
      <c r="A51" s="257">
        <v>48</v>
      </c>
      <c r="B51" s="56" t="s">
        <v>96</v>
      </c>
      <c r="C51" s="41">
        <v>39556</v>
      </c>
      <c r="D51" s="46" t="s">
        <v>261</v>
      </c>
      <c r="E51" s="46" t="s">
        <v>266</v>
      </c>
      <c r="F51" s="43">
        <v>56</v>
      </c>
      <c r="G51" s="43">
        <v>5</v>
      </c>
      <c r="H51" s="195">
        <v>468154</v>
      </c>
      <c r="I51" s="196">
        <v>57435</v>
      </c>
      <c r="J51" s="226">
        <f t="shared" si="1"/>
        <v>8.151022895447028</v>
      </c>
      <c r="K51" s="443"/>
      <c r="L51" s="258"/>
      <c r="M51" s="259"/>
      <c r="N51" s="258"/>
    </row>
    <row r="52" spans="1:14" s="31" customFormat="1" ht="15">
      <c r="A52" s="257">
        <v>49</v>
      </c>
      <c r="B52" s="56" t="s">
        <v>302</v>
      </c>
      <c r="C52" s="41">
        <v>39528</v>
      </c>
      <c r="D52" s="46" t="s">
        <v>261</v>
      </c>
      <c r="E52" s="46" t="s">
        <v>50</v>
      </c>
      <c r="F52" s="43">
        <v>57</v>
      </c>
      <c r="G52" s="43">
        <v>8</v>
      </c>
      <c r="H52" s="195">
        <v>442692</v>
      </c>
      <c r="I52" s="196">
        <v>50722</v>
      </c>
      <c r="J52" s="226">
        <f t="shared" si="1"/>
        <v>8.727810417570286</v>
      </c>
      <c r="K52" s="377"/>
      <c r="L52" s="258"/>
      <c r="M52" s="259"/>
      <c r="N52" s="258"/>
    </row>
    <row r="53" spans="1:14" s="31" customFormat="1" ht="15">
      <c r="A53" s="257">
        <v>50</v>
      </c>
      <c r="B53" s="56" t="s">
        <v>417</v>
      </c>
      <c r="C53" s="41">
        <v>39563</v>
      </c>
      <c r="D53" s="46" t="s">
        <v>60</v>
      </c>
      <c r="E53" s="46" t="s">
        <v>418</v>
      </c>
      <c r="F53" s="43">
        <v>99</v>
      </c>
      <c r="G53" s="43">
        <v>5</v>
      </c>
      <c r="H53" s="195">
        <v>395813.5</v>
      </c>
      <c r="I53" s="196">
        <v>61569</v>
      </c>
      <c r="J53" s="226">
        <f>H53/I53</f>
        <v>6.428779093374913</v>
      </c>
      <c r="K53" s="443">
        <v>1</v>
      </c>
      <c r="L53" s="258"/>
      <c r="M53" s="259"/>
      <c r="N53" s="258"/>
    </row>
    <row r="54" spans="1:12" s="31" customFormat="1" ht="15">
      <c r="A54" s="257">
        <v>51</v>
      </c>
      <c r="B54" s="56" t="s">
        <v>245</v>
      </c>
      <c r="C54" s="41">
        <v>39535</v>
      </c>
      <c r="D54" s="46" t="s">
        <v>261</v>
      </c>
      <c r="E54" s="46" t="s">
        <v>50</v>
      </c>
      <c r="F54" s="43">
        <v>63</v>
      </c>
      <c r="G54" s="43">
        <v>8</v>
      </c>
      <c r="H54" s="195">
        <v>394368</v>
      </c>
      <c r="I54" s="196">
        <v>43969</v>
      </c>
      <c r="J54" s="226">
        <f>+H54/I54</f>
        <v>8.969228319952695</v>
      </c>
      <c r="K54" s="260"/>
      <c r="L54" s="258"/>
    </row>
    <row r="55" spans="1:12" s="31" customFormat="1" ht="15">
      <c r="A55" s="257">
        <v>52</v>
      </c>
      <c r="B55" s="56" t="s">
        <v>246</v>
      </c>
      <c r="C55" s="41">
        <v>39535</v>
      </c>
      <c r="D55" s="46" t="s">
        <v>126</v>
      </c>
      <c r="E55" s="46" t="s">
        <v>105</v>
      </c>
      <c r="F55" s="43">
        <v>69</v>
      </c>
      <c r="G55" s="43">
        <v>9</v>
      </c>
      <c r="H55" s="195">
        <v>390218</v>
      </c>
      <c r="I55" s="196">
        <v>52815</v>
      </c>
      <c r="J55" s="226">
        <f>H55/I55</f>
        <v>7.388393448830825</v>
      </c>
      <c r="K55" s="443"/>
      <c r="L55" s="258"/>
    </row>
    <row r="56" spans="1:12" s="31" customFormat="1" ht="15">
      <c r="A56" s="257">
        <v>53</v>
      </c>
      <c r="B56" s="56" t="s">
        <v>227</v>
      </c>
      <c r="C56" s="41">
        <v>39451</v>
      </c>
      <c r="D56" s="46" t="s">
        <v>60</v>
      </c>
      <c r="E56" s="46" t="s">
        <v>427</v>
      </c>
      <c r="F56" s="43">
        <v>22</v>
      </c>
      <c r="G56" s="43">
        <v>19</v>
      </c>
      <c r="H56" s="195">
        <v>327444</v>
      </c>
      <c r="I56" s="196">
        <v>36949</v>
      </c>
      <c r="J56" s="226">
        <f aca="true" t="shared" si="2" ref="J56:J62">+H56/I56</f>
        <v>8.86205310021922</v>
      </c>
      <c r="K56" s="260"/>
      <c r="L56" s="258"/>
    </row>
    <row r="57" spans="1:12" s="31" customFormat="1" ht="15">
      <c r="A57" s="257">
        <v>54</v>
      </c>
      <c r="B57" s="56" t="s">
        <v>303</v>
      </c>
      <c r="C57" s="41">
        <v>39528</v>
      </c>
      <c r="D57" s="46" t="s">
        <v>260</v>
      </c>
      <c r="E57" s="46" t="s">
        <v>304</v>
      </c>
      <c r="F57" s="43">
        <v>72</v>
      </c>
      <c r="G57" s="43">
        <v>10</v>
      </c>
      <c r="H57" s="195">
        <f>172485+85617+36350+13710+8796+1398+289+1879+1060+1033</f>
        <v>322617</v>
      </c>
      <c r="I57" s="196">
        <f>24425+12520+5681+2676+1627+258+53+322+226+232</f>
        <v>48020</v>
      </c>
      <c r="J57" s="226">
        <f t="shared" si="2"/>
        <v>6.718388171595168</v>
      </c>
      <c r="K57" s="260">
        <v>1</v>
      </c>
      <c r="L57" s="258"/>
    </row>
    <row r="58" spans="1:12" s="31" customFormat="1" ht="15">
      <c r="A58" s="257">
        <v>55</v>
      </c>
      <c r="B58" s="56" t="s">
        <v>198</v>
      </c>
      <c r="C58" s="41">
        <v>39521</v>
      </c>
      <c r="D58" s="46" t="s">
        <v>262</v>
      </c>
      <c r="E58" s="46" t="s">
        <v>62</v>
      </c>
      <c r="F58" s="43">
        <v>35</v>
      </c>
      <c r="G58" s="43">
        <v>9</v>
      </c>
      <c r="H58" s="195">
        <f>158911.5+84709.5+32412+22388.5+11834.5+4448+941+1712+223</f>
        <v>317580</v>
      </c>
      <c r="I58" s="196">
        <f>16141+8958+4283+3485+1951+836+173+378+49</f>
        <v>36254</v>
      </c>
      <c r="J58" s="226">
        <f t="shared" si="2"/>
        <v>8.759860980857285</v>
      </c>
      <c r="K58" s="377"/>
      <c r="L58" s="258"/>
    </row>
    <row r="59" spans="1:12" s="31" customFormat="1" ht="15">
      <c r="A59" s="257">
        <v>56</v>
      </c>
      <c r="B59" s="56" t="s">
        <v>378</v>
      </c>
      <c r="C59" s="41">
        <v>39514</v>
      </c>
      <c r="D59" s="46" t="s">
        <v>261</v>
      </c>
      <c r="E59" s="46" t="s">
        <v>50</v>
      </c>
      <c r="F59" s="43">
        <v>27</v>
      </c>
      <c r="G59" s="43">
        <v>10</v>
      </c>
      <c r="H59" s="195">
        <v>296344</v>
      </c>
      <c r="I59" s="196">
        <v>31496</v>
      </c>
      <c r="J59" s="226">
        <f t="shared" si="2"/>
        <v>9.408940817881636</v>
      </c>
      <c r="K59" s="260"/>
      <c r="L59" s="258"/>
    </row>
    <row r="60" spans="1:12" s="31" customFormat="1" ht="15">
      <c r="A60" s="257">
        <v>57</v>
      </c>
      <c r="B60" s="56" t="s">
        <v>281</v>
      </c>
      <c r="C60" s="41">
        <v>39584</v>
      </c>
      <c r="D60" s="46" t="s">
        <v>260</v>
      </c>
      <c r="E60" s="46" t="s">
        <v>50</v>
      </c>
      <c r="F60" s="43">
        <v>70</v>
      </c>
      <c r="G60" s="43">
        <v>2</v>
      </c>
      <c r="H60" s="195">
        <f>183871+101049</f>
        <v>284920</v>
      </c>
      <c r="I60" s="196">
        <f>19706+11937</f>
        <v>31643</v>
      </c>
      <c r="J60" s="226">
        <f t="shared" si="2"/>
        <v>9.004203141295074</v>
      </c>
      <c r="K60" s="260"/>
      <c r="L60" s="258"/>
    </row>
    <row r="61" spans="1:12" s="31" customFormat="1" ht="15">
      <c r="A61" s="257">
        <v>58</v>
      </c>
      <c r="B61" s="56" t="s">
        <v>178</v>
      </c>
      <c r="C61" s="41">
        <v>39458</v>
      </c>
      <c r="D61" s="46" t="s">
        <v>309</v>
      </c>
      <c r="E61" s="46" t="s">
        <v>412</v>
      </c>
      <c r="F61" s="43">
        <v>8</v>
      </c>
      <c r="G61" s="43">
        <v>19</v>
      </c>
      <c r="H61" s="195">
        <v>282546</v>
      </c>
      <c r="I61" s="196">
        <v>28059</v>
      </c>
      <c r="J61" s="226">
        <f t="shared" si="2"/>
        <v>10.069710253394632</v>
      </c>
      <c r="K61" s="260"/>
      <c r="L61" s="258"/>
    </row>
    <row r="62" spans="1:14" s="31" customFormat="1" ht="15">
      <c r="A62" s="257">
        <v>59</v>
      </c>
      <c r="B62" s="56" t="s">
        <v>99</v>
      </c>
      <c r="C62" s="41">
        <v>39542</v>
      </c>
      <c r="D62" s="46" t="s">
        <v>57</v>
      </c>
      <c r="E62" s="46" t="s">
        <v>41</v>
      </c>
      <c r="F62" s="43" t="s">
        <v>119</v>
      </c>
      <c r="G62" s="43" t="s">
        <v>410</v>
      </c>
      <c r="H62" s="195">
        <v>280889.5</v>
      </c>
      <c r="I62" s="196">
        <v>37615</v>
      </c>
      <c r="J62" s="226">
        <f t="shared" si="2"/>
        <v>7.46748637511631</v>
      </c>
      <c r="K62" s="443">
        <v>1</v>
      </c>
      <c r="L62" s="258"/>
      <c r="M62" s="259"/>
      <c r="N62" s="258"/>
    </row>
    <row r="63" spans="1:14" s="31" customFormat="1" ht="15">
      <c r="A63" s="257">
        <v>60</v>
      </c>
      <c r="B63" s="56" t="s">
        <v>93</v>
      </c>
      <c r="C63" s="41">
        <v>39591</v>
      </c>
      <c r="D63" s="46" t="s">
        <v>126</v>
      </c>
      <c r="E63" s="46" t="s">
        <v>105</v>
      </c>
      <c r="F63" s="43">
        <v>40</v>
      </c>
      <c r="G63" s="43">
        <v>1</v>
      </c>
      <c r="H63" s="195">
        <v>275670.5</v>
      </c>
      <c r="I63" s="196">
        <v>27626</v>
      </c>
      <c r="J63" s="226">
        <f>H63/I63</f>
        <v>9.978661405921958</v>
      </c>
      <c r="K63" s="443"/>
      <c r="L63" s="258"/>
      <c r="M63" s="259"/>
      <c r="N63" s="258"/>
    </row>
    <row r="64" spans="1:14" s="31" customFormat="1" ht="15">
      <c r="A64" s="257">
        <v>61</v>
      </c>
      <c r="B64" s="56" t="s">
        <v>203</v>
      </c>
      <c r="C64" s="41">
        <v>39451</v>
      </c>
      <c r="D64" s="46" t="s">
        <v>126</v>
      </c>
      <c r="E64" s="46" t="s">
        <v>105</v>
      </c>
      <c r="F64" s="43">
        <v>25</v>
      </c>
      <c r="G64" s="43">
        <v>20</v>
      </c>
      <c r="H64" s="195">
        <v>257940</v>
      </c>
      <c r="I64" s="196">
        <v>31797</v>
      </c>
      <c r="J64" s="226">
        <f>H64/I64</f>
        <v>8.112086045853383</v>
      </c>
      <c r="K64" s="443"/>
      <c r="L64" s="258"/>
      <c r="M64" s="259"/>
      <c r="N64" s="258"/>
    </row>
    <row r="65" spans="1:14" s="31" customFormat="1" ht="15">
      <c r="A65" s="257">
        <v>62</v>
      </c>
      <c r="B65" s="56" t="s">
        <v>362</v>
      </c>
      <c r="C65" s="41">
        <v>39507</v>
      </c>
      <c r="D65" s="46" t="s">
        <v>262</v>
      </c>
      <c r="E65" s="46" t="s">
        <v>263</v>
      </c>
      <c r="F65" s="43">
        <v>27</v>
      </c>
      <c r="G65" s="43">
        <v>10</v>
      </c>
      <c r="H65" s="195">
        <f>142023+69625+9810.5+9329.5+4868.5+7637+1929.5+2734+1506+1953</f>
        <v>251416</v>
      </c>
      <c r="I65" s="196">
        <f>14268+6834+980+1733+937+1518+372+479+344+651</f>
        <v>28116</v>
      </c>
      <c r="J65" s="226">
        <f>+H65/I65</f>
        <v>8.942097026604069</v>
      </c>
      <c r="K65" s="260"/>
      <c r="L65" s="258"/>
      <c r="M65" s="259"/>
      <c r="N65" s="258"/>
    </row>
    <row r="66" spans="1:14" s="31" customFormat="1" ht="15">
      <c r="A66" s="257">
        <v>63</v>
      </c>
      <c r="B66" s="56" t="s">
        <v>81</v>
      </c>
      <c r="C66" s="41">
        <v>39570</v>
      </c>
      <c r="D66" s="46" t="s">
        <v>126</v>
      </c>
      <c r="E66" s="46" t="s">
        <v>105</v>
      </c>
      <c r="F66" s="43">
        <v>20</v>
      </c>
      <c r="G66" s="43">
        <v>4</v>
      </c>
      <c r="H66" s="195">
        <v>231279</v>
      </c>
      <c r="I66" s="196">
        <v>26929</v>
      </c>
      <c r="J66" s="226">
        <f>H66/I66</f>
        <v>8.588473392996399</v>
      </c>
      <c r="K66" s="443"/>
      <c r="L66" s="258"/>
      <c r="M66" s="259"/>
      <c r="N66" s="258"/>
    </row>
    <row r="67" spans="1:14" s="31" customFormat="1" ht="15">
      <c r="A67" s="257">
        <v>64</v>
      </c>
      <c r="B67" s="56" t="s">
        <v>449</v>
      </c>
      <c r="C67" s="41">
        <v>39577</v>
      </c>
      <c r="D67" s="46" t="s">
        <v>261</v>
      </c>
      <c r="E67" s="46" t="s">
        <v>360</v>
      </c>
      <c r="F67" s="43">
        <v>45</v>
      </c>
      <c r="G67" s="43">
        <v>3</v>
      </c>
      <c r="H67" s="195">
        <v>227428</v>
      </c>
      <c r="I67" s="196">
        <v>27960</v>
      </c>
      <c r="J67" s="226">
        <f>+H67/I67</f>
        <v>8.134048640915594</v>
      </c>
      <c r="K67" s="443"/>
      <c r="L67" s="258"/>
      <c r="M67" s="259"/>
      <c r="N67" s="258"/>
    </row>
    <row r="68" spans="1:14" s="31" customFormat="1" ht="15">
      <c r="A68" s="257">
        <v>65</v>
      </c>
      <c r="B68" s="56" t="s">
        <v>120</v>
      </c>
      <c r="C68" s="41">
        <v>39542</v>
      </c>
      <c r="D68" s="46" t="s">
        <v>60</v>
      </c>
      <c r="E68" s="46" t="s">
        <v>121</v>
      </c>
      <c r="F68" s="43">
        <v>43</v>
      </c>
      <c r="G68" s="43">
        <v>8</v>
      </c>
      <c r="H68" s="195">
        <v>222338.5</v>
      </c>
      <c r="I68" s="196">
        <v>27726</v>
      </c>
      <c r="J68" s="226">
        <f>H68/I68</f>
        <v>8.019133665151843</v>
      </c>
      <c r="K68" s="443"/>
      <c r="L68" s="258"/>
      <c r="M68" s="259"/>
      <c r="N68" s="258"/>
    </row>
    <row r="69" spans="1:14" s="31" customFormat="1" ht="15">
      <c r="A69" s="257">
        <v>66</v>
      </c>
      <c r="B69" s="56" t="s">
        <v>4</v>
      </c>
      <c r="C69" s="41">
        <v>39479</v>
      </c>
      <c r="D69" s="46" t="s">
        <v>261</v>
      </c>
      <c r="E69" s="46" t="s">
        <v>264</v>
      </c>
      <c r="F69" s="43">
        <v>25</v>
      </c>
      <c r="G69" s="43">
        <v>14</v>
      </c>
      <c r="H69" s="195">
        <v>221938</v>
      </c>
      <c r="I69" s="196">
        <v>24156</v>
      </c>
      <c r="J69" s="226">
        <f>+H69/I69</f>
        <v>9.18769663851631</v>
      </c>
      <c r="K69" s="260"/>
      <c r="L69" s="258"/>
      <c r="M69" s="259"/>
      <c r="N69" s="258"/>
    </row>
    <row r="70" spans="1:14" s="31" customFormat="1" ht="15">
      <c r="A70" s="257">
        <v>67</v>
      </c>
      <c r="B70" s="56" t="s">
        <v>277</v>
      </c>
      <c r="C70" s="41">
        <v>39493</v>
      </c>
      <c r="D70" s="46" t="s">
        <v>261</v>
      </c>
      <c r="E70" s="46" t="s">
        <v>223</v>
      </c>
      <c r="F70" s="43">
        <v>16</v>
      </c>
      <c r="G70" s="43">
        <v>15</v>
      </c>
      <c r="H70" s="195">
        <v>220463</v>
      </c>
      <c r="I70" s="196">
        <v>24631</v>
      </c>
      <c r="J70" s="226">
        <f>+H70/I70</f>
        <v>8.95063131825748</v>
      </c>
      <c r="K70" s="260"/>
      <c r="L70" s="258"/>
      <c r="M70" s="259"/>
      <c r="N70" s="258"/>
    </row>
    <row r="71" spans="1:14" s="31" customFormat="1" ht="15">
      <c r="A71" s="257">
        <v>68</v>
      </c>
      <c r="B71" s="56" t="s">
        <v>88</v>
      </c>
      <c r="C71" s="41">
        <v>39465</v>
      </c>
      <c r="D71" s="46" t="s">
        <v>256</v>
      </c>
      <c r="E71" s="46" t="s">
        <v>251</v>
      </c>
      <c r="F71" s="43">
        <v>29</v>
      </c>
      <c r="G71" s="43">
        <v>6</v>
      </c>
      <c r="H71" s="195">
        <f>204293</f>
        <v>204293</v>
      </c>
      <c r="I71" s="196">
        <f>20189</f>
        <v>20189</v>
      </c>
      <c r="J71" s="226">
        <f>IF(H71&lt;&gt;0,H71/I71,"")</f>
        <v>10.119025211748973</v>
      </c>
      <c r="K71" s="260"/>
      <c r="L71" s="258"/>
      <c r="M71" s="259"/>
      <c r="N71" s="258"/>
    </row>
    <row r="72" spans="1:14" s="31" customFormat="1" ht="15">
      <c r="A72" s="257">
        <v>69</v>
      </c>
      <c r="B72" s="56" t="s">
        <v>199</v>
      </c>
      <c r="C72" s="41">
        <v>39521</v>
      </c>
      <c r="D72" s="46" t="s">
        <v>262</v>
      </c>
      <c r="E72" s="46" t="s">
        <v>393</v>
      </c>
      <c r="F72" s="43">
        <v>100</v>
      </c>
      <c r="G72" s="43">
        <v>9</v>
      </c>
      <c r="H72" s="195">
        <f>130222+40364+11767.5+6435+3349+6171+506+85+3062</f>
        <v>201961.5</v>
      </c>
      <c r="I72" s="196">
        <f>18824+6193+1964+1132+641+1497+105+15+766</f>
        <v>31137</v>
      </c>
      <c r="J72" s="226">
        <f>+H72/I72</f>
        <v>6.486222179400713</v>
      </c>
      <c r="K72" s="260">
        <v>1</v>
      </c>
      <c r="L72" s="258"/>
      <c r="M72" s="259"/>
      <c r="N72" s="258"/>
    </row>
    <row r="73" spans="1:14" s="31" customFormat="1" ht="15">
      <c r="A73" s="257">
        <v>70</v>
      </c>
      <c r="B73" s="56" t="s">
        <v>306</v>
      </c>
      <c r="C73" s="41">
        <v>39521</v>
      </c>
      <c r="D73" s="46" t="s">
        <v>260</v>
      </c>
      <c r="E73" s="46" t="s">
        <v>228</v>
      </c>
      <c r="F73" s="43">
        <v>36</v>
      </c>
      <c r="G73" s="43">
        <v>10</v>
      </c>
      <c r="H73" s="195">
        <f>108807+47654+5862+11609+9227+6806+1712+2857+2880+300</f>
        <v>197714</v>
      </c>
      <c r="I73" s="196">
        <f>12138+5733+809+2155+1722+1200+303+671+1376+75</f>
        <v>26182</v>
      </c>
      <c r="J73" s="226">
        <f>+H73/I73</f>
        <v>7.551523947750363</v>
      </c>
      <c r="K73" s="260"/>
      <c r="L73" s="258"/>
      <c r="M73" s="259"/>
      <c r="N73" s="258"/>
    </row>
    <row r="74" spans="1:14" s="31" customFormat="1" ht="15">
      <c r="A74" s="257">
        <v>71</v>
      </c>
      <c r="B74" s="56" t="s">
        <v>247</v>
      </c>
      <c r="C74" s="41">
        <v>39535</v>
      </c>
      <c r="D74" s="46" t="s">
        <v>267</v>
      </c>
      <c r="E74" s="46" t="s">
        <v>196</v>
      </c>
      <c r="F74" s="43">
        <v>10</v>
      </c>
      <c r="G74" s="43">
        <v>9</v>
      </c>
      <c r="H74" s="195">
        <v>190568</v>
      </c>
      <c r="I74" s="196">
        <v>22285</v>
      </c>
      <c r="J74" s="226">
        <f>H74/I74</f>
        <v>8.55140228853489</v>
      </c>
      <c r="K74" s="443"/>
      <c r="L74" s="258"/>
      <c r="M74" s="259"/>
      <c r="N74" s="258"/>
    </row>
    <row r="75" spans="1:14" s="31" customFormat="1" ht="15">
      <c r="A75" s="257">
        <v>72</v>
      </c>
      <c r="B75" s="56" t="s">
        <v>379</v>
      </c>
      <c r="C75" s="41">
        <v>39514</v>
      </c>
      <c r="D75" s="46" t="s">
        <v>57</v>
      </c>
      <c r="E75" s="46" t="s">
        <v>380</v>
      </c>
      <c r="F75" s="43" t="s">
        <v>381</v>
      </c>
      <c r="G75" s="43" t="s">
        <v>131</v>
      </c>
      <c r="H75" s="195">
        <v>180780.82</v>
      </c>
      <c r="I75" s="196">
        <v>26604</v>
      </c>
      <c r="J75" s="226">
        <f>+H75/I75</f>
        <v>6.7952495865283415</v>
      </c>
      <c r="K75" s="377">
        <v>1</v>
      </c>
      <c r="L75" s="258"/>
      <c r="M75" s="259"/>
      <c r="N75" s="258"/>
    </row>
    <row r="76" spans="1:14" s="31" customFormat="1" ht="15">
      <c r="A76" s="257">
        <v>73</v>
      </c>
      <c r="B76" s="56" t="s">
        <v>23</v>
      </c>
      <c r="C76" s="41">
        <v>39542</v>
      </c>
      <c r="D76" s="46" t="s">
        <v>309</v>
      </c>
      <c r="E76" s="46" t="s">
        <v>412</v>
      </c>
      <c r="F76" s="43">
        <v>24</v>
      </c>
      <c r="G76" s="43">
        <v>8</v>
      </c>
      <c r="H76" s="195">
        <v>174432</v>
      </c>
      <c r="I76" s="196">
        <v>18609</v>
      </c>
      <c r="J76" s="226">
        <f>+H76/I76</f>
        <v>9.373528937610834</v>
      </c>
      <c r="K76" s="443"/>
      <c r="L76" s="258"/>
      <c r="M76" s="259"/>
      <c r="N76" s="258"/>
    </row>
    <row r="77" spans="1:14" s="31" customFormat="1" ht="15">
      <c r="A77" s="257">
        <v>74</v>
      </c>
      <c r="B77" s="56" t="s">
        <v>97</v>
      </c>
      <c r="C77" s="41">
        <v>39570</v>
      </c>
      <c r="D77" s="46" t="s">
        <v>261</v>
      </c>
      <c r="E77" s="46" t="s">
        <v>50</v>
      </c>
      <c r="F77" s="43">
        <v>53</v>
      </c>
      <c r="G77" s="43">
        <v>4</v>
      </c>
      <c r="H77" s="195">
        <v>172386</v>
      </c>
      <c r="I77" s="196">
        <v>21500</v>
      </c>
      <c r="J77" s="226">
        <f>+H77/I77</f>
        <v>8.017953488372093</v>
      </c>
      <c r="K77" s="443"/>
      <c r="L77" s="258"/>
      <c r="M77" s="259"/>
      <c r="N77" s="258"/>
    </row>
    <row r="78" spans="1:14" s="31" customFormat="1" ht="15">
      <c r="A78" s="257">
        <v>75</v>
      </c>
      <c r="B78" s="56" t="s">
        <v>278</v>
      </c>
      <c r="C78" s="41">
        <v>39493</v>
      </c>
      <c r="D78" s="46" t="s">
        <v>309</v>
      </c>
      <c r="E78" s="46" t="s">
        <v>412</v>
      </c>
      <c r="F78" s="43">
        <v>10</v>
      </c>
      <c r="G78" s="43">
        <v>15</v>
      </c>
      <c r="H78" s="195">
        <v>167316</v>
      </c>
      <c r="I78" s="196">
        <v>20148</v>
      </c>
      <c r="J78" s="226">
        <f>+H78/I78</f>
        <v>8.304347826086957</v>
      </c>
      <c r="K78" s="443"/>
      <c r="L78" s="258"/>
      <c r="M78" s="259"/>
      <c r="N78" s="258"/>
    </row>
    <row r="79" spans="1:14" s="31" customFormat="1" ht="15">
      <c r="A79" s="257">
        <v>76</v>
      </c>
      <c r="B79" s="56" t="s">
        <v>69</v>
      </c>
      <c r="C79" s="41">
        <v>39472</v>
      </c>
      <c r="D79" s="46" t="s">
        <v>126</v>
      </c>
      <c r="E79" s="46" t="s">
        <v>6</v>
      </c>
      <c r="F79" s="43">
        <v>25</v>
      </c>
      <c r="G79" s="43">
        <v>18</v>
      </c>
      <c r="H79" s="195">
        <v>163904.5</v>
      </c>
      <c r="I79" s="196">
        <v>24594</v>
      </c>
      <c r="J79" s="226">
        <f>H79/I79</f>
        <v>6.664410018703749</v>
      </c>
      <c r="K79" s="443"/>
      <c r="L79" s="258"/>
      <c r="M79" s="259"/>
      <c r="N79" s="258"/>
    </row>
    <row r="80" spans="1:14" s="31" customFormat="1" ht="15">
      <c r="A80" s="257">
        <v>77</v>
      </c>
      <c r="B80" s="56" t="s">
        <v>399</v>
      </c>
      <c r="C80" s="41">
        <v>39549</v>
      </c>
      <c r="D80" s="46" t="s">
        <v>57</v>
      </c>
      <c r="E80" s="46" t="s">
        <v>400</v>
      </c>
      <c r="F80" s="43" t="s">
        <v>39</v>
      </c>
      <c r="G80" s="43" t="s">
        <v>181</v>
      </c>
      <c r="H80" s="195">
        <v>161697</v>
      </c>
      <c r="I80" s="196">
        <v>23821</v>
      </c>
      <c r="J80" s="226">
        <f>+H80/I80</f>
        <v>6.788002182947819</v>
      </c>
      <c r="K80" s="443">
        <v>1</v>
      </c>
      <c r="L80" s="258"/>
      <c r="M80" s="259"/>
      <c r="N80" s="258"/>
    </row>
    <row r="81" spans="1:14" s="31" customFormat="1" ht="15">
      <c r="A81" s="257">
        <v>78</v>
      </c>
      <c r="B81" s="56" t="s">
        <v>153</v>
      </c>
      <c r="C81" s="41">
        <v>39465</v>
      </c>
      <c r="D81" s="46" t="s">
        <v>57</v>
      </c>
      <c r="E81" s="46" t="s">
        <v>296</v>
      </c>
      <c r="F81" s="43" t="s">
        <v>154</v>
      </c>
      <c r="G81" s="43" t="s">
        <v>181</v>
      </c>
      <c r="H81" s="195">
        <v>155372.17</v>
      </c>
      <c r="I81" s="196">
        <v>21414</v>
      </c>
      <c r="J81" s="226">
        <f>+H81/I81</f>
        <v>7.25563509853367</v>
      </c>
      <c r="K81" s="260"/>
      <c r="L81" s="258"/>
      <c r="M81" s="259"/>
      <c r="N81" s="258"/>
    </row>
    <row r="82" spans="1:14" s="31" customFormat="1" ht="15">
      <c r="A82" s="257">
        <v>79</v>
      </c>
      <c r="B82" s="56" t="s">
        <v>152</v>
      </c>
      <c r="C82" s="41">
        <v>39465</v>
      </c>
      <c r="D82" s="46" t="s">
        <v>309</v>
      </c>
      <c r="E82" s="46" t="s">
        <v>309</v>
      </c>
      <c r="F82" s="43">
        <v>16</v>
      </c>
      <c r="G82" s="43">
        <v>18</v>
      </c>
      <c r="H82" s="195">
        <v>153187</v>
      </c>
      <c r="I82" s="196">
        <v>15511</v>
      </c>
      <c r="J82" s="226">
        <f>+H82/I82</f>
        <v>9.876023467216815</v>
      </c>
      <c r="K82" s="443"/>
      <c r="L82" s="258"/>
      <c r="M82" s="259"/>
      <c r="N82" s="258"/>
    </row>
    <row r="83" spans="1:14" s="31" customFormat="1" ht="15">
      <c r="A83" s="257">
        <v>80</v>
      </c>
      <c r="B83" s="56" t="s">
        <v>19</v>
      </c>
      <c r="C83" s="41">
        <v>39549</v>
      </c>
      <c r="D83" s="46" t="s">
        <v>260</v>
      </c>
      <c r="E83" s="46" t="s">
        <v>20</v>
      </c>
      <c r="F83" s="43">
        <v>44</v>
      </c>
      <c r="G83" s="43">
        <v>7</v>
      </c>
      <c r="H83" s="195">
        <f>92316+36945+11983+3297+4402+504+625</f>
        <v>150072</v>
      </c>
      <c r="I83" s="196">
        <f>10316+4640+1815+597+765+105+297</f>
        <v>18535</v>
      </c>
      <c r="J83" s="226">
        <f>+H83/I83</f>
        <v>8.096681953061776</v>
      </c>
      <c r="K83" s="260">
        <v>1</v>
      </c>
      <c r="L83" s="258"/>
      <c r="M83" s="259"/>
      <c r="N83" s="258"/>
    </row>
    <row r="84" spans="1:14" s="31" customFormat="1" ht="15">
      <c r="A84" s="257">
        <v>81</v>
      </c>
      <c r="B84" s="56" t="s">
        <v>282</v>
      </c>
      <c r="C84" s="41">
        <v>39584</v>
      </c>
      <c r="D84" s="46" t="s">
        <v>126</v>
      </c>
      <c r="E84" s="46" t="s">
        <v>7</v>
      </c>
      <c r="F84" s="43">
        <v>63</v>
      </c>
      <c r="G84" s="43">
        <v>2</v>
      </c>
      <c r="H84" s="195">
        <v>149254.5</v>
      </c>
      <c r="I84" s="196">
        <v>17217</v>
      </c>
      <c r="J84" s="226">
        <f>H84/I84</f>
        <v>8.669018992855898</v>
      </c>
      <c r="K84" s="443"/>
      <c r="L84" s="258"/>
      <c r="M84" s="259"/>
      <c r="N84" s="258"/>
    </row>
    <row r="85" spans="1:14" s="31" customFormat="1" ht="15">
      <c r="A85" s="257">
        <v>82</v>
      </c>
      <c r="B85" s="56" t="s">
        <v>155</v>
      </c>
      <c r="C85" s="41">
        <v>39465</v>
      </c>
      <c r="D85" s="46" t="s">
        <v>126</v>
      </c>
      <c r="E85" s="46" t="s">
        <v>105</v>
      </c>
      <c r="F85" s="43">
        <v>16</v>
      </c>
      <c r="G85" s="43">
        <v>14</v>
      </c>
      <c r="H85" s="195">
        <v>145995.5</v>
      </c>
      <c r="I85" s="196">
        <v>17262</v>
      </c>
      <c r="J85" s="226">
        <f>+H85/I85</f>
        <v>8.457623682076237</v>
      </c>
      <c r="K85" s="260"/>
      <c r="L85" s="258"/>
      <c r="M85" s="259"/>
      <c r="N85" s="258"/>
    </row>
    <row r="86" spans="1:14" s="31" customFormat="1" ht="15">
      <c r="A86" s="257">
        <v>83</v>
      </c>
      <c r="B86" s="56" t="s">
        <v>363</v>
      </c>
      <c r="C86" s="41">
        <v>39507</v>
      </c>
      <c r="D86" s="46" t="s">
        <v>261</v>
      </c>
      <c r="E86" s="46" t="s">
        <v>223</v>
      </c>
      <c r="F86" s="43">
        <v>38</v>
      </c>
      <c r="G86" s="43">
        <v>13</v>
      </c>
      <c r="H86" s="195">
        <v>141233</v>
      </c>
      <c r="I86" s="196">
        <v>15466</v>
      </c>
      <c r="J86" s="226">
        <f>+H86/I86</f>
        <v>9.131837579206</v>
      </c>
      <c r="K86" s="443"/>
      <c r="L86" s="258"/>
      <c r="M86" s="259"/>
      <c r="N86" s="258"/>
    </row>
    <row r="87" spans="1:14" s="31" customFormat="1" ht="15">
      <c r="A87" s="257">
        <v>84</v>
      </c>
      <c r="B87" s="56" t="s">
        <v>305</v>
      </c>
      <c r="C87" s="41">
        <v>39528</v>
      </c>
      <c r="D87" s="46" t="s">
        <v>261</v>
      </c>
      <c r="E87" s="46" t="s">
        <v>104</v>
      </c>
      <c r="F87" s="43">
        <v>33</v>
      </c>
      <c r="G87" s="43">
        <v>10</v>
      </c>
      <c r="H87" s="195">
        <v>130135</v>
      </c>
      <c r="I87" s="196">
        <v>13991</v>
      </c>
      <c r="J87" s="226">
        <f>+H87/I87</f>
        <v>9.301336573511543</v>
      </c>
      <c r="K87" s="443"/>
      <c r="L87" s="258"/>
      <c r="M87" s="259"/>
      <c r="N87" s="258"/>
    </row>
    <row r="88" spans="1:14" s="31" customFormat="1" ht="15">
      <c r="A88" s="257">
        <v>85</v>
      </c>
      <c r="B88" s="56" t="s">
        <v>38</v>
      </c>
      <c r="C88" s="41">
        <v>39556</v>
      </c>
      <c r="D88" s="46" t="s">
        <v>126</v>
      </c>
      <c r="E88" s="46" t="s">
        <v>6</v>
      </c>
      <c r="F88" s="43">
        <v>17</v>
      </c>
      <c r="G88" s="43">
        <v>6</v>
      </c>
      <c r="H88" s="195">
        <v>124155</v>
      </c>
      <c r="I88" s="196">
        <v>13018</v>
      </c>
      <c r="J88" s="226">
        <f>H88/I88</f>
        <v>9.537179290213551</v>
      </c>
      <c r="K88" s="443"/>
      <c r="L88" s="258"/>
      <c r="M88" s="259"/>
      <c r="N88" s="258"/>
    </row>
    <row r="89" spans="1:14" s="31" customFormat="1" ht="15">
      <c r="A89" s="257">
        <v>86</v>
      </c>
      <c r="B89" s="56" t="s">
        <v>389</v>
      </c>
      <c r="C89" s="41">
        <v>39584</v>
      </c>
      <c r="D89" s="46" t="s">
        <v>262</v>
      </c>
      <c r="E89" s="46" t="s">
        <v>390</v>
      </c>
      <c r="F89" s="43">
        <v>30</v>
      </c>
      <c r="G89" s="43">
        <v>2</v>
      </c>
      <c r="H89" s="195">
        <f>76736.5+44604.5</f>
        <v>121341</v>
      </c>
      <c r="I89" s="196">
        <f>8495+5197</f>
        <v>13692</v>
      </c>
      <c r="J89" s="226">
        <f>H89/I89</f>
        <v>8.862182296231376</v>
      </c>
      <c r="K89" s="443"/>
      <c r="L89" s="258"/>
      <c r="M89" s="259"/>
      <c r="N89" s="258"/>
    </row>
    <row r="90" spans="1:14" s="31" customFormat="1" ht="15">
      <c r="A90" s="257">
        <v>87</v>
      </c>
      <c r="B90" s="56" t="s">
        <v>364</v>
      </c>
      <c r="C90" s="41">
        <v>39507</v>
      </c>
      <c r="D90" s="46" t="s">
        <v>126</v>
      </c>
      <c r="E90" s="46" t="s">
        <v>105</v>
      </c>
      <c r="F90" s="43">
        <v>20</v>
      </c>
      <c r="G90" s="43">
        <v>13</v>
      </c>
      <c r="H90" s="195">
        <v>115184</v>
      </c>
      <c r="I90" s="196">
        <v>14257</v>
      </c>
      <c r="J90" s="226">
        <f>H90/I90</f>
        <v>8.07911902924879</v>
      </c>
      <c r="K90" s="443"/>
      <c r="L90" s="258"/>
      <c r="M90" s="259"/>
      <c r="N90" s="258"/>
    </row>
    <row r="91" spans="1:14" s="31" customFormat="1" ht="15">
      <c r="A91" s="257">
        <v>88</v>
      </c>
      <c r="B91" s="56" t="s">
        <v>122</v>
      </c>
      <c r="C91" s="41">
        <v>39542</v>
      </c>
      <c r="D91" s="46" t="s">
        <v>126</v>
      </c>
      <c r="E91" s="46" t="s">
        <v>105</v>
      </c>
      <c r="F91" s="43">
        <v>16</v>
      </c>
      <c r="G91" s="43">
        <v>8</v>
      </c>
      <c r="H91" s="195">
        <v>113927.5</v>
      </c>
      <c r="I91" s="196">
        <v>13255</v>
      </c>
      <c r="J91" s="226">
        <f>H91/I91</f>
        <v>8.595058468502453</v>
      </c>
      <c r="K91" s="443"/>
      <c r="L91" s="258"/>
      <c r="M91" s="259"/>
      <c r="N91" s="258"/>
    </row>
    <row r="92" spans="1:14" s="31" customFormat="1" ht="15">
      <c r="A92" s="257">
        <v>89</v>
      </c>
      <c r="B92" s="56" t="s">
        <v>179</v>
      </c>
      <c r="C92" s="41">
        <v>39458</v>
      </c>
      <c r="D92" s="46" t="s">
        <v>126</v>
      </c>
      <c r="E92" s="46" t="s">
        <v>105</v>
      </c>
      <c r="F92" s="43">
        <v>10</v>
      </c>
      <c r="G92" s="43">
        <v>18</v>
      </c>
      <c r="H92" s="195">
        <v>109193</v>
      </c>
      <c r="I92" s="196">
        <v>13219</v>
      </c>
      <c r="J92" s="226">
        <f>+H92/I92</f>
        <v>8.260307133671231</v>
      </c>
      <c r="K92" s="260"/>
      <c r="L92" s="258"/>
      <c r="M92" s="259"/>
      <c r="N92" s="258"/>
    </row>
    <row r="93" spans="1:14" s="31" customFormat="1" ht="15">
      <c r="A93" s="257">
        <v>90</v>
      </c>
      <c r="B93" s="56" t="s">
        <v>419</v>
      </c>
      <c r="C93" s="41">
        <v>39563</v>
      </c>
      <c r="D93" s="46" t="s">
        <v>267</v>
      </c>
      <c r="E93" s="46" t="s">
        <v>420</v>
      </c>
      <c r="F93" s="43">
        <v>15</v>
      </c>
      <c r="G93" s="43">
        <v>5</v>
      </c>
      <c r="H93" s="195">
        <v>106539</v>
      </c>
      <c r="I93" s="196">
        <v>10758</v>
      </c>
      <c r="J93" s="226">
        <f>H93/I93</f>
        <v>9.903234802007809</v>
      </c>
      <c r="K93" s="443"/>
      <c r="L93" s="258"/>
      <c r="M93" s="259"/>
      <c r="N93" s="258"/>
    </row>
    <row r="94" spans="1:14" s="31" customFormat="1" ht="15">
      <c r="A94" s="257">
        <v>91</v>
      </c>
      <c r="B94" s="56" t="s">
        <v>123</v>
      </c>
      <c r="C94" s="41">
        <v>39535</v>
      </c>
      <c r="D94" s="46" t="s">
        <v>309</v>
      </c>
      <c r="E94" s="46" t="s">
        <v>309</v>
      </c>
      <c r="F94" s="43">
        <v>11</v>
      </c>
      <c r="G94" s="43">
        <v>8</v>
      </c>
      <c r="H94" s="195">
        <v>105798</v>
      </c>
      <c r="I94" s="196">
        <v>10590</v>
      </c>
      <c r="J94" s="226">
        <f>+H94/I94</f>
        <v>9.990368271954674</v>
      </c>
      <c r="K94" s="260"/>
      <c r="L94" s="258"/>
      <c r="M94" s="259"/>
      <c r="N94" s="258"/>
    </row>
    <row r="95" spans="1:14" s="31" customFormat="1" ht="15">
      <c r="A95" s="257">
        <v>92</v>
      </c>
      <c r="B95" s="56" t="s">
        <v>450</v>
      </c>
      <c r="C95" s="41">
        <v>39577</v>
      </c>
      <c r="D95" s="46" t="s">
        <v>234</v>
      </c>
      <c r="E95" s="46" t="s">
        <v>6</v>
      </c>
      <c r="F95" s="43">
        <v>26</v>
      </c>
      <c r="G95" s="43">
        <v>3</v>
      </c>
      <c r="H95" s="195">
        <v>104284.42</v>
      </c>
      <c r="I95" s="196">
        <v>11703</v>
      </c>
      <c r="J95" s="226">
        <v>8.91</v>
      </c>
      <c r="K95" s="443"/>
      <c r="L95" s="258"/>
      <c r="M95" s="259"/>
      <c r="N95" s="258"/>
    </row>
    <row r="96" spans="1:14" s="31" customFormat="1" ht="15">
      <c r="A96" s="257">
        <v>93</v>
      </c>
      <c r="B96" s="56" t="s">
        <v>180</v>
      </c>
      <c r="C96" s="41">
        <v>39458</v>
      </c>
      <c r="D96" s="46" t="s">
        <v>126</v>
      </c>
      <c r="E96" s="46" t="s">
        <v>408</v>
      </c>
      <c r="F96" s="43">
        <v>4</v>
      </c>
      <c r="G96" s="43">
        <v>16</v>
      </c>
      <c r="H96" s="195">
        <v>96316</v>
      </c>
      <c r="I96" s="196">
        <v>11844</v>
      </c>
      <c r="J96" s="226">
        <f>+H96/I96</f>
        <v>8.132049983113813</v>
      </c>
      <c r="K96" s="443"/>
      <c r="L96" s="258"/>
      <c r="M96" s="259"/>
      <c r="N96" s="258"/>
    </row>
    <row r="97" spans="1:14" s="31" customFormat="1" ht="15">
      <c r="A97" s="257">
        <v>94</v>
      </c>
      <c r="B97" s="56" t="s">
        <v>421</v>
      </c>
      <c r="C97" s="41">
        <v>39563</v>
      </c>
      <c r="D97" s="46" t="s">
        <v>126</v>
      </c>
      <c r="E97" s="46" t="s">
        <v>105</v>
      </c>
      <c r="F97" s="43">
        <v>25</v>
      </c>
      <c r="G97" s="43">
        <v>5</v>
      </c>
      <c r="H97" s="195">
        <v>94121</v>
      </c>
      <c r="I97" s="196">
        <v>10198</v>
      </c>
      <c r="J97" s="226">
        <f>H97/I97</f>
        <v>9.22935869778388</v>
      </c>
      <c r="K97" s="443"/>
      <c r="L97" s="258"/>
      <c r="M97" s="259"/>
      <c r="N97" s="258"/>
    </row>
    <row r="98" spans="1:14" s="31" customFormat="1" ht="15">
      <c r="A98" s="257">
        <v>95</v>
      </c>
      <c r="B98" s="56" t="s">
        <v>21</v>
      </c>
      <c r="C98" s="41">
        <v>39549</v>
      </c>
      <c r="D98" s="46" t="s">
        <v>267</v>
      </c>
      <c r="E98" s="46" t="s">
        <v>22</v>
      </c>
      <c r="F98" s="43">
        <v>30</v>
      </c>
      <c r="G98" s="43">
        <v>5</v>
      </c>
      <c r="H98" s="195">
        <v>92433</v>
      </c>
      <c r="I98" s="196">
        <v>10450</v>
      </c>
      <c r="J98" s="226">
        <f>H98/I98</f>
        <v>8.845263157894736</v>
      </c>
      <c r="K98" s="260"/>
      <c r="L98" s="258"/>
      <c r="M98" s="259"/>
      <c r="N98" s="258"/>
    </row>
    <row r="99" spans="1:14" s="31" customFormat="1" ht="15">
      <c r="A99" s="257">
        <v>96</v>
      </c>
      <c r="B99" s="56" t="s">
        <v>451</v>
      </c>
      <c r="C99" s="41">
        <v>39577</v>
      </c>
      <c r="D99" s="46" t="s">
        <v>267</v>
      </c>
      <c r="E99" s="46" t="s">
        <v>268</v>
      </c>
      <c r="F99" s="43">
        <v>11</v>
      </c>
      <c r="G99" s="43">
        <v>3</v>
      </c>
      <c r="H99" s="195">
        <v>82136</v>
      </c>
      <c r="I99" s="196">
        <v>8095</v>
      </c>
      <c r="J99" s="226">
        <f>H99/I99</f>
        <v>10.146510191476219</v>
      </c>
      <c r="K99" s="443"/>
      <c r="L99" s="258"/>
      <c r="M99" s="259"/>
      <c r="N99" s="258"/>
    </row>
    <row r="100" spans="1:14" s="31" customFormat="1" ht="15">
      <c r="A100" s="257">
        <v>97</v>
      </c>
      <c r="B100" s="56" t="s">
        <v>327</v>
      </c>
      <c r="C100" s="41">
        <v>39528</v>
      </c>
      <c r="D100" s="46" t="s">
        <v>57</v>
      </c>
      <c r="E100" s="46" t="s">
        <v>412</v>
      </c>
      <c r="F100" s="43" t="s">
        <v>328</v>
      </c>
      <c r="G100" s="43" t="s">
        <v>410</v>
      </c>
      <c r="H100" s="195">
        <v>79397.5</v>
      </c>
      <c r="I100" s="196">
        <v>8451</v>
      </c>
      <c r="J100" s="226">
        <f>+H100/I100</f>
        <v>9.395042006863093</v>
      </c>
      <c r="K100" s="260"/>
      <c r="L100" s="258"/>
      <c r="M100" s="259"/>
      <c r="N100" s="258"/>
    </row>
    <row r="101" spans="1:14" s="31" customFormat="1" ht="15">
      <c r="A101" s="257">
        <v>98</v>
      </c>
      <c r="B101" s="56" t="s">
        <v>276</v>
      </c>
      <c r="C101" s="41">
        <v>39479</v>
      </c>
      <c r="D101" s="46" t="s">
        <v>126</v>
      </c>
      <c r="E101" s="46" t="s">
        <v>7</v>
      </c>
      <c r="F101" s="43">
        <v>5</v>
      </c>
      <c r="G101" s="43">
        <v>14</v>
      </c>
      <c r="H101" s="195">
        <v>69527</v>
      </c>
      <c r="I101" s="196">
        <v>9927</v>
      </c>
      <c r="J101" s="226">
        <f>+H101/I101</f>
        <v>7.003827943991135</v>
      </c>
      <c r="K101" s="260"/>
      <c r="L101" s="258"/>
      <c r="M101" s="259"/>
      <c r="N101" s="258"/>
    </row>
    <row r="102" spans="1:14" s="31" customFormat="1" ht="15">
      <c r="A102" s="257">
        <v>99</v>
      </c>
      <c r="B102" s="56" t="s">
        <v>43</v>
      </c>
      <c r="C102" s="41">
        <v>39479</v>
      </c>
      <c r="D102" s="46" t="s">
        <v>126</v>
      </c>
      <c r="E102" s="46" t="s">
        <v>7</v>
      </c>
      <c r="F102" s="43">
        <v>5</v>
      </c>
      <c r="G102" s="43">
        <v>11</v>
      </c>
      <c r="H102" s="86">
        <v>67383</v>
      </c>
      <c r="I102" s="95">
        <v>9512</v>
      </c>
      <c r="J102" s="81">
        <f>+H102/I102</f>
        <v>7.0839991589571065</v>
      </c>
      <c r="K102" s="260"/>
      <c r="L102" s="258"/>
      <c r="M102" s="259"/>
      <c r="N102" s="258"/>
    </row>
    <row r="103" spans="1:14" s="31" customFormat="1" ht="15">
      <c r="A103" s="257">
        <v>100</v>
      </c>
      <c r="B103" s="56" t="s">
        <v>248</v>
      </c>
      <c r="C103" s="41">
        <v>39535</v>
      </c>
      <c r="D103" s="339" t="s">
        <v>309</v>
      </c>
      <c r="E103" s="339" t="s">
        <v>309</v>
      </c>
      <c r="F103" s="43">
        <v>11</v>
      </c>
      <c r="G103" s="43">
        <v>1</v>
      </c>
      <c r="H103" s="195">
        <v>63834</v>
      </c>
      <c r="I103" s="196">
        <v>5701</v>
      </c>
      <c r="J103" s="226">
        <f>IF(H103&lt;&gt;0,H103/I103,"")</f>
        <v>11.196982985441151</v>
      </c>
      <c r="K103" s="260"/>
      <c r="L103" s="258"/>
      <c r="M103" s="259"/>
      <c r="N103" s="258"/>
    </row>
    <row r="104" spans="1:14" s="31" customFormat="1" ht="15">
      <c r="A104" s="257">
        <v>101</v>
      </c>
      <c r="B104" s="56" t="s">
        <v>283</v>
      </c>
      <c r="C104" s="41">
        <v>39493</v>
      </c>
      <c r="D104" s="46" t="s">
        <v>126</v>
      </c>
      <c r="E104" s="46" t="s">
        <v>105</v>
      </c>
      <c r="F104" s="43">
        <v>21</v>
      </c>
      <c r="G104" s="43">
        <v>14</v>
      </c>
      <c r="H104" s="195">
        <v>62910</v>
      </c>
      <c r="I104" s="196">
        <v>7963</v>
      </c>
      <c r="J104" s="226">
        <f>H104/I104</f>
        <v>7.900288835865879</v>
      </c>
      <c r="K104" s="260"/>
      <c r="L104" s="258"/>
      <c r="M104" s="259"/>
      <c r="N104" s="258"/>
    </row>
    <row r="105" spans="1:14" s="31" customFormat="1" ht="15">
      <c r="A105" s="257">
        <v>102</v>
      </c>
      <c r="B105" s="56" t="s">
        <v>422</v>
      </c>
      <c r="C105" s="41">
        <v>39563</v>
      </c>
      <c r="D105" s="46" t="s">
        <v>309</v>
      </c>
      <c r="E105" s="46" t="s">
        <v>412</v>
      </c>
      <c r="F105" s="43">
        <v>25</v>
      </c>
      <c r="G105" s="43">
        <v>5</v>
      </c>
      <c r="H105" s="195">
        <v>62717</v>
      </c>
      <c r="I105" s="196">
        <v>6787</v>
      </c>
      <c r="J105" s="226">
        <f>+H105/I105</f>
        <v>9.240754383379992</v>
      </c>
      <c r="K105" s="443"/>
      <c r="L105" s="258"/>
      <c r="M105" s="259"/>
      <c r="N105" s="258"/>
    </row>
    <row r="106" spans="1:14" s="31" customFormat="1" ht="15">
      <c r="A106" s="257">
        <v>103</v>
      </c>
      <c r="B106" s="56" t="s">
        <v>24</v>
      </c>
      <c r="C106" s="41">
        <v>39549</v>
      </c>
      <c r="D106" s="46" t="s">
        <v>126</v>
      </c>
      <c r="E106" s="46" t="s">
        <v>25</v>
      </c>
      <c r="F106" s="43">
        <v>4</v>
      </c>
      <c r="G106" s="43">
        <v>7</v>
      </c>
      <c r="H106" s="195">
        <v>62287.5</v>
      </c>
      <c r="I106" s="196">
        <v>8082</v>
      </c>
      <c r="J106" s="226">
        <f>H106/I106</f>
        <v>7.706941351150705</v>
      </c>
      <c r="K106" s="443"/>
      <c r="L106" s="258"/>
      <c r="M106" s="259"/>
      <c r="N106" s="258"/>
    </row>
    <row r="107" spans="1:14" s="31" customFormat="1" ht="15">
      <c r="A107" s="257">
        <v>104</v>
      </c>
      <c r="B107" s="56" t="s">
        <v>40</v>
      </c>
      <c r="C107" s="41">
        <v>39556</v>
      </c>
      <c r="D107" s="46" t="s">
        <v>309</v>
      </c>
      <c r="E107" s="46" t="s">
        <v>412</v>
      </c>
      <c r="F107" s="43">
        <v>48</v>
      </c>
      <c r="G107" s="43">
        <v>6</v>
      </c>
      <c r="H107" s="195">
        <v>56487</v>
      </c>
      <c r="I107" s="196">
        <v>7487</v>
      </c>
      <c r="J107" s="226">
        <f>+H107/I107</f>
        <v>7.544677440897556</v>
      </c>
      <c r="K107" s="443"/>
      <c r="L107" s="258"/>
      <c r="M107" s="259"/>
      <c r="N107" s="258"/>
    </row>
    <row r="108" spans="1:14" s="31" customFormat="1" ht="15">
      <c r="A108" s="257">
        <v>105</v>
      </c>
      <c r="B108" s="56" t="s">
        <v>204</v>
      </c>
      <c r="C108" s="41">
        <v>39451</v>
      </c>
      <c r="D108" s="46" t="s">
        <v>126</v>
      </c>
      <c r="E108" s="46" t="s">
        <v>402</v>
      </c>
      <c r="F108" s="43">
        <v>9</v>
      </c>
      <c r="G108" s="43">
        <v>8</v>
      </c>
      <c r="H108" s="195">
        <v>53535.5</v>
      </c>
      <c r="I108" s="196">
        <v>5186</v>
      </c>
      <c r="J108" s="226">
        <f>+H108/I108</f>
        <v>10.323081372927112</v>
      </c>
      <c r="K108" s="260"/>
      <c r="L108" s="258"/>
      <c r="M108" s="259"/>
      <c r="N108" s="258"/>
    </row>
    <row r="109" spans="1:14" s="31" customFormat="1" ht="15">
      <c r="A109" s="257">
        <v>106</v>
      </c>
      <c r="B109" s="56" t="s">
        <v>229</v>
      </c>
      <c r="C109" s="41">
        <v>39528</v>
      </c>
      <c r="D109" s="46" t="s">
        <v>126</v>
      </c>
      <c r="E109" s="46" t="s">
        <v>102</v>
      </c>
      <c r="F109" s="43">
        <v>17</v>
      </c>
      <c r="G109" s="43">
        <v>10</v>
      </c>
      <c r="H109" s="195">
        <v>53368</v>
      </c>
      <c r="I109" s="196">
        <v>8728</v>
      </c>
      <c r="J109" s="226">
        <f>H109/I109</f>
        <v>6.114573785517874</v>
      </c>
      <c r="K109" s="443">
        <v>1</v>
      </c>
      <c r="L109" s="258"/>
      <c r="M109" s="259"/>
      <c r="N109" s="258"/>
    </row>
    <row r="110" spans="1:14" s="31" customFormat="1" ht="15">
      <c r="A110" s="257">
        <v>107</v>
      </c>
      <c r="B110" s="56" t="s">
        <v>115</v>
      </c>
      <c r="C110" s="41">
        <v>39486</v>
      </c>
      <c r="D110" s="46" t="s">
        <v>262</v>
      </c>
      <c r="E110" s="46" t="s">
        <v>31</v>
      </c>
      <c r="F110" s="43">
        <v>11</v>
      </c>
      <c r="G110" s="43">
        <v>12</v>
      </c>
      <c r="H110" s="195">
        <f>30613+12599+2400.5+367.5+748+3281+1690+260+209+622+417+153</f>
        <v>53360</v>
      </c>
      <c r="I110" s="196">
        <f>2936+1336+250+31+93+609+312+49+41+98+88+29</f>
        <v>5872</v>
      </c>
      <c r="J110" s="226">
        <f>+H110/I110</f>
        <v>9.087193460490463</v>
      </c>
      <c r="K110" s="260"/>
      <c r="L110" s="258"/>
      <c r="M110" s="259"/>
      <c r="N110" s="258"/>
    </row>
    <row r="111" spans="1:14" s="31" customFormat="1" ht="15">
      <c r="A111" s="257">
        <v>108</v>
      </c>
      <c r="B111" s="56" t="s">
        <v>284</v>
      </c>
      <c r="C111" s="41">
        <v>39493</v>
      </c>
      <c r="D111" s="46" t="s">
        <v>262</v>
      </c>
      <c r="E111" s="46" t="s">
        <v>62</v>
      </c>
      <c r="F111" s="43">
        <v>28</v>
      </c>
      <c r="G111" s="43">
        <v>12</v>
      </c>
      <c r="H111" s="195">
        <f>27309+10410+701+1266+675+1622+214+2318+420+36+3076+285</f>
        <v>48332</v>
      </c>
      <c r="I111" s="196">
        <f>2886+1145+70+224+129+316+38+375+72+8+1026+57</f>
        <v>6346</v>
      </c>
      <c r="J111" s="226">
        <f>+H111/I111</f>
        <v>7.616136148755121</v>
      </c>
      <c r="K111" s="260"/>
      <c r="L111" s="258"/>
      <c r="M111" s="259"/>
      <c r="N111" s="258"/>
    </row>
    <row r="112" spans="1:14" s="31" customFormat="1" ht="15">
      <c r="A112" s="257">
        <v>109</v>
      </c>
      <c r="B112" s="56" t="s">
        <v>269</v>
      </c>
      <c r="C112" s="41">
        <v>39577</v>
      </c>
      <c r="D112" s="46" t="s">
        <v>262</v>
      </c>
      <c r="E112" s="46" t="s">
        <v>270</v>
      </c>
      <c r="F112" s="43">
        <v>30</v>
      </c>
      <c r="G112" s="43">
        <v>3</v>
      </c>
      <c r="H112" s="195">
        <f>28833+8997.5+7985</f>
        <v>45815.5</v>
      </c>
      <c r="I112" s="196">
        <f>3560+1419+1368</f>
        <v>6347</v>
      </c>
      <c r="J112" s="226">
        <f>H112/I112</f>
        <v>7.218449661257287</v>
      </c>
      <c r="K112" s="443">
        <v>1</v>
      </c>
      <c r="L112" s="258"/>
      <c r="M112" s="259"/>
      <c r="N112" s="258"/>
    </row>
    <row r="113" spans="1:14" s="31" customFormat="1" ht="15">
      <c r="A113" s="257">
        <v>110</v>
      </c>
      <c r="B113" s="56" t="s">
        <v>95</v>
      </c>
      <c r="C113" s="41">
        <v>39584</v>
      </c>
      <c r="D113" s="46" t="s">
        <v>261</v>
      </c>
      <c r="E113" s="46" t="s">
        <v>104</v>
      </c>
      <c r="F113" s="43">
        <v>38</v>
      </c>
      <c r="G113" s="43">
        <v>2</v>
      </c>
      <c r="H113" s="195">
        <v>43300</v>
      </c>
      <c r="I113" s="196">
        <v>6458</v>
      </c>
      <c r="J113" s="226">
        <f>+H113/I113</f>
        <v>6.704862186435429</v>
      </c>
      <c r="K113" s="443"/>
      <c r="L113" s="258"/>
      <c r="M113" s="259"/>
      <c r="N113" s="258"/>
    </row>
    <row r="114" spans="1:14" s="31" customFormat="1" ht="15">
      <c r="A114" s="257">
        <v>111</v>
      </c>
      <c r="B114" s="56" t="s">
        <v>230</v>
      </c>
      <c r="C114" s="41">
        <v>39528</v>
      </c>
      <c r="D114" s="46" t="s">
        <v>57</v>
      </c>
      <c r="E114" s="46" t="s">
        <v>275</v>
      </c>
      <c r="F114" s="43" t="s">
        <v>131</v>
      </c>
      <c r="G114" s="43" t="s">
        <v>212</v>
      </c>
      <c r="H114" s="195">
        <v>37787.02</v>
      </c>
      <c r="I114" s="196">
        <v>4617</v>
      </c>
      <c r="J114" s="226">
        <f>+H114/I114</f>
        <v>8.18432315356292</v>
      </c>
      <c r="K114" s="443"/>
      <c r="L114" s="258"/>
      <c r="M114" s="259"/>
      <c r="N114" s="258"/>
    </row>
    <row r="115" spans="1:14" s="31" customFormat="1" ht="15">
      <c r="A115" s="257">
        <v>112</v>
      </c>
      <c r="B115" s="56" t="s">
        <v>423</v>
      </c>
      <c r="C115" s="41">
        <v>39563</v>
      </c>
      <c r="D115" s="46" t="s">
        <v>234</v>
      </c>
      <c r="E115" s="46" t="s">
        <v>424</v>
      </c>
      <c r="F115" s="43">
        <v>13</v>
      </c>
      <c r="G115" s="43">
        <v>4</v>
      </c>
      <c r="H115" s="195">
        <v>34990</v>
      </c>
      <c r="I115" s="196">
        <v>3521</v>
      </c>
      <c r="J115" s="226">
        <f>+H115/I115</f>
        <v>9.937517750639023</v>
      </c>
      <c r="K115" s="260"/>
      <c r="L115" s="258"/>
      <c r="M115" s="259"/>
      <c r="N115" s="258"/>
    </row>
    <row r="116" spans="1:14" s="31" customFormat="1" ht="15">
      <c r="A116" s="257">
        <v>113</v>
      </c>
      <c r="B116" s="56" t="s">
        <v>26</v>
      </c>
      <c r="C116" s="41">
        <v>39549</v>
      </c>
      <c r="D116" s="46" t="s">
        <v>126</v>
      </c>
      <c r="E116" s="46" t="s">
        <v>27</v>
      </c>
      <c r="F116" s="43">
        <v>5</v>
      </c>
      <c r="G116" s="43">
        <v>7</v>
      </c>
      <c r="H116" s="195">
        <v>32950</v>
      </c>
      <c r="I116" s="196">
        <v>3521</v>
      </c>
      <c r="J116" s="226">
        <f>H116/I116</f>
        <v>9.358136892928146</v>
      </c>
      <c r="K116" s="443"/>
      <c r="L116" s="258"/>
      <c r="M116" s="259"/>
      <c r="N116" s="258"/>
    </row>
    <row r="117" spans="1:14" s="31" customFormat="1" ht="15">
      <c r="A117" s="257">
        <v>114</v>
      </c>
      <c r="B117" s="56" t="s">
        <v>365</v>
      </c>
      <c r="C117" s="41">
        <v>39507</v>
      </c>
      <c r="D117" s="46" t="s">
        <v>309</v>
      </c>
      <c r="E117" s="46" t="s">
        <v>309</v>
      </c>
      <c r="F117" s="43">
        <v>25</v>
      </c>
      <c r="G117" s="43">
        <v>11</v>
      </c>
      <c r="H117" s="195">
        <v>27769</v>
      </c>
      <c r="I117" s="196">
        <v>3033</v>
      </c>
      <c r="J117" s="226">
        <f>+H117/I117</f>
        <v>9.155621496867788</v>
      </c>
      <c r="K117" s="260"/>
      <c r="L117" s="258"/>
      <c r="M117" s="259"/>
      <c r="N117" s="258"/>
    </row>
    <row r="118" spans="1:14" s="31" customFormat="1" ht="15">
      <c r="A118" s="257">
        <v>115</v>
      </c>
      <c r="B118" s="56" t="s">
        <v>82</v>
      </c>
      <c r="C118" s="41">
        <v>39570</v>
      </c>
      <c r="D118" s="46" t="s">
        <v>126</v>
      </c>
      <c r="E118" s="46" t="s">
        <v>127</v>
      </c>
      <c r="F118" s="43">
        <v>9</v>
      </c>
      <c r="G118" s="43">
        <v>4</v>
      </c>
      <c r="H118" s="195">
        <v>27261</v>
      </c>
      <c r="I118" s="196">
        <v>3595</v>
      </c>
      <c r="J118" s="226">
        <f>H118/I118</f>
        <v>7.583031988873436</v>
      </c>
      <c r="K118" s="443"/>
      <c r="L118" s="258"/>
      <c r="M118" s="259"/>
      <c r="N118" s="258"/>
    </row>
    <row r="119" spans="1:14" s="31" customFormat="1" ht="15">
      <c r="A119" s="257">
        <v>116</v>
      </c>
      <c r="B119" s="56" t="s">
        <v>42</v>
      </c>
      <c r="C119" s="41">
        <v>39556</v>
      </c>
      <c r="D119" s="46" t="s">
        <v>57</v>
      </c>
      <c r="E119" s="46" t="s">
        <v>348</v>
      </c>
      <c r="F119" s="43" t="s">
        <v>213</v>
      </c>
      <c r="G119" s="43" t="s">
        <v>213</v>
      </c>
      <c r="H119" s="195">
        <v>25415</v>
      </c>
      <c r="I119" s="196">
        <v>2974</v>
      </c>
      <c r="J119" s="226">
        <f>+H119/I119</f>
        <v>8.545729657027572</v>
      </c>
      <c r="K119" s="443"/>
      <c r="L119" s="258"/>
      <c r="M119" s="259"/>
      <c r="N119" s="258"/>
    </row>
    <row r="120" spans="1:14" s="31" customFormat="1" ht="15">
      <c r="A120" s="257">
        <v>117</v>
      </c>
      <c r="B120" s="56" t="s">
        <v>347</v>
      </c>
      <c r="C120" s="41">
        <v>39500</v>
      </c>
      <c r="D120" s="46" t="s">
        <v>348</v>
      </c>
      <c r="E120" s="46" t="s">
        <v>349</v>
      </c>
      <c r="F120" s="43">
        <v>1</v>
      </c>
      <c r="G120" s="43">
        <v>11</v>
      </c>
      <c r="H120" s="195">
        <v>23552</v>
      </c>
      <c r="I120" s="196">
        <v>2462</v>
      </c>
      <c r="J120" s="226">
        <f>+H120/I120</f>
        <v>9.566206336311941</v>
      </c>
      <c r="K120" s="260"/>
      <c r="L120" s="258"/>
      <c r="M120" s="259"/>
      <c r="N120" s="258"/>
    </row>
    <row r="121" spans="1:14" s="31" customFormat="1" ht="15">
      <c r="A121" s="257">
        <v>118</v>
      </c>
      <c r="B121" s="56" t="s">
        <v>388</v>
      </c>
      <c r="C121" s="41">
        <v>39465</v>
      </c>
      <c r="D121" s="46" t="s">
        <v>126</v>
      </c>
      <c r="E121" s="46" t="s">
        <v>105</v>
      </c>
      <c r="F121" s="43">
        <v>5</v>
      </c>
      <c r="G121" s="43">
        <v>13</v>
      </c>
      <c r="H121" s="195">
        <v>21066.5</v>
      </c>
      <c r="I121" s="196">
        <v>3747</v>
      </c>
      <c r="J121" s="226">
        <f>+H121/I121</f>
        <v>5.622231118227916</v>
      </c>
      <c r="K121" s="260"/>
      <c r="L121" s="258"/>
      <c r="M121" s="259"/>
      <c r="N121" s="258"/>
    </row>
    <row r="122" spans="1:14" s="31" customFormat="1" ht="15">
      <c r="A122" s="257">
        <v>119</v>
      </c>
      <c r="B122" s="56" t="s">
        <v>83</v>
      </c>
      <c r="C122" s="41">
        <v>39570</v>
      </c>
      <c r="D122" s="46" t="s">
        <v>256</v>
      </c>
      <c r="E122" s="46" t="s">
        <v>84</v>
      </c>
      <c r="F122" s="43">
        <v>3</v>
      </c>
      <c r="G122" s="43">
        <v>4</v>
      </c>
      <c r="H122" s="195">
        <f>13791.5+0+2041.5+2412.5+900</f>
        <v>19145.5</v>
      </c>
      <c r="I122" s="196">
        <f>1390+0+251+332+173</f>
        <v>2146</v>
      </c>
      <c r="J122" s="226">
        <f>H122/I122</f>
        <v>8.92148182665424</v>
      </c>
      <c r="K122" s="443">
        <v>1</v>
      </c>
      <c r="L122" s="258"/>
      <c r="M122" s="259"/>
      <c r="N122" s="258"/>
    </row>
    <row r="123" spans="1:14" s="31" customFormat="1" ht="15">
      <c r="A123" s="257">
        <v>120</v>
      </c>
      <c r="B123" s="56" t="s">
        <v>391</v>
      </c>
      <c r="C123" s="41">
        <v>39584</v>
      </c>
      <c r="D123" s="46" t="s">
        <v>348</v>
      </c>
      <c r="E123" s="46" t="s">
        <v>6</v>
      </c>
      <c r="F123" s="43">
        <v>2</v>
      </c>
      <c r="G123" s="43">
        <v>2</v>
      </c>
      <c r="H123" s="195">
        <v>17014</v>
      </c>
      <c r="I123" s="196">
        <v>1872</v>
      </c>
      <c r="J123" s="226">
        <f>H123/I123</f>
        <v>9.088675213675213</v>
      </c>
      <c r="K123" s="443"/>
      <c r="L123" s="258"/>
      <c r="M123" s="259"/>
      <c r="N123" s="258"/>
    </row>
    <row r="124" spans="1:14" s="31" customFormat="1" ht="15">
      <c r="A124" s="257">
        <v>121</v>
      </c>
      <c r="B124" s="56" t="s">
        <v>101</v>
      </c>
      <c r="C124" s="41">
        <v>39563</v>
      </c>
      <c r="D124" s="46" t="s">
        <v>425</v>
      </c>
      <c r="E124" s="46" t="s">
        <v>127</v>
      </c>
      <c r="F124" s="43">
        <v>3</v>
      </c>
      <c r="G124" s="43">
        <v>5</v>
      </c>
      <c r="H124" s="195">
        <v>16874</v>
      </c>
      <c r="I124" s="196">
        <v>1478</v>
      </c>
      <c r="J124" s="226">
        <v>7</v>
      </c>
      <c r="K124" s="443"/>
      <c r="L124" s="258"/>
      <c r="M124" s="259"/>
      <c r="N124" s="258"/>
    </row>
    <row r="125" spans="1:14" s="31" customFormat="1" ht="15">
      <c r="A125" s="257">
        <v>122</v>
      </c>
      <c r="B125" s="56" t="s">
        <v>271</v>
      </c>
      <c r="C125" s="41">
        <v>39577</v>
      </c>
      <c r="D125" s="46" t="s">
        <v>57</v>
      </c>
      <c r="E125" s="46" t="s">
        <v>272</v>
      </c>
      <c r="F125" s="43" t="s">
        <v>131</v>
      </c>
      <c r="G125" s="43" t="s">
        <v>319</v>
      </c>
      <c r="H125" s="195">
        <v>16474.5</v>
      </c>
      <c r="I125" s="196">
        <v>1610</v>
      </c>
      <c r="J125" s="226">
        <f>+H125/I125</f>
        <v>10.232608695652173</v>
      </c>
      <c r="K125" s="443"/>
      <c r="L125" s="258"/>
      <c r="M125" s="259"/>
      <c r="N125" s="258"/>
    </row>
    <row r="126" spans="1:14" s="31" customFormat="1" ht="15">
      <c r="A126" s="257">
        <v>123</v>
      </c>
      <c r="B126" s="56" t="s">
        <v>382</v>
      </c>
      <c r="C126" s="41">
        <v>39514</v>
      </c>
      <c r="D126" s="46" t="s">
        <v>262</v>
      </c>
      <c r="E126" s="46" t="s">
        <v>200</v>
      </c>
      <c r="F126" s="43">
        <v>15</v>
      </c>
      <c r="G126" s="43">
        <v>3</v>
      </c>
      <c r="H126" s="195">
        <f>10866+4069.5+177</f>
        <v>15112.5</v>
      </c>
      <c r="I126" s="196">
        <f>1624+725+32</f>
        <v>2381</v>
      </c>
      <c r="J126" s="226">
        <f>+H126/I126</f>
        <v>6.347123057538849</v>
      </c>
      <c r="K126" s="260"/>
      <c r="L126" s="258"/>
      <c r="M126" s="259"/>
      <c r="N126" s="258"/>
    </row>
    <row r="127" spans="1:14" s="31" customFormat="1" ht="15">
      <c r="A127" s="257">
        <v>124</v>
      </c>
      <c r="B127" s="56" t="s">
        <v>273</v>
      </c>
      <c r="C127" s="41">
        <v>39577</v>
      </c>
      <c r="D127" s="46" t="s">
        <v>126</v>
      </c>
      <c r="E127" s="46" t="s">
        <v>7</v>
      </c>
      <c r="F127" s="43">
        <v>4</v>
      </c>
      <c r="G127" s="43">
        <v>3</v>
      </c>
      <c r="H127" s="195">
        <v>14831</v>
      </c>
      <c r="I127" s="196">
        <v>1646</v>
      </c>
      <c r="J127" s="226">
        <f>H127/I127</f>
        <v>9.010328068043743</v>
      </c>
      <c r="K127" s="443"/>
      <c r="L127" s="258"/>
      <c r="M127" s="259"/>
      <c r="N127" s="258"/>
    </row>
    <row r="128" spans="1:14" s="31" customFormat="1" ht="15">
      <c r="A128" s="257">
        <v>125</v>
      </c>
      <c r="B128" s="56" t="s">
        <v>430</v>
      </c>
      <c r="C128" s="41">
        <v>39542</v>
      </c>
      <c r="D128" s="46" t="s">
        <v>126</v>
      </c>
      <c r="E128" s="46" t="s">
        <v>127</v>
      </c>
      <c r="F128" s="43">
        <v>1</v>
      </c>
      <c r="G128" s="43">
        <v>8</v>
      </c>
      <c r="H128" s="195">
        <v>13666</v>
      </c>
      <c r="I128" s="196">
        <v>1403</v>
      </c>
      <c r="J128" s="226">
        <f>H128/I128</f>
        <v>9.74055595153243</v>
      </c>
      <c r="K128" s="443"/>
      <c r="L128" s="258"/>
      <c r="M128" s="259"/>
      <c r="N128" s="258"/>
    </row>
    <row r="129" spans="1:14" s="31" customFormat="1" ht="15">
      <c r="A129" s="257">
        <v>126</v>
      </c>
      <c r="B129" s="56" t="s">
        <v>274</v>
      </c>
      <c r="C129" s="41">
        <v>39577</v>
      </c>
      <c r="D129" s="46" t="s">
        <v>126</v>
      </c>
      <c r="E129" s="46" t="s">
        <v>210</v>
      </c>
      <c r="F129" s="43">
        <v>1</v>
      </c>
      <c r="G129" s="43">
        <v>3</v>
      </c>
      <c r="H129" s="195">
        <v>13299</v>
      </c>
      <c r="I129" s="196">
        <v>2178</v>
      </c>
      <c r="J129" s="226">
        <f>H129/I129</f>
        <v>6.106060606060606</v>
      </c>
      <c r="K129" s="443"/>
      <c r="L129" s="258"/>
      <c r="M129" s="259"/>
      <c r="N129" s="258"/>
    </row>
    <row r="130" spans="1:14" s="31" customFormat="1" ht="15">
      <c r="A130" s="257">
        <v>127</v>
      </c>
      <c r="B130" s="56" t="s">
        <v>383</v>
      </c>
      <c r="C130" s="41">
        <v>39514</v>
      </c>
      <c r="D130" s="46" t="s">
        <v>126</v>
      </c>
      <c r="E130" s="46" t="s">
        <v>105</v>
      </c>
      <c r="F130" s="43">
        <v>5</v>
      </c>
      <c r="G130" s="43">
        <v>9</v>
      </c>
      <c r="H130" s="195">
        <v>12567.5</v>
      </c>
      <c r="I130" s="196">
        <v>2173</v>
      </c>
      <c r="J130" s="226">
        <f>+H130/I130</f>
        <v>5.783479061205706</v>
      </c>
      <c r="K130" s="260"/>
      <c r="L130" s="258"/>
      <c r="M130" s="259"/>
      <c r="N130" s="258"/>
    </row>
    <row r="131" spans="1:14" s="31" customFormat="1" ht="15">
      <c r="A131" s="257">
        <v>128</v>
      </c>
      <c r="B131" s="56" t="s">
        <v>340</v>
      </c>
      <c r="C131" s="41">
        <v>39451</v>
      </c>
      <c r="D131" s="46" t="s">
        <v>57</v>
      </c>
      <c r="E131" s="46" t="s">
        <v>341</v>
      </c>
      <c r="F131" s="43" t="s">
        <v>129</v>
      </c>
      <c r="G131" s="43" t="s">
        <v>129</v>
      </c>
      <c r="H131" s="195">
        <v>9735.9</v>
      </c>
      <c r="I131" s="196">
        <v>1311</v>
      </c>
      <c r="J131" s="226">
        <f>+H131/I131</f>
        <v>7.4263157894736835</v>
      </c>
      <c r="K131" s="260">
        <v>1</v>
      </c>
      <c r="L131" s="258"/>
      <c r="M131" s="259"/>
      <c r="N131" s="258"/>
    </row>
    <row r="132" spans="1:14" s="31" customFormat="1" ht="15">
      <c r="A132" s="257">
        <v>129</v>
      </c>
      <c r="B132" s="56" t="s">
        <v>366</v>
      </c>
      <c r="C132" s="41">
        <v>39507</v>
      </c>
      <c r="D132" s="46" t="s">
        <v>126</v>
      </c>
      <c r="E132" s="46" t="s">
        <v>367</v>
      </c>
      <c r="F132" s="43">
        <v>5</v>
      </c>
      <c r="G132" s="43">
        <v>10</v>
      </c>
      <c r="H132" s="195">
        <v>9474</v>
      </c>
      <c r="I132" s="196">
        <v>1815</v>
      </c>
      <c r="J132" s="226">
        <f>H132/I132</f>
        <v>5.219834710743801</v>
      </c>
      <c r="K132" s="260">
        <v>1</v>
      </c>
      <c r="L132" s="258"/>
      <c r="M132" s="259"/>
      <c r="N132" s="258"/>
    </row>
    <row r="133" spans="1:14" s="31" customFormat="1" ht="15.75" thickBot="1">
      <c r="A133" s="257">
        <v>130</v>
      </c>
      <c r="B133" s="132" t="s">
        <v>85</v>
      </c>
      <c r="C133" s="162">
        <v>39570</v>
      </c>
      <c r="D133" s="283" t="s">
        <v>261</v>
      </c>
      <c r="E133" s="283" t="s">
        <v>360</v>
      </c>
      <c r="F133" s="133">
        <v>2</v>
      </c>
      <c r="G133" s="133">
        <v>2</v>
      </c>
      <c r="H133" s="229">
        <v>9039</v>
      </c>
      <c r="I133" s="230">
        <v>943</v>
      </c>
      <c r="J133" s="354">
        <f>+H133/I133</f>
        <v>9.585365853658537</v>
      </c>
      <c r="K133" s="443"/>
      <c r="L133" s="258"/>
      <c r="M133" s="259"/>
      <c r="N133" s="258"/>
    </row>
    <row r="134" spans="1:14" s="49" customFormat="1" ht="15">
      <c r="A134" s="465" t="s">
        <v>257</v>
      </c>
      <c r="B134" s="465"/>
      <c r="C134" s="53"/>
      <c r="D134" s="53"/>
      <c r="E134" s="53"/>
      <c r="F134" s="54">
        <f>SUM(F4:F133)</f>
        <v>6086</v>
      </c>
      <c r="G134" s="53"/>
      <c r="H134" s="130">
        <f>SUM(H4:H133)</f>
        <v>114453115.1</v>
      </c>
      <c r="I134" s="131">
        <f>SUM(I4:I133)</f>
        <v>15335176.4</v>
      </c>
      <c r="J134" s="179"/>
      <c r="K134" s="69"/>
      <c r="L134" s="66"/>
      <c r="M134" s="69"/>
      <c r="N134" s="66"/>
    </row>
    <row r="135" spans="1:10" ht="12.75">
      <c r="A135" s="175"/>
      <c r="B135" s="176"/>
      <c r="C135" s="177"/>
      <c r="D135" s="177"/>
      <c r="E135" s="177"/>
      <c r="F135" s="177"/>
      <c r="G135" s="177"/>
      <c r="H135" s="185"/>
      <c r="I135" s="186"/>
      <c r="J135" s="178"/>
    </row>
    <row r="136" spans="8:9" ht="12.75">
      <c r="H136" s="187"/>
      <c r="I136" s="188"/>
    </row>
    <row r="144" spans="2:16" ht="15">
      <c r="B144" s="180"/>
      <c r="C144" s="181"/>
      <c r="D144" s="182"/>
      <c r="E144" s="182"/>
      <c r="F144" s="183"/>
      <c r="G144" s="183"/>
      <c r="H144" s="191"/>
      <c r="I144" s="192"/>
      <c r="J144" s="184"/>
      <c r="K144" s="306"/>
      <c r="L144" s="32"/>
      <c r="M144" s="32"/>
      <c r="N144" s="32"/>
      <c r="O144" s="32"/>
      <c r="P144" s="32"/>
    </row>
  </sheetData>
  <sheetProtection/>
  <mergeCells count="10">
    <mergeCell ref="J2:J3"/>
    <mergeCell ref="A1:J1"/>
    <mergeCell ref="F2:F3"/>
    <mergeCell ref="E2:E3"/>
    <mergeCell ref="A134:B134"/>
    <mergeCell ref="B2:B3"/>
    <mergeCell ref="C2:C3"/>
    <mergeCell ref="D2:D3"/>
    <mergeCell ref="G2:G3"/>
    <mergeCell ref="H2:I2"/>
  </mergeCells>
  <printOptions/>
  <pageMargins left="0.87" right="0.58" top="0.63" bottom="0.76" header="0.11811023622047245" footer="0.5"/>
  <pageSetup orientation="portrait" paperSize="9" scale="80"/>
  <ignoredErrors>
    <ignoredError sqref="L26:L53 L54:L103 L15:L25 J7:K107 J109:J132" formula="1"/>
    <ignoredError sqref="H18:H101 G11:G17 G102:G105 H11:H17 H102:H105 G18:G101 F18:F101 F114:H131" numberStoredAsText="1"/>
  </ignoredErrors>
</worksheet>
</file>

<file path=xl/worksheets/sheet3.xml><?xml version="1.0" encoding="utf-8"?>
<worksheet xmlns="http://schemas.openxmlformats.org/spreadsheetml/2006/main" xmlns:r="http://schemas.openxmlformats.org/officeDocument/2006/relationships">
  <dimension ref="A1:P519"/>
  <sheetViews>
    <sheetView zoomScale="90" zoomScaleNormal="90" zoomScalePageLayoutView="0" workbookViewId="0" topLeftCell="A1">
      <selection activeCell="B2" sqref="B2:B3"/>
    </sheetView>
  </sheetViews>
  <sheetFormatPr defaultColWidth="4.00390625" defaultRowHeight="12.75"/>
  <cols>
    <col min="1" max="1" width="3.8515625" style="0" bestFit="1" customWidth="1"/>
    <col min="2" max="2" width="37.28125" style="0" bestFit="1" customWidth="1"/>
    <col min="3" max="3" width="8.00390625" style="82" bestFit="1" customWidth="1"/>
    <col min="4" max="4" width="11.421875" style="0" bestFit="1" customWidth="1"/>
    <col min="5" max="5" width="17.7109375" style="0" bestFit="1" customWidth="1"/>
    <col min="6" max="6" width="6.140625" style="172" bestFit="1" customWidth="1"/>
    <col min="7" max="7" width="8.140625" style="173" bestFit="1" customWidth="1"/>
    <col min="8" max="8" width="10.7109375" style="82" customWidth="1"/>
    <col min="9" max="9" width="15.7109375" style="337" customWidth="1"/>
    <col min="10" max="10" width="10.28125" style="338" customWidth="1"/>
    <col min="11" max="11" width="13.140625" style="284" bestFit="1" customWidth="1"/>
    <col min="12" max="12" width="6.8515625" style="290" bestFit="1" customWidth="1"/>
    <col min="13" max="13" width="14.421875" style="285" customWidth="1"/>
    <col min="14" max="14" width="10.421875" style="284" bestFit="1" customWidth="1"/>
    <col min="15" max="15" width="6.8515625" style="290" bestFit="1" customWidth="1"/>
    <col min="16" max="16" width="2.28125" style="250" bestFit="1" customWidth="1"/>
  </cols>
  <sheetData>
    <row r="1" spans="1:15" ht="36" customHeight="1" thickBot="1">
      <c r="A1" s="477" t="s">
        <v>0</v>
      </c>
      <c r="B1" s="478"/>
      <c r="C1" s="478"/>
      <c r="D1" s="478"/>
      <c r="E1" s="478"/>
      <c r="F1" s="478"/>
      <c r="G1" s="478"/>
      <c r="H1" s="479"/>
      <c r="I1" s="479"/>
      <c r="J1" s="480"/>
      <c r="K1" s="479"/>
      <c r="L1" s="479"/>
      <c r="M1" s="479"/>
      <c r="N1" s="479"/>
      <c r="O1" s="479"/>
    </row>
    <row r="2" spans="1:16" s="163" customFormat="1" ht="15" customHeight="1">
      <c r="A2" s="165"/>
      <c r="B2" s="482" t="s">
        <v>134</v>
      </c>
      <c r="C2" s="484" t="s">
        <v>135</v>
      </c>
      <c r="D2" s="474" t="s">
        <v>259</v>
      </c>
      <c r="E2" s="474" t="s">
        <v>258</v>
      </c>
      <c r="F2" s="476" t="s">
        <v>136</v>
      </c>
      <c r="G2" s="476" t="s">
        <v>143</v>
      </c>
      <c r="H2" s="488" t="s">
        <v>145</v>
      </c>
      <c r="I2" s="490" t="s">
        <v>137</v>
      </c>
      <c r="J2" s="490"/>
      <c r="K2" s="490"/>
      <c r="L2" s="490"/>
      <c r="M2" s="491" t="s">
        <v>138</v>
      </c>
      <c r="N2" s="491"/>
      <c r="O2" s="492"/>
      <c r="P2" s="174"/>
    </row>
    <row r="3" spans="1:16" s="163" customFormat="1" ht="26.25" thickBot="1">
      <c r="A3" s="166"/>
      <c r="B3" s="483"/>
      <c r="C3" s="485"/>
      <c r="D3" s="475"/>
      <c r="E3" s="475"/>
      <c r="F3" s="475"/>
      <c r="G3" s="475"/>
      <c r="H3" s="489"/>
      <c r="I3" s="252" t="s">
        <v>139</v>
      </c>
      <c r="J3" s="253" t="s">
        <v>140</v>
      </c>
      <c r="K3" s="253" t="s">
        <v>403</v>
      </c>
      <c r="L3" s="254" t="s">
        <v>141</v>
      </c>
      <c r="M3" s="255" t="s">
        <v>139</v>
      </c>
      <c r="N3" s="253" t="s">
        <v>140</v>
      </c>
      <c r="O3" s="256" t="s">
        <v>142</v>
      </c>
      <c r="P3" s="174"/>
    </row>
    <row r="4" spans="1:16" ht="15">
      <c r="A4" s="91">
        <v>1</v>
      </c>
      <c r="B4" s="119" t="s">
        <v>311</v>
      </c>
      <c r="C4" s="51">
        <v>39430</v>
      </c>
      <c r="D4" s="120" t="s">
        <v>261</v>
      </c>
      <c r="E4" s="120" t="s">
        <v>107</v>
      </c>
      <c r="F4" s="121">
        <v>242</v>
      </c>
      <c r="G4" s="121">
        <v>185</v>
      </c>
      <c r="H4" s="121">
        <v>4</v>
      </c>
      <c r="I4" s="152">
        <v>1431289</v>
      </c>
      <c r="J4" s="153">
        <v>188081</v>
      </c>
      <c r="K4" s="154">
        <f>J4/G4</f>
        <v>1016.6540540540541</v>
      </c>
      <c r="L4" s="155">
        <f>+I4/J4</f>
        <v>7.609960602081018</v>
      </c>
      <c r="M4" s="156">
        <v>13067700</v>
      </c>
      <c r="N4" s="154">
        <v>1676072</v>
      </c>
      <c r="O4" s="157">
        <f>+M4/N4</f>
        <v>7.79662210215313</v>
      </c>
      <c r="P4" s="336"/>
    </row>
    <row r="5" spans="1:16" ht="15">
      <c r="A5" s="91">
        <v>2</v>
      </c>
      <c r="B5" s="56" t="s">
        <v>226</v>
      </c>
      <c r="C5" s="41">
        <v>39437</v>
      </c>
      <c r="D5" s="87" t="s">
        <v>261</v>
      </c>
      <c r="E5" s="87" t="s">
        <v>223</v>
      </c>
      <c r="F5" s="43">
        <v>137</v>
      </c>
      <c r="G5" s="43">
        <v>185</v>
      </c>
      <c r="H5" s="43">
        <v>2</v>
      </c>
      <c r="I5" s="86">
        <v>1396135</v>
      </c>
      <c r="J5" s="95">
        <v>158936</v>
      </c>
      <c r="K5" s="134">
        <f>J5/G5</f>
        <v>859.1135135135136</v>
      </c>
      <c r="L5" s="135">
        <f>+I5/J5</f>
        <v>8.784259072834349</v>
      </c>
      <c r="M5" s="136">
        <v>1396135</v>
      </c>
      <c r="N5" s="134">
        <v>158936</v>
      </c>
      <c r="O5" s="158">
        <f>+M5/N5</f>
        <v>8.784259072834349</v>
      </c>
      <c r="P5" s="336"/>
    </row>
    <row r="6" spans="1:16" ht="15.75" thickBot="1">
      <c r="A6" s="268">
        <v>3</v>
      </c>
      <c r="B6" s="132" t="s">
        <v>311</v>
      </c>
      <c r="C6" s="97">
        <v>39430</v>
      </c>
      <c r="D6" s="228" t="s">
        <v>261</v>
      </c>
      <c r="E6" s="228" t="s">
        <v>177</v>
      </c>
      <c r="F6" s="133">
        <v>242</v>
      </c>
      <c r="G6" s="133">
        <v>185</v>
      </c>
      <c r="H6" s="133">
        <v>5</v>
      </c>
      <c r="I6" s="229">
        <v>920357</v>
      </c>
      <c r="J6" s="230">
        <v>125060</v>
      </c>
      <c r="K6" s="231">
        <f>J6/G6</f>
        <v>676</v>
      </c>
      <c r="L6" s="232">
        <f>+I6/J6</f>
        <v>7.35932352470814</v>
      </c>
      <c r="M6" s="233">
        <v>13988666</v>
      </c>
      <c r="N6" s="231">
        <v>1800857</v>
      </c>
      <c r="O6" s="234">
        <f>+M6/N6</f>
        <v>7.767782783419228</v>
      </c>
      <c r="P6" s="336">
        <v>1</v>
      </c>
    </row>
    <row r="7" spans="1:16" ht="15">
      <c r="A7" s="91">
        <v>4</v>
      </c>
      <c r="B7" s="235" t="s">
        <v>311</v>
      </c>
      <c r="C7" s="194">
        <v>39430</v>
      </c>
      <c r="D7" s="236" t="s">
        <v>261</v>
      </c>
      <c r="E7" s="236" t="s">
        <v>177</v>
      </c>
      <c r="F7" s="237">
        <v>242</v>
      </c>
      <c r="G7" s="237">
        <v>185</v>
      </c>
      <c r="H7" s="237">
        <v>6</v>
      </c>
      <c r="I7" s="238">
        <v>861447</v>
      </c>
      <c r="J7" s="239">
        <v>117552</v>
      </c>
      <c r="K7" s="240">
        <f>J7/G7</f>
        <v>635.4162162162162</v>
      </c>
      <c r="L7" s="241">
        <f>+I7/J7</f>
        <v>7.328220702327481</v>
      </c>
      <c r="M7" s="242">
        <v>14845690</v>
      </c>
      <c r="N7" s="240">
        <v>1918024</v>
      </c>
      <c r="O7" s="243">
        <f>+M7/N7</f>
        <v>7.7400960571921935</v>
      </c>
      <c r="P7" s="336"/>
    </row>
    <row r="8" spans="1:16" ht="15">
      <c r="A8" s="91">
        <v>5</v>
      </c>
      <c r="B8" s="261" t="s">
        <v>323</v>
      </c>
      <c r="C8" s="245">
        <v>39437</v>
      </c>
      <c r="D8" s="262" t="s">
        <v>262</v>
      </c>
      <c r="E8" s="262" t="s">
        <v>324</v>
      </c>
      <c r="F8" s="246">
        <v>156</v>
      </c>
      <c r="G8" s="263">
        <v>156</v>
      </c>
      <c r="H8" s="263">
        <v>3</v>
      </c>
      <c r="I8" s="264">
        <v>721829.5</v>
      </c>
      <c r="J8" s="265">
        <v>97288</v>
      </c>
      <c r="K8" s="247">
        <f>IF(I8&lt;&gt;0,J8/G8,"")</f>
        <v>623.6410256410256</v>
      </c>
      <c r="L8" s="248">
        <f>IF(I8&lt;&gt;0,I8/J8,"")</f>
        <v>7.419512170051805</v>
      </c>
      <c r="M8" s="266">
        <f>1780127+1212579.5+721829.5</f>
        <v>3714536</v>
      </c>
      <c r="N8" s="244">
        <f>240776+165120+97288</f>
        <v>503184</v>
      </c>
      <c r="O8" s="249">
        <f>IF(M8&lt;&gt;0,M8/N8,"")</f>
        <v>7.382063022671627</v>
      </c>
      <c r="P8" s="336"/>
    </row>
    <row r="9" spans="1:16" ht="15">
      <c r="A9" s="91">
        <v>6</v>
      </c>
      <c r="B9" s="55" t="s">
        <v>336</v>
      </c>
      <c r="C9" s="41">
        <v>39402</v>
      </c>
      <c r="D9" s="44" t="s">
        <v>256</v>
      </c>
      <c r="E9" s="44" t="s">
        <v>337</v>
      </c>
      <c r="F9" s="63">
        <v>165</v>
      </c>
      <c r="G9" s="63">
        <v>165</v>
      </c>
      <c r="H9" s="63">
        <v>8</v>
      </c>
      <c r="I9" s="94">
        <v>635116</v>
      </c>
      <c r="J9" s="117">
        <v>92002</v>
      </c>
      <c r="K9" s="137">
        <f>IF(I9&lt;&gt;0,J9/G9,"")</f>
        <v>557.5878787878788</v>
      </c>
      <c r="L9" s="138">
        <f>IF(I9&lt;&gt;0,I9/J9,"")</f>
        <v>6.90328471120193</v>
      </c>
      <c r="M9" s="139">
        <f>12736195.5+635116</f>
        <v>13371311.5</v>
      </c>
      <c r="N9" s="134">
        <f>271934+322135+339926+262189+150199+208899+146862+92002</f>
        <v>1794146</v>
      </c>
      <c r="O9" s="159">
        <f>IF(M9&lt;&gt;0,M9/N9,"")</f>
        <v>7.452744369744714</v>
      </c>
      <c r="P9" s="336"/>
    </row>
    <row r="10" spans="1:16" ht="15">
      <c r="A10" s="91">
        <v>7</v>
      </c>
      <c r="B10" s="56" t="s">
        <v>323</v>
      </c>
      <c r="C10" s="41">
        <v>39437</v>
      </c>
      <c r="D10" s="46" t="s">
        <v>262</v>
      </c>
      <c r="E10" s="46" t="s">
        <v>324</v>
      </c>
      <c r="F10" s="63">
        <v>156</v>
      </c>
      <c r="G10" s="43">
        <v>155</v>
      </c>
      <c r="H10" s="43">
        <v>4</v>
      </c>
      <c r="I10" s="195">
        <v>404706.5</v>
      </c>
      <c r="J10" s="196">
        <v>55998</v>
      </c>
      <c r="K10" s="197">
        <f>J10/G10</f>
        <v>361.2774193548387</v>
      </c>
      <c r="L10" s="198">
        <f>+I10/J10</f>
        <v>7.227159898567806</v>
      </c>
      <c r="M10" s="199">
        <f>1780127+1212579.5+721829.5+404706.5</f>
        <v>4119242.5</v>
      </c>
      <c r="N10" s="197">
        <f>240776+165120+97288+55998</f>
        <v>559182</v>
      </c>
      <c r="O10" s="223">
        <f>+M10/N10</f>
        <v>7.366550604275531</v>
      </c>
      <c r="P10" s="336"/>
    </row>
    <row r="11" spans="1:16" ht="15">
      <c r="A11" s="91">
        <v>8</v>
      </c>
      <c r="B11" s="55" t="s">
        <v>336</v>
      </c>
      <c r="C11" s="41">
        <v>39402</v>
      </c>
      <c r="D11" s="44" t="s">
        <v>256</v>
      </c>
      <c r="E11" s="44" t="s">
        <v>337</v>
      </c>
      <c r="F11" s="63">
        <v>165</v>
      </c>
      <c r="G11" s="63">
        <v>113</v>
      </c>
      <c r="H11" s="63">
        <v>9</v>
      </c>
      <c r="I11" s="200">
        <v>336718.5</v>
      </c>
      <c r="J11" s="201">
        <v>47008</v>
      </c>
      <c r="K11" s="202">
        <f>IF(I11&lt;&gt;0,J11/G11,"")</f>
        <v>416</v>
      </c>
      <c r="L11" s="203">
        <f>IF(I11&lt;&gt;0,I11/J11,"")</f>
        <v>7.163004169503063</v>
      </c>
      <c r="M11" s="204">
        <f>12736195.5+635116+336718.5</f>
        <v>13708030</v>
      </c>
      <c r="N11" s="197">
        <f>271934+322135+339926+262189+150199+208899+146862+92002+47008</f>
        <v>1841154</v>
      </c>
      <c r="O11" s="224">
        <f>IF(M11&lt;&gt;0,M11/N11,"")</f>
        <v>7.445346777075682</v>
      </c>
      <c r="P11" s="336"/>
    </row>
    <row r="12" spans="1:16" ht="15">
      <c r="A12" s="91">
        <v>9</v>
      </c>
      <c r="B12" s="56" t="s">
        <v>311</v>
      </c>
      <c r="C12" s="42">
        <v>39430</v>
      </c>
      <c r="D12" s="87" t="s">
        <v>261</v>
      </c>
      <c r="E12" s="87" t="s">
        <v>107</v>
      </c>
      <c r="F12" s="43">
        <v>242</v>
      </c>
      <c r="G12" s="43">
        <v>185</v>
      </c>
      <c r="H12" s="43">
        <v>7</v>
      </c>
      <c r="I12" s="195">
        <v>299093</v>
      </c>
      <c r="J12" s="196">
        <v>42918</v>
      </c>
      <c r="K12" s="197">
        <f>J12/G12</f>
        <v>231.98918918918918</v>
      </c>
      <c r="L12" s="198">
        <f>+I12/J12</f>
        <v>6.9689407707721704</v>
      </c>
      <c r="M12" s="199">
        <v>15148054</v>
      </c>
      <c r="N12" s="197">
        <v>1961195</v>
      </c>
      <c r="O12" s="226">
        <f>+M12/N12</f>
        <v>7.7238897712874035</v>
      </c>
      <c r="P12" s="260"/>
    </row>
    <row r="13" spans="1:16" ht="15">
      <c r="A13" s="91">
        <v>10</v>
      </c>
      <c r="B13" s="56" t="s">
        <v>313</v>
      </c>
      <c r="C13" s="42">
        <v>39430</v>
      </c>
      <c r="D13" s="87" t="s">
        <v>261</v>
      </c>
      <c r="E13" s="87" t="s">
        <v>104</v>
      </c>
      <c r="F13" s="43">
        <v>137</v>
      </c>
      <c r="G13" s="43">
        <v>137</v>
      </c>
      <c r="H13" s="43">
        <v>4</v>
      </c>
      <c r="I13" s="86">
        <v>273087</v>
      </c>
      <c r="J13" s="95">
        <v>37482</v>
      </c>
      <c r="K13" s="134">
        <f>J13/G13</f>
        <v>273.59124087591243</v>
      </c>
      <c r="L13" s="135">
        <f>+I13/J13</f>
        <v>7.285817192252281</v>
      </c>
      <c r="M13" s="136">
        <v>3140871</v>
      </c>
      <c r="N13" s="134">
        <v>386657</v>
      </c>
      <c r="O13" s="158">
        <f>+M13/N13</f>
        <v>8.123145320012311</v>
      </c>
      <c r="P13" s="260"/>
    </row>
    <row r="14" spans="1:16" ht="15">
      <c r="A14" s="91">
        <v>11</v>
      </c>
      <c r="B14" s="55" t="s">
        <v>336</v>
      </c>
      <c r="C14" s="41">
        <v>39402</v>
      </c>
      <c r="D14" s="44" t="s">
        <v>256</v>
      </c>
      <c r="E14" s="44" t="s">
        <v>337</v>
      </c>
      <c r="F14" s="63">
        <v>165</v>
      </c>
      <c r="G14" s="63">
        <v>94</v>
      </c>
      <c r="H14" s="63">
        <v>10</v>
      </c>
      <c r="I14" s="200">
        <v>243017</v>
      </c>
      <c r="J14" s="201">
        <v>33955</v>
      </c>
      <c r="K14" s="202">
        <f>IF(I14&lt;&gt;0,J14/G14,"")</f>
        <v>361.22340425531917</v>
      </c>
      <c r="L14" s="203">
        <f>IF(I14&lt;&gt;0,I14/J14,"")</f>
        <v>7.157031365041967</v>
      </c>
      <c r="M14" s="204">
        <f>12736195.5+635116+336718.5+243017</f>
        <v>13951047</v>
      </c>
      <c r="N14" s="197">
        <f>271934+322135+339926+262189+150199+208899+146862+92002+47008+33955</f>
        <v>1875109</v>
      </c>
      <c r="O14" s="224">
        <f>IF(M14&lt;&gt;0,M14/N14,"")</f>
        <v>7.440125880682136</v>
      </c>
      <c r="P14" s="260"/>
    </row>
    <row r="15" spans="1:16" ht="15">
      <c r="A15" s="91">
        <v>12</v>
      </c>
      <c r="B15" s="56" t="s">
        <v>323</v>
      </c>
      <c r="C15" s="41">
        <v>39437</v>
      </c>
      <c r="D15" s="46" t="s">
        <v>262</v>
      </c>
      <c r="E15" s="46" t="s">
        <v>324</v>
      </c>
      <c r="F15" s="63">
        <v>156</v>
      </c>
      <c r="G15" s="43">
        <v>99</v>
      </c>
      <c r="H15" s="43">
        <v>5</v>
      </c>
      <c r="I15" s="195">
        <v>230362.5</v>
      </c>
      <c r="J15" s="196">
        <v>35379</v>
      </c>
      <c r="K15" s="214">
        <f>J15/G15</f>
        <v>357.3636363636364</v>
      </c>
      <c r="L15" s="215">
        <f>I15/J15</f>
        <v>6.5112778767065205</v>
      </c>
      <c r="M15" s="199">
        <f>1780127+1212579.5+721829.5+404706.5+230362.5</f>
        <v>4349605</v>
      </c>
      <c r="N15" s="197">
        <f>240776+165120+97288+55998+35379</f>
        <v>594561</v>
      </c>
      <c r="O15" s="226">
        <f>+M15/N15</f>
        <v>7.315658107410341</v>
      </c>
      <c r="P15" s="260"/>
    </row>
    <row r="16" spans="1:16" ht="15">
      <c r="A16" s="91">
        <v>13</v>
      </c>
      <c r="B16" s="56" t="s">
        <v>313</v>
      </c>
      <c r="C16" s="42">
        <v>39430</v>
      </c>
      <c r="D16" s="87" t="s">
        <v>261</v>
      </c>
      <c r="E16" s="87" t="s">
        <v>104</v>
      </c>
      <c r="F16" s="43">
        <v>137</v>
      </c>
      <c r="G16" s="43">
        <v>137</v>
      </c>
      <c r="H16" s="43">
        <v>5</v>
      </c>
      <c r="I16" s="195">
        <v>136014</v>
      </c>
      <c r="J16" s="196">
        <v>19903</v>
      </c>
      <c r="K16" s="197">
        <f>J16/G16</f>
        <v>145.27737226277372</v>
      </c>
      <c r="L16" s="198">
        <f>+I16/J16</f>
        <v>6.8338441440988795</v>
      </c>
      <c r="M16" s="199">
        <v>3276898</v>
      </c>
      <c r="N16" s="197">
        <v>406562</v>
      </c>
      <c r="O16" s="223">
        <f>+M16/N16</f>
        <v>8.060020365897453</v>
      </c>
      <c r="P16" s="260"/>
    </row>
    <row r="17" spans="1:16" ht="15">
      <c r="A17" s="91">
        <v>14</v>
      </c>
      <c r="B17" s="55" t="s">
        <v>336</v>
      </c>
      <c r="C17" s="41">
        <v>39402</v>
      </c>
      <c r="D17" s="44" t="s">
        <v>256</v>
      </c>
      <c r="E17" s="44" t="s">
        <v>337</v>
      </c>
      <c r="F17" s="63">
        <v>165</v>
      </c>
      <c r="G17" s="63">
        <v>66</v>
      </c>
      <c r="H17" s="63">
        <v>11</v>
      </c>
      <c r="I17" s="200">
        <v>121597.5</v>
      </c>
      <c r="J17" s="201">
        <v>17959</v>
      </c>
      <c r="K17" s="202">
        <f>IF(I17&lt;&gt;0,J17/G17,"")</f>
        <v>272.1060606060606</v>
      </c>
      <c r="L17" s="203">
        <f>IF(I17&lt;&gt;0,I17/J17,"")</f>
        <v>6.770839133582048</v>
      </c>
      <c r="M17" s="204">
        <f>12736195.5+635116+336718.5+243017+121597.5</f>
        <v>14072644.5</v>
      </c>
      <c r="N17" s="197">
        <f>271934+322135+339926+262189+150199+208899+146862+92002+47008+33955+17959</f>
        <v>1893068</v>
      </c>
      <c r="O17" s="224">
        <f>IF(M17&lt;&gt;0,M17/N17,"")</f>
        <v>7.4337765468541015</v>
      </c>
      <c r="P17" s="260"/>
    </row>
    <row r="18" spans="1:16" ht="15">
      <c r="A18" s="91">
        <v>15</v>
      </c>
      <c r="B18" s="56" t="s">
        <v>313</v>
      </c>
      <c r="C18" s="42">
        <v>39430</v>
      </c>
      <c r="D18" s="87" t="s">
        <v>261</v>
      </c>
      <c r="E18" s="87" t="s">
        <v>104</v>
      </c>
      <c r="F18" s="43">
        <v>137</v>
      </c>
      <c r="G18" s="43">
        <v>137</v>
      </c>
      <c r="H18" s="43">
        <v>6</v>
      </c>
      <c r="I18" s="195">
        <v>113315</v>
      </c>
      <c r="J18" s="196">
        <v>21121</v>
      </c>
      <c r="K18" s="197">
        <f aca="true" t="shared" si="0" ref="K18:K29">J18/G18</f>
        <v>154.16788321167883</v>
      </c>
      <c r="L18" s="198">
        <f>+I18/J18</f>
        <v>5.365039534112968</v>
      </c>
      <c r="M18" s="199">
        <v>3360487</v>
      </c>
      <c r="N18" s="197">
        <v>424724</v>
      </c>
      <c r="O18" s="223">
        <f>+M18/N18</f>
        <v>7.912166489296578</v>
      </c>
      <c r="P18" s="260"/>
    </row>
    <row r="19" spans="1:16" ht="15">
      <c r="A19" s="91">
        <v>16</v>
      </c>
      <c r="B19" s="55" t="s">
        <v>214</v>
      </c>
      <c r="C19" s="41">
        <v>39444</v>
      </c>
      <c r="D19" s="45" t="s">
        <v>260</v>
      </c>
      <c r="E19" s="44" t="s">
        <v>107</v>
      </c>
      <c r="F19" s="63">
        <v>60</v>
      </c>
      <c r="G19" s="63">
        <v>60</v>
      </c>
      <c r="H19" s="63">
        <v>2</v>
      </c>
      <c r="I19" s="85">
        <v>90759</v>
      </c>
      <c r="J19" s="93">
        <v>9879</v>
      </c>
      <c r="K19" s="144">
        <f t="shared" si="0"/>
        <v>164.65</v>
      </c>
      <c r="L19" s="145">
        <f>I19/J19</f>
        <v>9.187063467962345</v>
      </c>
      <c r="M19" s="146">
        <f>211429+90759</f>
        <v>302188</v>
      </c>
      <c r="N19" s="147">
        <f>22982+9879</f>
        <v>32861</v>
      </c>
      <c r="O19" s="81">
        <f>+M19/N19</f>
        <v>9.195946562794802</v>
      </c>
      <c r="P19" s="371"/>
    </row>
    <row r="20" spans="1:16" ht="15">
      <c r="A20" s="91">
        <v>17</v>
      </c>
      <c r="B20" s="55" t="s">
        <v>336</v>
      </c>
      <c r="C20" s="41">
        <v>39402</v>
      </c>
      <c r="D20" s="44" t="s">
        <v>256</v>
      </c>
      <c r="E20" s="44" t="s">
        <v>337</v>
      </c>
      <c r="F20" s="63">
        <v>165</v>
      </c>
      <c r="G20" s="63">
        <v>51</v>
      </c>
      <c r="H20" s="63">
        <v>12</v>
      </c>
      <c r="I20" s="200">
        <v>87378</v>
      </c>
      <c r="J20" s="201">
        <v>14849</v>
      </c>
      <c r="K20" s="214">
        <f t="shared" si="0"/>
        <v>291.15686274509807</v>
      </c>
      <c r="L20" s="215">
        <f>I20/J20</f>
        <v>5.884436662401509</v>
      </c>
      <c r="M20" s="204">
        <f>12736195.5+635116+336718.5+243017+121597.5+87378</f>
        <v>14160022.5</v>
      </c>
      <c r="N20" s="197">
        <f>271934+322135+339926+262189+150199+208899+146862+92002+47008+33955+17959+14849</f>
        <v>1907917</v>
      </c>
      <c r="O20" s="224">
        <f>IF(M20&lt;&gt;0,M20/N20,"")</f>
        <v>7.421718292776887</v>
      </c>
      <c r="P20" s="260"/>
    </row>
    <row r="21" spans="1:16" ht="18">
      <c r="A21" s="91">
        <v>18</v>
      </c>
      <c r="B21" s="55" t="s">
        <v>444</v>
      </c>
      <c r="C21" s="41">
        <v>39416</v>
      </c>
      <c r="D21" s="45" t="s">
        <v>260</v>
      </c>
      <c r="E21" s="44" t="s">
        <v>144</v>
      </c>
      <c r="F21" s="63">
        <v>123</v>
      </c>
      <c r="G21" s="63">
        <v>22</v>
      </c>
      <c r="H21" s="63">
        <v>6</v>
      </c>
      <c r="I21" s="85">
        <v>84508</v>
      </c>
      <c r="J21" s="93">
        <v>7913</v>
      </c>
      <c r="K21" s="144">
        <f t="shared" si="0"/>
        <v>359.6818181818182</v>
      </c>
      <c r="L21" s="145">
        <f>I21/J21</f>
        <v>10.679641096929103</v>
      </c>
      <c r="M21" s="146">
        <f>155416+1136619+622980+528056+225392+174199+84508</f>
        <v>2927170</v>
      </c>
      <c r="N21" s="147">
        <f>12079+122083+66530+52286+18245+17821+7913</f>
        <v>296957</v>
      </c>
      <c r="O21" s="81">
        <f aca="true" t="shared" si="1" ref="O21:O28">+M21/N21</f>
        <v>9.857218385153406</v>
      </c>
      <c r="P21" s="373"/>
    </row>
    <row r="22" spans="1:16" ht="15">
      <c r="A22" s="91">
        <v>19</v>
      </c>
      <c r="B22" s="56" t="s">
        <v>325</v>
      </c>
      <c r="C22" s="41">
        <v>39437</v>
      </c>
      <c r="D22" s="87" t="s">
        <v>261</v>
      </c>
      <c r="E22" s="87" t="s">
        <v>264</v>
      </c>
      <c r="F22" s="43">
        <v>105</v>
      </c>
      <c r="G22" s="43">
        <v>105</v>
      </c>
      <c r="H22" s="43">
        <v>3</v>
      </c>
      <c r="I22" s="86">
        <v>82906</v>
      </c>
      <c r="J22" s="95">
        <v>10166</v>
      </c>
      <c r="K22" s="134">
        <f t="shared" si="0"/>
        <v>96.81904761904762</v>
      </c>
      <c r="L22" s="135">
        <f>+I22/J22</f>
        <v>8.15522329333071</v>
      </c>
      <c r="M22" s="136">
        <v>702583</v>
      </c>
      <c r="N22" s="134">
        <v>80340</v>
      </c>
      <c r="O22" s="158">
        <f t="shared" si="1"/>
        <v>8.74512073686831</v>
      </c>
      <c r="P22" s="260">
        <v>1</v>
      </c>
    </row>
    <row r="23" spans="1:16" ht="15">
      <c r="A23" s="91">
        <v>20</v>
      </c>
      <c r="B23" s="56" t="s">
        <v>311</v>
      </c>
      <c r="C23" s="42">
        <v>39430</v>
      </c>
      <c r="D23" s="87" t="s">
        <v>261</v>
      </c>
      <c r="E23" s="87" t="s">
        <v>5</v>
      </c>
      <c r="F23" s="43">
        <v>242</v>
      </c>
      <c r="G23" s="43">
        <v>48</v>
      </c>
      <c r="H23" s="43">
        <v>8</v>
      </c>
      <c r="I23" s="195">
        <v>81048</v>
      </c>
      <c r="J23" s="196">
        <v>12858</v>
      </c>
      <c r="K23" s="197">
        <f t="shared" si="0"/>
        <v>267.875</v>
      </c>
      <c r="L23" s="198">
        <f>+I23/J23</f>
        <v>6.303313112459169</v>
      </c>
      <c r="M23" s="199">
        <v>15229102</v>
      </c>
      <c r="N23" s="197">
        <v>1974053</v>
      </c>
      <c r="O23" s="223">
        <f t="shared" si="1"/>
        <v>7.714636841057459</v>
      </c>
      <c r="P23" s="260"/>
    </row>
    <row r="24" spans="1:16" ht="15">
      <c r="A24" s="91">
        <v>21</v>
      </c>
      <c r="B24" s="57" t="s">
        <v>314</v>
      </c>
      <c r="C24" s="41">
        <v>39430</v>
      </c>
      <c r="D24" s="47" t="s">
        <v>133</v>
      </c>
      <c r="E24" s="47" t="s">
        <v>216</v>
      </c>
      <c r="F24" s="64" t="s">
        <v>315</v>
      </c>
      <c r="G24" s="64" t="s">
        <v>437</v>
      </c>
      <c r="H24" s="64" t="s">
        <v>320</v>
      </c>
      <c r="I24" s="85">
        <v>78213.2</v>
      </c>
      <c r="J24" s="93">
        <v>12336</v>
      </c>
      <c r="K24" s="144">
        <f t="shared" si="0"/>
        <v>342.6666666666667</v>
      </c>
      <c r="L24" s="145">
        <f>I24/J24</f>
        <v>6.340239948119326</v>
      </c>
      <c r="M24" s="146">
        <v>1212794.44</v>
      </c>
      <c r="N24" s="147">
        <v>153930</v>
      </c>
      <c r="O24" s="81">
        <f t="shared" si="1"/>
        <v>7.8788698759176246</v>
      </c>
      <c r="P24" s="260"/>
    </row>
    <row r="25" spans="1:16" ht="15">
      <c r="A25" s="91">
        <v>22</v>
      </c>
      <c r="B25" s="56" t="s">
        <v>313</v>
      </c>
      <c r="C25" s="42">
        <v>39430</v>
      </c>
      <c r="D25" s="87" t="s">
        <v>261</v>
      </c>
      <c r="E25" s="87" t="s">
        <v>104</v>
      </c>
      <c r="F25" s="43">
        <v>137</v>
      </c>
      <c r="G25" s="43">
        <v>137</v>
      </c>
      <c r="H25" s="43">
        <v>7</v>
      </c>
      <c r="I25" s="195">
        <v>76083</v>
      </c>
      <c r="J25" s="196">
        <v>13888</v>
      </c>
      <c r="K25" s="197">
        <f t="shared" si="0"/>
        <v>101.37226277372262</v>
      </c>
      <c r="L25" s="198">
        <f>+I25/J25</f>
        <v>5.478326612903226</v>
      </c>
      <c r="M25" s="199">
        <v>3436598</v>
      </c>
      <c r="N25" s="197">
        <v>438616</v>
      </c>
      <c r="O25" s="226">
        <f t="shared" si="1"/>
        <v>7.835094934977292</v>
      </c>
      <c r="P25" s="260"/>
    </row>
    <row r="26" spans="1:16" ht="15">
      <c r="A26" s="91">
        <v>23</v>
      </c>
      <c r="B26" s="57" t="s">
        <v>220</v>
      </c>
      <c r="C26" s="42">
        <v>39444</v>
      </c>
      <c r="D26" s="47" t="s">
        <v>126</v>
      </c>
      <c r="E26" s="47" t="s">
        <v>210</v>
      </c>
      <c r="F26" s="88">
        <v>25</v>
      </c>
      <c r="G26" s="89">
        <v>23</v>
      </c>
      <c r="H26" s="88">
        <v>2</v>
      </c>
      <c r="I26" s="85">
        <v>65035.5</v>
      </c>
      <c r="J26" s="93">
        <v>6458</v>
      </c>
      <c r="K26" s="144">
        <f t="shared" si="0"/>
        <v>280.7826086956522</v>
      </c>
      <c r="L26" s="145">
        <f>I26/J26</f>
        <v>10.070532672654073</v>
      </c>
      <c r="M26" s="146">
        <v>230495.75</v>
      </c>
      <c r="N26" s="147">
        <v>22538</v>
      </c>
      <c r="O26" s="81">
        <f t="shared" si="1"/>
        <v>10.226983317064514</v>
      </c>
      <c r="P26" s="371"/>
    </row>
    <row r="27" spans="1:16" ht="15">
      <c r="A27" s="91">
        <v>24</v>
      </c>
      <c r="B27" s="56" t="s">
        <v>313</v>
      </c>
      <c r="C27" s="42">
        <v>39430</v>
      </c>
      <c r="D27" s="87" t="s">
        <v>261</v>
      </c>
      <c r="E27" s="87" t="s">
        <v>104</v>
      </c>
      <c r="F27" s="43">
        <v>137</v>
      </c>
      <c r="G27" s="43">
        <v>44</v>
      </c>
      <c r="H27" s="43">
        <v>8</v>
      </c>
      <c r="I27" s="195">
        <v>61775</v>
      </c>
      <c r="J27" s="196">
        <v>10119</v>
      </c>
      <c r="K27" s="197">
        <f t="shared" si="0"/>
        <v>229.97727272727272</v>
      </c>
      <c r="L27" s="198">
        <f>+I27/J27</f>
        <v>6.104852258128274</v>
      </c>
      <c r="M27" s="199">
        <v>3497597</v>
      </c>
      <c r="N27" s="197">
        <v>448735</v>
      </c>
      <c r="O27" s="223">
        <f t="shared" si="1"/>
        <v>7.794348557611953</v>
      </c>
      <c r="P27" s="260">
        <v>1</v>
      </c>
    </row>
    <row r="28" spans="1:16" ht="18">
      <c r="A28" s="91">
        <v>25</v>
      </c>
      <c r="B28" s="55" t="s">
        <v>444</v>
      </c>
      <c r="C28" s="41">
        <v>39416</v>
      </c>
      <c r="D28" s="45" t="s">
        <v>260</v>
      </c>
      <c r="E28" s="44" t="s">
        <v>144</v>
      </c>
      <c r="F28" s="63">
        <v>123</v>
      </c>
      <c r="G28" s="63">
        <v>13</v>
      </c>
      <c r="H28" s="63">
        <v>7</v>
      </c>
      <c r="I28" s="205">
        <v>58425</v>
      </c>
      <c r="J28" s="206">
        <v>4333</v>
      </c>
      <c r="K28" s="214">
        <f t="shared" si="0"/>
        <v>333.3076923076923</v>
      </c>
      <c r="L28" s="215">
        <f>I28/J28</f>
        <v>13.483729517655204</v>
      </c>
      <c r="M28" s="207">
        <f>155416+1136619+622980+528056+225392+174199+84508+58425</f>
        <v>2985595</v>
      </c>
      <c r="N28" s="208">
        <f>12079+122083+66530+52286+18245+17821+7913+4333</f>
        <v>301290</v>
      </c>
      <c r="O28" s="226">
        <f t="shared" si="1"/>
        <v>9.909373029307313</v>
      </c>
      <c r="P28" s="373"/>
    </row>
    <row r="29" spans="1:16" ht="15">
      <c r="A29" s="91">
        <v>26</v>
      </c>
      <c r="B29" s="56" t="s">
        <v>323</v>
      </c>
      <c r="C29" s="41">
        <v>39437</v>
      </c>
      <c r="D29" s="46" t="s">
        <v>262</v>
      </c>
      <c r="E29" s="46" t="s">
        <v>324</v>
      </c>
      <c r="F29" s="43">
        <v>156</v>
      </c>
      <c r="G29" s="43">
        <v>35</v>
      </c>
      <c r="H29" s="43">
        <v>6</v>
      </c>
      <c r="I29" s="195">
        <v>56484.5</v>
      </c>
      <c r="J29" s="196">
        <v>10296</v>
      </c>
      <c r="K29" s="214">
        <f t="shared" si="0"/>
        <v>294.1714285714286</v>
      </c>
      <c r="L29" s="215">
        <f>I29/J29</f>
        <v>5.486062548562549</v>
      </c>
      <c r="M29" s="199">
        <f>1780127+1212579.5+721829.5+404706.5+230406+56484.5</f>
        <v>4406133</v>
      </c>
      <c r="N29" s="197">
        <f>240776+165120+97288+55998+35394+10296</f>
        <v>604872</v>
      </c>
      <c r="O29" s="225">
        <f>M29/N29</f>
        <v>7.284405626314328</v>
      </c>
      <c r="P29" s="336"/>
    </row>
    <row r="30" spans="1:15" ht="15">
      <c r="A30" s="91">
        <v>27</v>
      </c>
      <c r="B30" s="57" t="s">
        <v>215</v>
      </c>
      <c r="C30" s="41">
        <v>39444</v>
      </c>
      <c r="D30" s="47" t="s">
        <v>309</v>
      </c>
      <c r="E30" s="47" t="s">
        <v>309</v>
      </c>
      <c r="F30" s="58">
        <v>14</v>
      </c>
      <c r="G30" s="58">
        <v>14</v>
      </c>
      <c r="H30" s="58">
        <v>2</v>
      </c>
      <c r="I30" s="85">
        <v>51922</v>
      </c>
      <c r="J30" s="93">
        <v>4660</v>
      </c>
      <c r="K30" s="137">
        <f>+J30/G30</f>
        <v>332.85714285714283</v>
      </c>
      <c r="L30" s="138">
        <f>+I30/J30</f>
        <v>11.14206008583691</v>
      </c>
      <c r="M30" s="146">
        <v>203381</v>
      </c>
      <c r="N30" s="147">
        <v>18712</v>
      </c>
      <c r="O30" s="159">
        <f>+M30/N30</f>
        <v>10.86901453612655</v>
      </c>
    </row>
    <row r="31" spans="1:16" ht="15">
      <c r="A31" s="91">
        <v>28</v>
      </c>
      <c r="B31" s="56" t="s">
        <v>323</v>
      </c>
      <c r="C31" s="41">
        <v>39437</v>
      </c>
      <c r="D31" s="46" t="s">
        <v>262</v>
      </c>
      <c r="E31" s="46" t="s">
        <v>324</v>
      </c>
      <c r="F31" s="43">
        <v>156</v>
      </c>
      <c r="G31" s="43">
        <v>24</v>
      </c>
      <c r="H31" s="43">
        <v>7</v>
      </c>
      <c r="I31" s="195">
        <v>45824</v>
      </c>
      <c r="J31" s="196">
        <v>9476</v>
      </c>
      <c r="K31" s="214">
        <f>J31/G31</f>
        <v>394.8333333333333</v>
      </c>
      <c r="L31" s="215">
        <f>I31/J31</f>
        <v>4.8357956943858165</v>
      </c>
      <c r="M31" s="199">
        <f>1780127+1212579.5+721829.5+404706.5+230406+56484.5+45824</f>
        <v>4451957</v>
      </c>
      <c r="N31" s="197">
        <f>240776+165120+97288+55998+35394+10296+9476</f>
        <v>614348</v>
      </c>
      <c r="O31" s="225">
        <f>M31/N31</f>
        <v>7.246637085169969</v>
      </c>
      <c r="P31" s="336"/>
    </row>
    <row r="32" spans="1:16" ht="15">
      <c r="A32" s="91">
        <v>29</v>
      </c>
      <c r="B32" s="55" t="s">
        <v>310</v>
      </c>
      <c r="C32" s="41">
        <v>39423</v>
      </c>
      <c r="D32" s="44" t="s">
        <v>256</v>
      </c>
      <c r="E32" s="44" t="s">
        <v>251</v>
      </c>
      <c r="F32" s="63">
        <v>164</v>
      </c>
      <c r="G32" s="63">
        <v>66</v>
      </c>
      <c r="H32" s="63">
        <v>5</v>
      </c>
      <c r="I32" s="94">
        <v>45815.5</v>
      </c>
      <c r="J32" s="117">
        <v>8243</v>
      </c>
      <c r="K32" s="137">
        <f>IF(I32&lt;&gt;0,J32/G32,"")</f>
        <v>124.89393939393939</v>
      </c>
      <c r="L32" s="138">
        <f>IF(I32&lt;&gt;0,I32/J32,"")</f>
        <v>5.55810991144001</v>
      </c>
      <c r="M32" s="139">
        <f>1455428+896564.5+785700+295594.5+45815.5</f>
        <v>3479102.5</v>
      </c>
      <c r="N32" s="134">
        <f>172176+105411+97548+39201+8243</f>
        <v>422579</v>
      </c>
      <c r="O32" s="159">
        <f>IF(M32&lt;&gt;0,M32/N32,"")</f>
        <v>8.233022701080746</v>
      </c>
      <c r="P32" s="336"/>
    </row>
    <row r="33" spans="1:16" ht="15">
      <c r="A33" s="91">
        <v>30</v>
      </c>
      <c r="B33" s="55" t="s">
        <v>398</v>
      </c>
      <c r="C33" s="41">
        <v>39437</v>
      </c>
      <c r="D33" s="45" t="s">
        <v>260</v>
      </c>
      <c r="E33" s="44" t="s">
        <v>413</v>
      </c>
      <c r="F33" s="63">
        <v>49</v>
      </c>
      <c r="G33" s="63">
        <v>41</v>
      </c>
      <c r="H33" s="63">
        <v>3</v>
      </c>
      <c r="I33" s="85">
        <v>36636</v>
      </c>
      <c r="J33" s="93">
        <v>4109</v>
      </c>
      <c r="K33" s="144">
        <f>J33/G33</f>
        <v>100.21951219512195</v>
      </c>
      <c r="L33" s="145">
        <f>I33/J33</f>
        <v>8.916037965441713</v>
      </c>
      <c r="M33" s="146">
        <f>265356+150950+36636</f>
        <v>452942</v>
      </c>
      <c r="N33" s="147">
        <f>28419+15898+4109</f>
        <v>48426</v>
      </c>
      <c r="O33" s="81">
        <f>+M33/N33</f>
        <v>9.353281295172016</v>
      </c>
      <c r="P33" s="336">
        <v>1</v>
      </c>
    </row>
    <row r="34" spans="1:16" ht="15">
      <c r="A34" s="91">
        <v>31</v>
      </c>
      <c r="B34" s="56" t="s">
        <v>336</v>
      </c>
      <c r="C34" s="41">
        <v>39402</v>
      </c>
      <c r="D34" s="46" t="s">
        <v>256</v>
      </c>
      <c r="E34" s="46" t="s">
        <v>337</v>
      </c>
      <c r="F34" s="43">
        <v>165</v>
      </c>
      <c r="G34" s="43">
        <v>6</v>
      </c>
      <c r="H34" s="43">
        <v>18</v>
      </c>
      <c r="I34" s="86">
        <v>34768</v>
      </c>
      <c r="J34" s="196">
        <v>7140</v>
      </c>
      <c r="K34" s="214">
        <f>IF(I34&lt;&gt;0,J34/G34,"")</f>
        <v>1190</v>
      </c>
      <c r="L34" s="215">
        <f>IF(I34&lt;&gt;0,I34/J34,"")</f>
        <v>4.8694677871148455</v>
      </c>
      <c r="M34" s="136">
        <f>12736195.5+635116+336718.5+243017+121597.5+87378+27897.5+22169+10074+11918+6458+34768</f>
        <v>14273307</v>
      </c>
      <c r="N34" s="197">
        <f>271934+322135+339926+262189+150199+208899+146862+92002+47008+33955+17959+14849+4943+4284+1914+2027+1272+7140</f>
        <v>1929497</v>
      </c>
      <c r="O34" s="226">
        <f>IF(M34&lt;&gt;0,M34/N34,"")</f>
        <v>7.397423784540738</v>
      </c>
      <c r="P34" s="336"/>
    </row>
    <row r="35" spans="1:16" ht="18">
      <c r="A35" s="91">
        <v>32</v>
      </c>
      <c r="B35" s="55" t="s">
        <v>444</v>
      </c>
      <c r="C35" s="41">
        <v>39416</v>
      </c>
      <c r="D35" s="45" t="s">
        <v>260</v>
      </c>
      <c r="E35" s="44" t="s">
        <v>144</v>
      </c>
      <c r="F35" s="63">
        <v>123</v>
      </c>
      <c r="G35" s="63">
        <v>9</v>
      </c>
      <c r="H35" s="63">
        <v>8</v>
      </c>
      <c r="I35" s="205">
        <v>34257</v>
      </c>
      <c r="J35" s="206">
        <v>2998</v>
      </c>
      <c r="K35" s="214">
        <f>J35/G35</f>
        <v>333.1111111111111</v>
      </c>
      <c r="L35" s="215">
        <f>I35/J35</f>
        <v>11.426617745163442</v>
      </c>
      <c r="M35" s="207">
        <f>155416+1136619+622980+528056+225392+174199+84508+58425+34257</f>
        <v>3019852</v>
      </c>
      <c r="N35" s="208">
        <f>12079+122083+66530+52286+18245+17821+7913+4333+2998</f>
        <v>304288</v>
      </c>
      <c r="O35" s="226">
        <f>+M35/N35</f>
        <v>9.924321695236092</v>
      </c>
      <c r="P35" s="373"/>
    </row>
    <row r="36" spans="1:16" ht="15">
      <c r="A36" s="91">
        <v>33</v>
      </c>
      <c r="B36" s="56" t="s">
        <v>307</v>
      </c>
      <c r="C36" s="42">
        <v>39423</v>
      </c>
      <c r="D36" s="46" t="s">
        <v>262</v>
      </c>
      <c r="E36" s="46" t="s">
        <v>263</v>
      </c>
      <c r="F36" s="43">
        <v>40</v>
      </c>
      <c r="G36" s="43">
        <v>28</v>
      </c>
      <c r="H36" s="43">
        <v>5</v>
      </c>
      <c r="I36" s="86">
        <v>31631.5</v>
      </c>
      <c r="J36" s="95">
        <v>5745</v>
      </c>
      <c r="K36" s="137">
        <f>IF(I36&lt;&gt;0,J36/G36,"")</f>
        <v>205.17857142857142</v>
      </c>
      <c r="L36" s="138">
        <f>IF(I36&lt;&gt;0,I36/J36,"")</f>
        <v>5.5059181897302</v>
      </c>
      <c r="M36" s="136">
        <f>337397.5+246059+95618.5+43492.5+31631.5</f>
        <v>754199</v>
      </c>
      <c r="N36" s="134">
        <f>35596+24953+11024+7059+5745</f>
        <v>84377</v>
      </c>
      <c r="O36" s="159">
        <f>IF(M36&lt;&gt;0,M36/N36,"")</f>
        <v>8.938442940611779</v>
      </c>
      <c r="P36" s="260"/>
    </row>
    <row r="37" spans="1:16" ht="15">
      <c r="A37" s="91">
        <v>34</v>
      </c>
      <c r="B37" s="56" t="s">
        <v>339</v>
      </c>
      <c r="C37" s="42">
        <v>39402</v>
      </c>
      <c r="D37" s="46" t="s">
        <v>262</v>
      </c>
      <c r="E37" s="46" t="s">
        <v>308</v>
      </c>
      <c r="F37" s="43">
        <v>125</v>
      </c>
      <c r="G37" s="43">
        <v>13</v>
      </c>
      <c r="H37" s="43">
        <v>8</v>
      </c>
      <c r="I37" s="86">
        <v>29355.5</v>
      </c>
      <c r="J37" s="95">
        <v>5300</v>
      </c>
      <c r="K37" s="137">
        <f>IF(I37&lt;&gt;0,J37/G37,"")</f>
        <v>407.6923076923077</v>
      </c>
      <c r="L37" s="138">
        <f>IF(I37&lt;&gt;0,I37/J37,"")</f>
        <v>5.538773584905661</v>
      </c>
      <c r="M37" s="136">
        <f>676439.5+554539.5+408532.5+265092+4+63975.5-30+36417+32233.5+29355.5</f>
        <v>2066559</v>
      </c>
      <c r="N37" s="134">
        <f>91933+76364+57186+39863+2+10711+6714+6020+5300</f>
        <v>294093</v>
      </c>
      <c r="O37" s="159">
        <f>IF(M37&lt;&gt;0,M37/N37,"")</f>
        <v>7.02688945333619</v>
      </c>
      <c r="P37" s="377"/>
    </row>
    <row r="38" spans="1:16" ht="15">
      <c r="A38" s="91">
        <v>35</v>
      </c>
      <c r="B38" s="282" t="s">
        <v>311</v>
      </c>
      <c r="C38" s="42">
        <v>39430</v>
      </c>
      <c r="D38" s="274" t="s">
        <v>261</v>
      </c>
      <c r="E38" s="274" t="s">
        <v>51</v>
      </c>
      <c r="F38" s="275">
        <v>242</v>
      </c>
      <c r="G38" s="275">
        <v>31</v>
      </c>
      <c r="H38" s="275">
        <v>9</v>
      </c>
      <c r="I38" s="195">
        <v>28436</v>
      </c>
      <c r="J38" s="196">
        <v>4979</v>
      </c>
      <c r="K38" s="197">
        <f>J38/G38</f>
        <v>160.61290322580646</v>
      </c>
      <c r="L38" s="198">
        <f>+I38/J38</f>
        <v>5.711186985338421</v>
      </c>
      <c r="M38" s="199">
        <v>15257538</v>
      </c>
      <c r="N38" s="197">
        <v>1979032</v>
      </c>
      <c r="O38" s="223">
        <f>+M38/N38</f>
        <v>7.709596408749328</v>
      </c>
      <c r="P38" s="260"/>
    </row>
    <row r="39" spans="1:16" ht="15">
      <c r="A39" s="91">
        <v>36</v>
      </c>
      <c r="B39" s="55" t="s">
        <v>336</v>
      </c>
      <c r="C39" s="41">
        <v>39402</v>
      </c>
      <c r="D39" s="44" t="s">
        <v>256</v>
      </c>
      <c r="E39" s="44" t="s">
        <v>116</v>
      </c>
      <c r="F39" s="63">
        <v>165</v>
      </c>
      <c r="G39" s="63">
        <v>31</v>
      </c>
      <c r="H39" s="63">
        <v>13</v>
      </c>
      <c r="I39" s="94">
        <v>27897.5</v>
      </c>
      <c r="J39" s="117">
        <v>4943</v>
      </c>
      <c r="K39" s="137">
        <f>IF(I39&lt;&gt;0,J39/G39,"")</f>
        <v>159.4516129032258</v>
      </c>
      <c r="L39" s="203">
        <f>IF(I39&lt;&gt;0,I39/J39,"")</f>
        <v>5.643839773416953</v>
      </c>
      <c r="M39" s="139">
        <f>12736195.5+635116+336718.5+243017+121597.5+87378+27897.5</f>
        <v>14187920</v>
      </c>
      <c r="N39" s="134">
        <f>271934+322135+339926+262189+150199+208899+146862+92002+47008+33955+17959+14849+4943</f>
        <v>1912860</v>
      </c>
      <c r="O39" s="224">
        <f>IF(M39&lt;&gt;0,M39/N39,"")</f>
        <v>7.417124096902021</v>
      </c>
      <c r="P39" s="443"/>
    </row>
    <row r="40" spans="1:16" ht="15">
      <c r="A40" s="91">
        <v>37</v>
      </c>
      <c r="B40" s="56" t="s">
        <v>316</v>
      </c>
      <c r="C40" s="42">
        <v>39430</v>
      </c>
      <c r="D40" s="46" t="s">
        <v>262</v>
      </c>
      <c r="E40" s="46" t="s">
        <v>263</v>
      </c>
      <c r="F40" s="63">
        <v>64</v>
      </c>
      <c r="G40" s="43">
        <v>44</v>
      </c>
      <c r="H40" s="43">
        <v>4</v>
      </c>
      <c r="I40" s="86">
        <v>23763.5</v>
      </c>
      <c r="J40" s="95">
        <v>4128</v>
      </c>
      <c r="K40" s="137">
        <f>IF(I40&lt;&gt;0,J40/G40,"")</f>
        <v>93.81818181818181</v>
      </c>
      <c r="L40" s="138">
        <f>IF(I40&lt;&gt;0,I40/J40,"")</f>
        <v>5.756661821705427</v>
      </c>
      <c r="M40" s="136">
        <f>183581+192120.5+67824+23763.5</f>
        <v>467289</v>
      </c>
      <c r="N40" s="134">
        <f>20071+21989+8620+4128</f>
        <v>54808</v>
      </c>
      <c r="O40" s="159">
        <f>IF(M40&lt;&gt;0,M40/N40,"")</f>
        <v>8.52592687198949</v>
      </c>
      <c r="P40" s="443"/>
    </row>
    <row r="41" spans="1:16" ht="15">
      <c r="A41" s="91">
        <v>38</v>
      </c>
      <c r="B41" s="282" t="s">
        <v>313</v>
      </c>
      <c r="C41" s="42">
        <v>39430</v>
      </c>
      <c r="D41" s="274" t="s">
        <v>261</v>
      </c>
      <c r="E41" s="274" t="s">
        <v>104</v>
      </c>
      <c r="F41" s="275">
        <v>137</v>
      </c>
      <c r="G41" s="275">
        <v>35</v>
      </c>
      <c r="H41" s="275">
        <v>9</v>
      </c>
      <c r="I41" s="195">
        <v>23198</v>
      </c>
      <c r="J41" s="196">
        <v>3833</v>
      </c>
      <c r="K41" s="197">
        <f>J41/G41</f>
        <v>109.51428571428572</v>
      </c>
      <c r="L41" s="198">
        <f>+I41/J41</f>
        <v>6.052178450300026</v>
      </c>
      <c r="M41" s="199">
        <v>3520795</v>
      </c>
      <c r="N41" s="197">
        <v>452568</v>
      </c>
      <c r="O41" s="223">
        <f>+M41/N41</f>
        <v>7.779593342878861</v>
      </c>
      <c r="P41" s="443">
        <v>1</v>
      </c>
    </row>
    <row r="42" spans="1:16" ht="15">
      <c r="A42" s="91">
        <v>39</v>
      </c>
      <c r="B42" s="57" t="s">
        <v>326</v>
      </c>
      <c r="C42" s="41">
        <v>39437</v>
      </c>
      <c r="D42" s="48" t="s">
        <v>267</v>
      </c>
      <c r="E42" s="48" t="s">
        <v>127</v>
      </c>
      <c r="F42" s="76">
        <v>17</v>
      </c>
      <c r="G42" s="76">
        <v>17</v>
      </c>
      <c r="H42" s="76">
        <v>3</v>
      </c>
      <c r="I42" s="96">
        <v>22482</v>
      </c>
      <c r="J42" s="98">
        <v>2440</v>
      </c>
      <c r="K42" s="148">
        <f>J42/G42</f>
        <v>143.52941176470588</v>
      </c>
      <c r="L42" s="149">
        <f>I42/J42</f>
        <v>9.213934426229509</v>
      </c>
      <c r="M42" s="150">
        <v>270743</v>
      </c>
      <c r="N42" s="148">
        <v>25328</v>
      </c>
      <c r="O42" s="161">
        <f>M42/N42</f>
        <v>10.689474099810486</v>
      </c>
      <c r="P42" s="443"/>
    </row>
    <row r="43" spans="1:16" ht="15">
      <c r="A43" s="91">
        <v>40</v>
      </c>
      <c r="B43" s="55" t="s">
        <v>336</v>
      </c>
      <c r="C43" s="41">
        <v>39402</v>
      </c>
      <c r="D43" s="44" t="s">
        <v>256</v>
      </c>
      <c r="E43" s="44" t="s">
        <v>337</v>
      </c>
      <c r="F43" s="63">
        <v>165</v>
      </c>
      <c r="G43" s="63">
        <v>22</v>
      </c>
      <c r="H43" s="63">
        <v>14</v>
      </c>
      <c r="I43" s="200">
        <v>22169</v>
      </c>
      <c r="J43" s="201">
        <v>4284</v>
      </c>
      <c r="K43" s="214">
        <f>J43/G43</f>
        <v>194.72727272727272</v>
      </c>
      <c r="L43" s="138">
        <f>IF(I43&lt;&gt;0,I43/J43,"")</f>
        <v>5.17483660130719</v>
      </c>
      <c r="M43" s="204">
        <f>12736195.5+635116+336718.5+243017+121597.5+87378+27897.5+22169</f>
        <v>14210089</v>
      </c>
      <c r="N43" s="197">
        <f>271934+322135+339926+262189+150199+208899+146862+92002+47008+33955+17959+14849+4943+4284</f>
        <v>1917144</v>
      </c>
      <c r="O43" s="81">
        <f>+M43/N43</f>
        <v>7.412113539723673</v>
      </c>
      <c r="P43" s="260"/>
    </row>
    <row r="44" spans="1:16" ht="15">
      <c r="A44" s="91">
        <v>41</v>
      </c>
      <c r="B44" s="56" t="s">
        <v>316</v>
      </c>
      <c r="C44" s="42">
        <v>39430</v>
      </c>
      <c r="D44" s="46" t="s">
        <v>262</v>
      </c>
      <c r="E44" s="46" t="s">
        <v>263</v>
      </c>
      <c r="F44" s="63">
        <v>64</v>
      </c>
      <c r="G44" s="43">
        <v>26</v>
      </c>
      <c r="H44" s="43">
        <v>7</v>
      </c>
      <c r="I44" s="195">
        <v>22027</v>
      </c>
      <c r="J44" s="196">
        <v>3719</v>
      </c>
      <c r="K44" s="214">
        <f>J44/G44</f>
        <v>143.03846153846155</v>
      </c>
      <c r="L44" s="215">
        <f>I44/J44</f>
        <v>5.92282871739715</v>
      </c>
      <c r="M44" s="199">
        <f>183581+192120.5+67824+23763.5+5798.5+5467+22027</f>
        <v>500581.5</v>
      </c>
      <c r="N44" s="197">
        <f>20071+21989+8620+4128+850+1010+3719</f>
        <v>60387</v>
      </c>
      <c r="O44" s="225">
        <f>M44/N44</f>
        <v>8.289557355059864</v>
      </c>
      <c r="P44" s="260"/>
    </row>
    <row r="45" spans="1:16" ht="15">
      <c r="A45" s="91">
        <v>42</v>
      </c>
      <c r="B45" s="57" t="s">
        <v>220</v>
      </c>
      <c r="C45" s="42">
        <v>39444</v>
      </c>
      <c r="D45" s="47" t="s">
        <v>126</v>
      </c>
      <c r="E45" s="47" t="s">
        <v>210</v>
      </c>
      <c r="F45" s="88">
        <v>25</v>
      </c>
      <c r="G45" s="89">
        <v>11</v>
      </c>
      <c r="H45" s="88">
        <v>3</v>
      </c>
      <c r="I45" s="205">
        <v>21107</v>
      </c>
      <c r="J45" s="206">
        <v>2398</v>
      </c>
      <c r="K45" s="214">
        <f>J45/G45</f>
        <v>218</v>
      </c>
      <c r="L45" s="215">
        <f>I45/J45</f>
        <v>8.801918265221017</v>
      </c>
      <c r="M45" s="207">
        <v>251602.75</v>
      </c>
      <c r="N45" s="208">
        <v>24936</v>
      </c>
      <c r="O45" s="226">
        <f>+M45/N45</f>
        <v>10.089940247032404</v>
      </c>
      <c r="P45" s="377"/>
    </row>
    <row r="46" spans="1:16" ht="15">
      <c r="A46" s="91">
        <v>43</v>
      </c>
      <c r="B46" s="56" t="s">
        <v>323</v>
      </c>
      <c r="C46" s="41">
        <v>39437</v>
      </c>
      <c r="D46" s="46" t="s">
        <v>262</v>
      </c>
      <c r="E46" s="46" t="s">
        <v>324</v>
      </c>
      <c r="F46" s="270">
        <v>156</v>
      </c>
      <c r="G46" s="43">
        <v>18</v>
      </c>
      <c r="H46" s="43">
        <v>8</v>
      </c>
      <c r="I46" s="86">
        <v>18497.5</v>
      </c>
      <c r="J46" s="95">
        <v>3143</v>
      </c>
      <c r="K46" s="137">
        <f>IF(I46&lt;&gt;0,J46/G46,"")</f>
        <v>174.61111111111111</v>
      </c>
      <c r="L46" s="203">
        <f>IF(I46&lt;&gt;0,I46/J46,"")</f>
        <v>5.885300668151448</v>
      </c>
      <c r="M46" s="136">
        <f>1780127+1212579.5+721829.5+404706.5+230406+56484.5+45824+18497.5</f>
        <v>4470454.5</v>
      </c>
      <c r="N46" s="134">
        <f>240776+165120+97288+55998+35394+10296+9476+3143</f>
        <v>617491</v>
      </c>
      <c r="O46" s="224">
        <f>IF(M46&lt;&gt;0,M46/N46,"")</f>
        <v>7.239707947160364</v>
      </c>
      <c r="P46" s="377">
        <v>1</v>
      </c>
    </row>
    <row r="47" spans="1:16" ht="15">
      <c r="A47" s="91">
        <v>44</v>
      </c>
      <c r="B47" s="56" t="s">
        <v>313</v>
      </c>
      <c r="C47" s="42">
        <v>39430</v>
      </c>
      <c r="D47" s="87" t="s">
        <v>261</v>
      </c>
      <c r="E47" s="87" t="s">
        <v>104</v>
      </c>
      <c r="F47" s="43">
        <v>137</v>
      </c>
      <c r="G47" s="43">
        <v>24</v>
      </c>
      <c r="H47" s="43">
        <v>7</v>
      </c>
      <c r="I47" s="195">
        <v>17821</v>
      </c>
      <c r="J47" s="196">
        <v>3662</v>
      </c>
      <c r="K47" s="214">
        <f>J47/G47</f>
        <v>152.58333333333334</v>
      </c>
      <c r="L47" s="135">
        <f>+I47/J47</f>
        <v>4.866466411796832</v>
      </c>
      <c r="M47" s="199">
        <v>3538616</v>
      </c>
      <c r="N47" s="197">
        <v>456230</v>
      </c>
      <c r="O47" s="81">
        <f>+M47/N47</f>
        <v>7.756210683208031</v>
      </c>
      <c r="P47" s="377"/>
    </row>
    <row r="48" spans="1:16" ht="15">
      <c r="A48" s="91">
        <v>45</v>
      </c>
      <c r="B48" s="57" t="s">
        <v>215</v>
      </c>
      <c r="C48" s="41">
        <v>39444</v>
      </c>
      <c r="D48" s="47" t="s">
        <v>309</v>
      </c>
      <c r="E48" s="47" t="s">
        <v>309</v>
      </c>
      <c r="F48" s="58">
        <v>14</v>
      </c>
      <c r="G48" s="58">
        <v>6</v>
      </c>
      <c r="H48" s="58">
        <v>4</v>
      </c>
      <c r="I48" s="205">
        <v>14765</v>
      </c>
      <c r="J48" s="206">
        <v>1820</v>
      </c>
      <c r="K48" s="202">
        <f>+J48/G48</f>
        <v>303.3333333333333</v>
      </c>
      <c r="L48" s="203">
        <f>+I48/J48</f>
        <v>8.112637362637363</v>
      </c>
      <c r="M48" s="207">
        <v>230203</v>
      </c>
      <c r="N48" s="208">
        <v>22372</v>
      </c>
      <c r="O48" s="224">
        <f>+M48/N48</f>
        <v>10.289781870194886</v>
      </c>
      <c r="P48" s="377">
        <v>1</v>
      </c>
    </row>
    <row r="49" spans="1:16" ht="15">
      <c r="A49" s="91">
        <v>46</v>
      </c>
      <c r="B49" s="56" t="s">
        <v>316</v>
      </c>
      <c r="C49" s="42">
        <v>39430</v>
      </c>
      <c r="D49" s="46" t="s">
        <v>262</v>
      </c>
      <c r="E49" s="46" t="s">
        <v>263</v>
      </c>
      <c r="F49" s="63">
        <v>64</v>
      </c>
      <c r="G49" s="43">
        <v>18</v>
      </c>
      <c r="H49" s="43">
        <v>8</v>
      </c>
      <c r="I49" s="195">
        <v>14042</v>
      </c>
      <c r="J49" s="196">
        <v>2499</v>
      </c>
      <c r="K49" s="214">
        <f>J49/G49</f>
        <v>138.83333333333334</v>
      </c>
      <c r="L49" s="215">
        <f>I49/J49</f>
        <v>5.619047619047619</v>
      </c>
      <c r="M49" s="199">
        <f>183581+192120.5+67824+23763.5+5798.5+5467+22027+14042</f>
        <v>514623.5</v>
      </c>
      <c r="N49" s="197">
        <f>20071+21989+8620+4128+850+1010+3719+2499</f>
        <v>62886</v>
      </c>
      <c r="O49" s="225">
        <f>M49/N49</f>
        <v>8.1834351047928</v>
      </c>
      <c r="P49" s="260"/>
    </row>
    <row r="50" spans="1:16" ht="15">
      <c r="A50" s="91">
        <v>47</v>
      </c>
      <c r="B50" s="57" t="s">
        <v>215</v>
      </c>
      <c r="C50" s="41">
        <v>39444</v>
      </c>
      <c r="D50" s="47" t="s">
        <v>309</v>
      </c>
      <c r="E50" s="47" t="s">
        <v>309</v>
      </c>
      <c r="F50" s="58">
        <v>14</v>
      </c>
      <c r="G50" s="58">
        <v>6</v>
      </c>
      <c r="H50" s="58">
        <v>3</v>
      </c>
      <c r="I50" s="205">
        <v>13291</v>
      </c>
      <c r="J50" s="206">
        <v>1952</v>
      </c>
      <c r="K50" s="202">
        <f>+J50/G50</f>
        <v>325.3333333333333</v>
      </c>
      <c r="L50" s="203">
        <f>+I50/J50</f>
        <v>6.808913934426229</v>
      </c>
      <c r="M50" s="207">
        <v>215438</v>
      </c>
      <c r="N50" s="208">
        <v>20552</v>
      </c>
      <c r="O50" s="224">
        <f>+M50/N50</f>
        <v>10.48258077072791</v>
      </c>
      <c r="P50" s="260"/>
    </row>
    <row r="51" spans="1:16" ht="15">
      <c r="A51" s="91">
        <v>48</v>
      </c>
      <c r="B51" s="55" t="s">
        <v>156</v>
      </c>
      <c r="C51" s="41">
        <v>39423</v>
      </c>
      <c r="D51" s="44" t="s">
        <v>256</v>
      </c>
      <c r="E51" s="44" t="s">
        <v>251</v>
      </c>
      <c r="F51" s="63">
        <v>164</v>
      </c>
      <c r="G51" s="63">
        <v>16</v>
      </c>
      <c r="H51" s="63">
        <v>7</v>
      </c>
      <c r="I51" s="200">
        <v>13282</v>
      </c>
      <c r="J51" s="201">
        <v>2845</v>
      </c>
      <c r="K51" s="202">
        <f>IF(I51&lt;&gt;0,J51/G51,"")</f>
        <v>177.8125</v>
      </c>
      <c r="L51" s="203">
        <f>IF(I51&lt;&gt;0,I51/J51,"")</f>
        <v>4.668541300527241</v>
      </c>
      <c r="M51" s="204">
        <f>1455428+896564.5+785700+295594.5+45815.5+11311.5+13282</f>
        <v>3503696</v>
      </c>
      <c r="N51" s="197">
        <f>172176+105411+97548+39201+8243+2114+2845</f>
        <v>427538</v>
      </c>
      <c r="O51" s="224">
        <f>IF(M51&lt;&gt;0,M51/N51,"")</f>
        <v>8.195051667921916</v>
      </c>
      <c r="P51" s="336"/>
    </row>
    <row r="52" spans="1:16" ht="15">
      <c r="A52" s="91">
        <v>49</v>
      </c>
      <c r="B52" s="55" t="s">
        <v>214</v>
      </c>
      <c r="C52" s="41">
        <v>39444</v>
      </c>
      <c r="D52" s="45" t="s">
        <v>260</v>
      </c>
      <c r="E52" s="44" t="s">
        <v>107</v>
      </c>
      <c r="F52" s="63">
        <v>60</v>
      </c>
      <c r="G52" s="63">
        <v>25</v>
      </c>
      <c r="H52" s="63">
        <v>3</v>
      </c>
      <c r="I52" s="205">
        <v>13033</v>
      </c>
      <c r="J52" s="206">
        <v>1560</v>
      </c>
      <c r="K52" s="214">
        <f>J52/G52</f>
        <v>62.4</v>
      </c>
      <c r="L52" s="215">
        <f>I52/J52</f>
        <v>8.35448717948718</v>
      </c>
      <c r="M52" s="207">
        <f>211429+90759+13033</f>
        <v>315221</v>
      </c>
      <c r="N52" s="208">
        <f>22982+9879+1560</f>
        <v>34421</v>
      </c>
      <c r="O52" s="226">
        <f>+M52/N52</f>
        <v>9.157810638854189</v>
      </c>
      <c r="P52" s="260">
        <v>1</v>
      </c>
    </row>
    <row r="53" spans="1:16" ht="15">
      <c r="A53" s="91">
        <v>50</v>
      </c>
      <c r="B53" s="56" t="s">
        <v>336</v>
      </c>
      <c r="C53" s="41">
        <v>39402</v>
      </c>
      <c r="D53" s="46" t="s">
        <v>256</v>
      </c>
      <c r="E53" s="46" t="s">
        <v>337</v>
      </c>
      <c r="F53" s="43">
        <v>165</v>
      </c>
      <c r="G53" s="43">
        <v>4</v>
      </c>
      <c r="H53" s="43">
        <v>22</v>
      </c>
      <c r="I53" s="195">
        <v>12776</v>
      </c>
      <c r="J53" s="196">
        <v>2576</v>
      </c>
      <c r="K53" s="214">
        <f>IF(I53&lt;&gt;0,J53/G53,"")</f>
        <v>644</v>
      </c>
      <c r="L53" s="215">
        <f>I53/J53</f>
        <v>4.959627329192546</v>
      </c>
      <c r="M53" s="199">
        <f>12736195.5+635116+336718.5+243017+121597.5+87378+27897.5+22169+10074+11918+6458+34768+1068+97+472+12776</f>
        <v>14287720</v>
      </c>
      <c r="N53" s="197">
        <f>271934+322135+339926+262189+150199+208899+146862+92002+47008+33955+17959+14849+4943+4284+1914+2027+1272+7140+334+29+102+2576</f>
        <v>1932538</v>
      </c>
      <c r="O53" s="226">
        <f>+M53/N53</f>
        <v>7.393241426559271</v>
      </c>
      <c r="P53" s="260"/>
    </row>
    <row r="54" spans="1:16" ht="15">
      <c r="A54" s="91">
        <v>51</v>
      </c>
      <c r="B54" s="56" t="s">
        <v>311</v>
      </c>
      <c r="C54" s="42">
        <v>39430</v>
      </c>
      <c r="D54" s="87" t="s">
        <v>261</v>
      </c>
      <c r="E54" s="87" t="s">
        <v>5</v>
      </c>
      <c r="F54" s="43">
        <v>242</v>
      </c>
      <c r="G54" s="43">
        <v>20</v>
      </c>
      <c r="H54" s="43">
        <v>10</v>
      </c>
      <c r="I54" s="195">
        <v>12659</v>
      </c>
      <c r="J54" s="196">
        <v>2545</v>
      </c>
      <c r="K54" s="214">
        <f>J54/G54</f>
        <v>127.25</v>
      </c>
      <c r="L54" s="135">
        <f>+I54/J54</f>
        <v>4.974066797642436</v>
      </c>
      <c r="M54" s="199">
        <v>15270197</v>
      </c>
      <c r="N54" s="197">
        <v>1981577</v>
      </c>
      <c r="O54" s="81">
        <f>+M54/N54</f>
        <v>7.7060830843313175</v>
      </c>
      <c r="P54" s="260"/>
    </row>
    <row r="55" spans="1:16" ht="15">
      <c r="A55" s="91">
        <v>52</v>
      </c>
      <c r="B55" s="55" t="s">
        <v>336</v>
      </c>
      <c r="C55" s="41">
        <v>39402</v>
      </c>
      <c r="D55" s="44" t="s">
        <v>256</v>
      </c>
      <c r="E55" s="44" t="s">
        <v>337</v>
      </c>
      <c r="F55" s="63">
        <v>165</v>
      </c>
      <c r="G55" s="63">
        <v>10</v>
      </c>
      <c r="H55" s="63">
        <v>16</v>
      </c>
      <c r="I55" s="94">
        <v>11918</v>
      </c>
      <c r="J55" s="117">
        <v>2027</v>
      </c>
      <c r="K55" s="144">
        <f>J55/G55</f>
        <v>202.7</v>
      </c>
      <c r="L55" s="215">
        <f>I55/J55</f>
        <v>5.879625061667489</v>
      </c>
      <c r="M55" s="139">
        <f>12736195.5+635116+336718.5+243017+121597.5+87378+27897.5+22169+10074+11918</f>
        <v>14232081</v>
      </c>
      <c r="N55" s="134">
        <f>271934+322135+339926+262189+150199+208899+146862+92002+47008+33955+17959+14849+4943+4284+1914+2027</f>
        <v>1921085</v>
      </c>
      <c r="O55" s="226">
        <f>+M55/N55</f>
        <v>7.408355694828703</v>
      </c>
      <c r="P55" s="260"/>
    </row>
    <row r="56" spans="1:16" ht="15">
      <c r="A56" s="91">
        <v>53</v>
      </c>
      <c r="B56" s="56" t="s">
        <v>338</v>
      </c>
      <c r="C56" s="42">
        <v>39402</v>
      </c>
      <c r="D56" s="87" t="s">
        <v>261</v>
      </c>
      <c r="E56" s="87" t="s">
        <v>312</v>
      </c>
      <c r="F56" s="43">
        <v>130</v>
      </c>
      <c r="G56" s="43">
        <v>5</v>
      </c>
      <c r="H56" s="43">
        <v>11</v>
      </c>
      <c r="I56" s="195">
        <v>11788</v>
      </c>
      <c r="J56" s="196">
        <v>2832</v>
      </c>
      <c r="K56" s="197">
        <f>J56/G56</f>
        <v>566.4</v>
      </c>
      <c r="L56" s="198">
        <f>+I56/J56</f>
        <v>4.1624293785310735</v>
      </c>
      <c r="M56" s="199">
        <v>2089594</v>
      </c>
      <c r="N56" s="197">
        <v>263551</v>
      </c>
      <c r="O56" s="223">
        <f>+M56/N56</f>
        <v>7.9286134372474395</v>
      </c>
      <c r="P56" s="260"/>
    </row>
    <row r="57" spans="1:16" ht="15">
      <c r="A57" s="91">
        <v>54</v>
      </c>
      <c r="B57" s="56" t="s">
        <v>310</v>
      </c>
      <c r="C57" s="41">
        <v>39423</v>
      </c>
      <c r="D57" s="46" t="s">
        <v>256</v>
      </c>
      <c r="E57" s="46" t="s">
        <v>251</v>
      </c>
      <c r="F57" s="43">
        <v>164</v>
      </c>
      <c r="G57" s="43">
        <v>3</v>
      </c>
      <c r="H57" s="43">
        <v>15</v>
      </c>
      <c r="I57" s="86">
        <v>11641</v>
      </c>
      <c r="J57" s="196">
        <v>2323</v>
      </c>
      <c r="K57" s="214">
        <f>IF(I57&lt;&gt;0,J57/G57,"")</f>
        <v>774.3333333333334</v>
      </c>
      <c r="L57" s="215">
        <f>IF(I57&lt;&gt;0,I57/J57,"")</f>
        <v>5.0111924235901855</v>
      </c>
      <c r="M57" s="136">
        <f>1455428+896564.5+785700+295594.5+45815.5+11311.5+13282+11389+10839+9534+2826+2532+168+361+11641</f>
        <v>3552986</v>
      </c>
      <c r="N57" s="197">
        <f>172176+105411+97548+39201+8243+2114+2845+2112+2384+1888+598+623+42+63+2323</f>
        <v>437571</v>
      </c>
      <c r="O57" s="226">
        <f>IF(M57&lt;&gt;0,M57/N57,"")</f>
        <v>8.119793130714786</v>
      </c>
      <c r="P57" s="260"/>
    </row>
    <row r="58" spans="1:16" ht="15">
      <c r="A58" s="91">
        <v>55</v>
      </c>
      <c r="B58" s="55" t="s">
        <v>310</v>
      </c>
      <c r="C58" s="41">
        <v>39423</v>
      </c>
      <c r="D58" s="44" t="s">
        <v>256</v>
      </c>
      <c r="E58" s="44" t="s">
        <v>251</v>
      </c>
      <c r="F58" s="63">
        <v>164</v>
      </c>
      <c r="G58" s="63">
        <v>12</v>
      </c>
      <c r="H58" s="63">
        <v>8</v>
      </c>
      <c r="I58" s="200">
        <v>11389</v>
      </c>
      <c r="J58" s="201">
        <v>2112</v>
      </c>
      <c r="K58" s="202">
        <f>IF(I58&lt;&gt;0,J58/G58,"")</f>
        <v>176</v>
      </c>
      <c r="L58" s="203">
        <f>IF(I58&lt;&gt;0,I58/J58,"")</f>
        <v>5.3925189393939394</v>
      </c>
      <c r="M58" s="204">
        <f>1455428+896564.5+785700+295594.5+45815.5+11311.5+13282+11389</f>
        <v>3515085</v>
      </c>
      <c r="N58" s="197">
        <f>172176+105411+97548+39201+8243+2114+2845+2112</f>
        <v>429650</v>
      </c>
      <c r="O58" s="224">
        <f>IF(M58&lt;&gt;0,M58/N58,"")</f>
        <v>8.181275456767136</v>
      </c>
      <c r="P58" s="260">
        <v>1</v>
      </c>
    </row>
    <row r="59" spans="1:16" ht="15">
      <c r="A59" s="91">
        <v>56</v>
      </c>
      <c r="B59" s="55" t="s">
        <v>310</v>
      </c>
      <c r="C59" s="41">
        <v>39423</v>
      </c>
      <c r="D59" s="44" t="s">
        <v>256</v>
      </c>
      <c r="E59" s="216" t="s">
        <v>251</v>
      </c>
      <c r="F59" s="63">
        <v>164</v>
      </c>
      <c r="G59" s="63">
        <v>16</v>
      </c>
      <c r="H59" s="63">
        <v>6</v>
      </c>
      <c r="I59" s="200">
        <v>11311.5</v>
      </c>
      <c r="J59" s="201">
        <v>2114</v>
      </c>
      <c r="K59" s="202">
        <f>IF(I59&lt;&gt;0,J59/G59,"")</f>
        <v>132.125</v>
      </c>
      <c r="L59" s="203">
        <f>IF(I59&lt;&gt;0,I59/J59,"")</f>
        <v>5.3507568590350045</v>
      </c>
      <c r="M59" s="204">
        <f>1455428+896564.5+785700+295594.5+45815.5+11311.5</f>
        <v>3490414</v>
      </c>
      <c r="N59" s="197">
        <f>172176+105411+97548+39201+8243+2114</f>
        <v>424693</v>
      </c>
      <c r="O59" s="224">
        <f>IF(M59&lt;&gt;0,M59/N59,"")</f>
        <v>8.218675608027446</v>
      </c>
      <c r="P59" s="260"/>
    </row>
    <row r="60" spans="1:16" ht="15">
      <c r="A60" s="91">
        <v>57</v>
      </c>
      <c r="B60" s="56" t="s">
        <v>435</v>
      </c>
      <c r="C60" s="42">
        <v>39409</v>
      </c>
      <c r="D60" s="87" t="s">
        <v>261</v>
      </c>
      <c r="E60" s="87" t="s">
        <v>266</v>
      </c>
      <c r="F60" s="43">
        <v>55</v>
      </c>
      <c r="G60" s="43">
        <v>11</v>
      </c>
      <c r="H60" s="43">
        <v>7</v>
      </c>
      <c r="I60" s="86">
        <v>10990</v>
      </c>
      <c r="J60" s="95">
        <v>1940</v>
      </c>
      <c r="K60" s="134">
        <f>J60/G60</f>
        <v>176.36363636363637</v>
      </c>
      <c r="L60" s="135">
        <f>+I60/J60</f>
        <v>5.664948453608248</v>
      </c>
      <c r="M60" s="136">
        <v>1099808</v>
      </c>
      <c r="N60" s="134">
        <v>114498</v>
      </c>
      <c r="O60" s="158">
        <f>+M60/N60</f>
        <v>9.605477824940174</v>
      </c>
      <c r="P60" s="260"/>
    </row>
    <row r="61" spans="1:16" ht="15">
      <c r="A61" s="91">
        <v>58</v>
      </c>
      <c r="B61" s="55" t="s">
        <v>310</v>
      </c>
      <c r="C61" s="41">
        <v>39423</v>
      </c>
      <c r="D61" s="44" t="s">
        <v>256</v>
      </c>
      <c r="E61" s="44" t="s">
        <v>251</v>
      </c>
      <c r="F61" s="63">
        <v>164</v>
      </c>
      <c r="G61" s="63">
        <v>11</v>
      </c>
      <c r="H61" s="63">
        <v>9</v>
      </c>
      <c r="I61" s="200">
        <v>10839</v>
      </c>
      <c r="J61" s="201">
        <v>2384</v>
      </c>
      <c r="K61" s="214">
        <f>J61/G61</f>
        <v>216.72727272727272</v>
      </c>
      <c r="L61" s="215">
        <f>I61/J61</f>
        <v>4.546560402684563</v>
      </c>
      <c r="M61" s="204">
        <f>1455428+896564.5+785700+295594.5+45815.5+11311.5+13282+11389+10839</f>
        <v>3525924</v>
      </c>
      <c r="N61" s="197">
        <f>172176+105411+97548+39201+8243+2114+2845+2112+2384</f>
        <v>432034</v>
      </c>
      <c r="O61" s="224">
        <f>IF(M61&lt;&gt;0,M61/N61,"")</f>
        <v>8.161218792965368</v>
      </c>
      <c r="P61" s="372"/>
    </row>
    <row r="62" spans="1:16" ht="15">
      <c r="A62" s="91">
        <v>59</v>
      </c>
      <c r="B62" s="56" t="s">
        <v>323</v>
      </c>
      <c r="C62" s="41">
        <v>39437</v>
      </c>
      <c r="D62" s="46" t="s">
        <v>262</v>
      </c>
      <c r="E62" s="46" t="s">
        <v>324</v>
      </c>
      <c r="F62" s="43">
        <v>156</v>
      </c>
      <c r="G62" s="43">
        <v>14</v>
      </c>
      <c r="H62" s="43">
        <v>9</v>
      </c>
      <c r="I62" s="195">
        <v>10529</v>
      </c>
      <c r="J62" s="196">
        <v>2091</v>
      </c>
      <c r="K62" s="214">
        <f>J62/G62</f>
        <v>149.35714285714286</v>
      </c>
      <c r="L62" s="145">
        <f>I62/J62</f>
        <v>5.035389765662362</v>
      </c>
      <c r="M62" s="199">
        <f>1780127+1212579.5+721829.5+404706.5+230406+56484.5+45824+18497.5+10529</f>
        <v>4480983.5</v>
      </c>
      <c r="N62" s="197">
        <f>240776+165120+97288+55998+35394+10296+9476+3143+2091</f>
        <v>619582</v>
      </c>
      <c r="O62" s="81">
        <f>+M62/N62</f>
        <v>7.232268690827041</v>
      </c>
      <c r="P62" s="260"/>
    </row>
    <row r="63" spans="1:16" ht="15">
      <c r="A63" s="91">
        <v>60</v>
      </c>
      <c r="B63" s="55" t="s">
        <v>336</v>
      </c>
      <c r="C63" s="41">
        <v>39402</v>
      </c>
      <c r="D63" s="44" t="s">
        <v>256</v>
      </c>
      <c r="E63" s="44" t="s">
        <v>337</v>
      </c>
      <c r="F63" s="63">
        <v>165</v>
      </c>
      <c r="G63" s="63">
        <v>15</v>
      </c>
      <c r="H63" s="63">
        <v>15</v>
      </c>
      <c r="I63" s="200">
        <v>10074</v>
      </c>
      <c r="J63" s="201">
        <v>1914</v>
      </c>
      <c r="K63" s="214">
        <f>J63/G63</f>
        <v>127.6</v>
      </c>
      <c r="L63" s="215">
        <f>I63/J63</f>
        <v>5.263322884012539</v>
      </c>
      <c r="M63" s="204">
        <f>12736195.5+635116+336718.5+243017+121597.5+87378+27897.5+22169+10074</f>
        <v>14220163</v>
      </c>
      <c r="N63" s="197">
        <f>271934+322135+339926+262189+150199+208899+146862+92002+47008+33955+17959+14849+4943+4284+1914</f>
        <v>1919058</v>
      </c>
      <c r="O63" s="226">
        <f>+M63/N63</f>
        <v>7.409970412566999</v>
      </c>
      <c r="P63" s="336"/>
    </row>
    <row r="64" spans="1:15" ht="15">
      <c r="A64" s="91">
        <v>61</v>
      </c>
      <c r="B64" s="56" t="s">
        <v>323</v>
      </c>
      <c r="C64" s="41">
        <v>39437</v>
      </c>
      <c r="D64" s="46" t="s">
        <v>262</v>
      </c>
      <c r="E64" s="46" t="s">
        <v>324</v>
      </c>
      <c r="F64" s="43">
        <v>156</v>
      </c>
      <c r="G64" s="43">
        <v>7</v>
      </c>
      <c r="H64" s="43">
        <v>10</v>
      </c>
      <c r="I64" s="195">
        <v>9795.5</v>
      </c>
      <c r="J64" s="196">
        <v>2258</v>
      </c>
      <c r="K64" s="214">
        <f>J64/G64</f>
        <v>322.57142857142856</v>
      </c>
      <c r="L64" s="215">
        <f>I64/J64</f>
        <v>4.338131089459699</v>
      </c>
      <c r="M64" s="199">
        <f>1780127+1212579.5+721829.5+404706.5+230406+56484.5+45824+18497.5+10529+9795.5</f>
        <v>4490779</v>
      </c>
      <c r="N64" s="197">
        <f>240776+165120+97288+55998+35394+10296+9476+3143+2091+2258</f>
        <v>621840</v>
      </c>
      <c r="O64" s="226">
        <f>+M64/N64</f>
        <v>7.221759616621639</v>
      </c>
    </row>
    <row r="65" spans="1:16" ht="15">
      <c r="A65" s="91">
        <v>62</v>
      </c>
      <c r="B65" s="55" t="s">
        <v>310</v>
      </c>
      <c r="C65" s="41">
        <v>39423</v>
      </c>
      <c r="D65" s="44" t="s">
        <v>256</v>
      </c>
      <c r="E65" s="44" t="s">
        <v>251</v>
      </c>
      <c r="F65" s="63">
        <v>164</v>
      </c>
      <c r="G65" s="63">
        <v>9</v>
      </c>
      <c r="H65" s="63">
        <v>10</v>
      </c>
      <c r="I65" s="94">
        <v>9534</v>
      </c>
      <c r="J65" s="117">
        <v>1888</v>
      </c>
      <c r="K65" s="137">
        <f>IF(I65&lt;&gt;0,J65/G65,"")</f>
        <v>209.77777777777777</v>
      </c>
      <c r="L65" s="203">
        <f>IF(I65&lt;&gt;0,I65/J65,"")</f>
        <v>5.049788135593221</v>
      </c>
      <c r="M65" s="139">
        <f>1455428+896564.5+785700+295594.5+45815.5+11311.5+13282+11389+10839+9534</f>
        <v>3535458</v>
      </c>
      <c r="N65" s="134">
        <f>172176+105411+97548+39201+8243+2114+2845+2112+2384+1888</f>
        <v>433922</v>
      </c>
      <c r="O65" s="224">
        <f>IF(M65&lt;&gt;0,M65/N65,"")</f>
        <v>8.14768091961228</v>
      </c>
      <c r="P65" s="336"/>
    </row>
    <row r="66" spans="1:16" ht="15">
      <c r="A66" s="91">
        <v>63</v>
      </c>
      <c r="B66" s="56" t="s">
        <v>339</v>
      </c>
      <c r="C66" s="42">
        <v>39402</v>
      </c>
      <c r="D66" s="46" t="s">
        <v>262</v>
      </c>
      <c r="E66" s="46" t="s">
        <v>308</v>
      </c>
      <c r="F66" s="43">
        <v>125</v>
      </c>
      <c r="G66" s="43">
        <v>7</v>
      </c>
      <c r="H66" s="43">
        <v>9</v>
      </c>
      <c r="I66" s="195">
        <v>9292</v>
      </c>
      <c r="J66" s="196">
        <v>2353</v>
      </c>
      <c r="K66" s="197">
        <f>J66/G66</f>
        <v>336.14285714285717</v>
      </c>
      <c r="L66" s="198">
        <f>+I66/J66</f>
        <v>3.9490012749681256</v>
      </c>
      <c r="M66" s="199">
        <f>676439.5+554539.5+408532.5+265092+4+63975.5-30+36417+32233.5+29355.5+9292</f>
        <v>2075851</v>
      </c>
      <c r="N66" s="197">
        <f>91933+76364+57186+39863+2+10711+6714+6020+5300+2353</f>
        <v>296446</v>
      </c>
      <c r="O66" s="223">
        <f>+M66/N66</f>
        <v>7.002459132523293</v>
      </c>
      <c r="P66" s="250">
        <v>1</v>
      </c>
    </row>
    <row r="67" spans="1:16" ht="15">
      <c r="A67" s="91">
        <v>64</v>
      </c>
      <c r="B67" s="300" t="s">
        <v>313</v>
      </c>
      <c r="C67" s="42">
        <v>39430</v>
      </c>
      <c r="D67" s="294" t="s">
        <v>261</v>
      </c>
      <c r="E67" s="294" t="s">
        <v>104</v>
      </c>
      <c r="F67" s="43">
        <v>137</v>
      </c>
      <c r="G67" s="43">
        <v>24</v>
      </c>
      <c r="H67" s="43">
        <v>14</v>
      </c>
      <c r="I67" s="195">
        <v>8931</v>
      </c>
      <c r="J67" s="196">
        <v>2151</v>
      </c>
      <c r="K67" s="214">
        <f>J67/G67</f>
        <v>89.625</v>
      </c>
      <c r="L67" s="215">
        <f>I67/J67</f>
        <v>4.152022315202231</v>
      </c>
      <c r="M67" s="199">
        <v>3547549</v>
      </c>
      <c r="N67" s="197">
        <v>458381</v>
      </c>
      <c r="O67" s="226">
        <f>+M67/N67</f>
        <v>7.739302021680654</v>
      </c>
      <c r="P67" s="336"/>
    </row>
    <row r="68" spans="1:15" ht="15">
      <c r="A68" s="91">
        <v>65</v>
      </c>
      <c r="B68" s="57" t="s">
        <v>314</v>
      </c>
      <c r="C68" s="41">
        <v>39430</v>
      </c>
      <c r="D68" s="47" t="s">
        <v>133</v>
      </c>
      <c r="E68" s="47" t="s">
        <v>216</v>
      </c>
      <c r="F68" s="64" t="s">
        <v>315</v>
      </c>
      <c r="G68" s="64" t="s">
        <v>131</v>
      </c>
      <c r="H68" s="64" t="s">
        <v>129</v>
      </c>
      <c r="I68" s="205">
        <v>8560</v>
      </c>
      <c r="J68" s="206">
        <v>1492</v>
      </c>
      <c r="K68" s="214">
        <f>J68/G68</f>
        <v>149.2</v>
      </c>
      <c r="L68" s="215">
        <f>I68/J68</f>
        <v>5.737265415549598</v>
      </c>
      <c r="M68" s="207">
        <v>1221354.44</v>
      </c>
      <c r="N68" s="208">
        <v>155422</v>
      </c>
      <c r="O68" s="226">
        <f>+M68/N68</f>
        <v>7.858311178597624</v>
      </c>
    </row>
    <row r="69" spans="1:16" ht="15">
      <c r="A69" s="91">
        <v>66</v>
      </c>
      <c r="B69" s="300" t="s">
        <v>313</v>
      </c>
      <c r="C69" s="42">
        <v>39430</v>
      </c>
      <c r="D69" s="294" t="s">
        <v>261</v>
      </c>
      <c r="E69" s="294" t="s">
        <v>104</v>
      </c>
      <c r="F69" s="43">
        <v>137</v>
      </c>
      <c r="G69" s="43">
        <v>8</v>
      </c>
      <c r="H69" s="43">
        <v>15</v>
      </c>
      <c r="I69" s="86">
        <v>6933</v>
      </c>
      <c r="J69" s="95">
        <v>1631</v>
      </c>
      <c r="K69" s="144">
        <f>J69/G69</f>
        <v>203.875</v>
      </c>
      <c r="L69" s="215">
        <f>I69/J69</f>
        <v>4.250766400980993</v>
      </c>
      <c r="M69" s="136">
        <v>3554470</v>
      </c>
      <c r="N69" s="134">
        <v>460058</v>
      </c>
      <c r="O69" s="226">
        <f>+M69/N69</f>
        <v>7.7261345308635</v>
      </c>
      <c r="P69" s="336"/>
    </row>
    <row r="70" spans="1:16" ht="15">
      <c r="A70" s="91">
        <v>67</v>
      </c>
      <c r="B70" s="55" t="s">
        <v>335</v>
      </c>
      <c r="C70" s="41">
        <v>39402</v>
      </c>
      <c r="D70" s="45" t="s">
        <v>260</v>
      </c>
      <c r="E70" s="44" t="s">
        <v>144</v>
      </c>
      <c r="F70" s="63">
        <v>20</v>
      </c>
      <c r="G70" s="63">
        <v>5</v>
      </c>
      <c r="H70" s="63">
        <v>9</v>
      </c>
      <c r="I70" s="205">
        <v>6557</v>
      </c>
      <c r="J70" s="206">
        <v>1089</v>
      </c>
      <c r="K70" s="214">
        <f>J70/G70</f>
        <v>217.8</v>
      </c>
      <c r="L70" s="215">
        <f>I70/J70</f>
        <v>6.0211202938475665</v>
      </c>
      <c r="M70" s="207">
        <f>8296+141704+66729+20126+11859+581+2076+3662+3777+6557</f>
        <v>265367</v>
      </c>
      <c r="N70" s="208">
        <f>702+12499+6089+1727+1871+101+444+549+663+1089</f>
        <v>25734</v>
      </c>
      <c r="O70" s="226">
        <f>+M70/N70</f>
        <v>10.311921970933396</v>
      </c>
      <c r="P70" s="336"/>
    </row>
    <row r="71" spans="1:16" ht="15">
      <c r="A71" s="91">
        <v>68</v>
      </c>
      <c r="B71" s="56" t="s">
        <v>336</v>
      </c>
      <c r="C71" s="41">
        <v>39402</v>
      </c>
      <c r="D71" s="46" t="s">
        <v>256</v>
      </c>
      <c r="E71" s="46" t="s">
        <v>337</v>
      </c>
      <c r="F71" s="43">
        <v>165</v>
      </c>
      <c r="G71" s="43">
        <v>4</v>
      </c>
      <c r="H71" s="43">
        <v>17</v>
      </c>
      <c r="I71" s="195">
        <v>6458</v>
      </c>
      <c r="J71" s="196">
        <v>1272</v>
      </c>
      <c r="K71" s="214">
        <f>IF(I71&lt;&gt;0,J71/G71,"")</f>
        <v>318</v>
      </c>
      <c r="L71" s="215">
        <f>IF(I71&lt;&gt;0,I71/J71,"")</f>
        <v>5.077044025157233</v>
      </c>
      <c r="M71" s="199">
        <f>12736195.5+635116+336718.5+243017+121597.5+87378+27897.5+22169+10074+11918+6458</f>
        <v>14238539</v>
      </c>
      <c r="N71" s="197">
        <f>271934+322135+339926+262189+150199+208899+146862+92002+47008+33955+17959+14849+4943+4284+1914+2027+1272</f>
        <v>1922357</v>
      </c>
      <c r="O71" s="226">
        <f>IF(M71&lt;&gt;0,M71/N71,"")</f>
        <v>7.406813094550076</v>
      </c>
      <c r="P71" s="336"/>
    </row>
    <row r="72" spans="1:16" ht="15">
      <c r="A72" s="91">
        <v>69</v>
      </c>
      <c r="B72" s="77" t="s">
        <v>438</v>
      </c>
      <c r="C72" s="61">
        <v>39416</v>
      </c>
      <c r="D72" s="80" t="s">
        <v>60</v>
      </c>
      <c r="E72" s="80" t="s">
        <v>254</v>
      </c>
      <c r="F72" s="78">
        <v>45</v>
      </c>
      <c r="G72" s="79">
        <v>10</v>
      </c>
      <c r="H72" s="79">
        <v>6</v>
      </c>
      <c r="I72" s="118">
        <v>6396.5</v>
      </c>
      <c r="J72" s="140">
        <v>1261</v>
      </c>
      <c r="K72" s="141">
        <v>92.17647058823529</v>
      </c>
      <c r="L72" s="142">
        <v>5.0644543714103385</v>
      </c>
      <c r="M72" s="143">
        <v>171628.5</v>
      </c>
      <c r="N72" s="151">
        <v>24962</v>
      </c>
      <c r="O72" s="160">
        <f>M72/N72</f>
        <v>6.875590898165211</v>
      </c>
      <c r="P72" s="336"/>
    </row>
    <row r="73" spans="1:16" ht="15">
      <c r="A73" s="91">
        <v>70</v>
      </c>
      <c r="B73" s="56" t="s">
        <v>339</v>
      </c>
      <c r="C73" s="42">
        <v>39402</v>
      </c>
      <c r="D73" s="46" t="s">
        <v>262</v>
      </c>
      <c r="E73" s="46" t="s">
        <v>308</v>
      </c>
      <c r="F73" s="43">
        <v>125</v>
      </c>
      <c r="G73" s="43">
        <v>2</v>
      </c>
      <c r="H73" s="43">
        <v>12</v>
      </c>
      <c r="I73" s="195">
        <v>6311.5</v>
      </c>
      <c r="J73" s="196">
        <v>1545</v>
      </c>
      <c r="K73" s="214">
        <f>J73/G73</f>
        <v>772.5</v>
      </c>
      <c r="L73" s="215">
        <f>I73/J73</f>
        <v>4.085113268608414</v>
      </c>
      <c r="M73" s="199">
        <f>676439.5+554539.5+408532.5+265092+4+63975.5-30+36417+32233.5+29355.5+9292+4684+3839.75+6311.5</f>
        <v>2090686.25</v>
      </c>
      <c r="N73" s="197">
        <f>91933+76364+57186+39863+2+10711+6714+6020+5300+2353+1269+898+1545</f>
        <v>300158</v>
      </c>
      <c r="O73" s="225">
        <f>M73/N73</f>
        <v>6.965285782821048</v>
      </c>
      <c r="P73" s="336"/>
    </row>
    <row r="74" spans="1:16" ht="15">
      <c r="A74" s="91">
        <v>71</v>
      </c>
      <c r="B74" s="56" t="s">
        <v>316</v>
      </c>
      <c r="C74" s="42">
        <v>39430</v>
      </c>
      <c r="D74" s="46" t="s">
        <v>262</v>
      </c>
      <c r="E74" s="46" t="s">
        <v>263</v>
      </c>
      <c r="F74" s="63">
        <v>64</v>
      </c>
      <c r="G74" s="43">
        <v>15</v>
      </c>
      <c r="H74" s="43">
        <v>5</v>
      </c>
      <c r="I74" s="195">
        <v>5798.5</v>
      </c>
      <c r="J74" s="196">
        <v>850</v>
      </c>
      <c r="K74" s="197">
        <f>J74/G74</f>
        <v>56.666666666666664</v>
      </c>
      <c r="L74" s="198">
        <f>+I74/J74</f>
        <v>6.8217647058823525</v>
      </c>
      <c r="M74" s="199">
        <f>183581+192120.5+67824+23763.5+5798.5</f>
        <v>473087.5</v>
      </c>
      <c r="N74" s="197">
        <f>20071+21989+8620+4128+850</f>
        <v>55658</v>
      </c>
      <c r="O74" s="223">
        <f>+M74/N74</f>
        <v>8.499901182219986</v>
      </c>
      <c r="P74" s="336"/>
    </row>
    <row r="75" spans="1:16" ht="15">
      <c r="A75" s="91">
        <v>72</v>
      </c>
      <c r="B75" s="56" t="s">
        <v>316</v>
      </c>
      <c r="C75" s="42">
        <v>39430</v>
      </c>
      <c r="D75" s="46" t="s">
        <v>262</v>
      </c>
      <c r="E75" s="46" t="s">
        <v>263</v>
      </c>
      <c r="F75" s="63">
        <v>64</v>
      </c>
      <c r="G75" s="43">
        <v>12</v>
      </c>
      <c r="H75" s="43">
        <v>6</v>
      </c>
      <c r="I75" s="195">
        <v>5467</v>
      </c>
      <c r="J75" s="196">
        <v>1010</v>
      </c>
      <c r="K75" s="214">
        <f>J75/G75</f>
        <v>84.16666666666667</v>
      </c>
      <c r="L75" s="215">
        <f>I75/J75</f>
        <v>5.412871287128713</v>
      </c>
      <c r="M75" s="199">
        <f>183581+192120.5+67824+23763.5+5798.5+5467</f>
        <v>478554.5</v>
      </c>
      <c r="N75" s="197">
        <f>20071+21989+8620+4128+850+1010</f>
        <v>56668</v>
      </c>
      <c r="O75" s="226">
        <f>+M75/N75</f>
        <v>8.444880708689208</v>
      </c>
      <c r="P75" s="336"/>
    </row>
    <row r="76" spans="1:16" ht="18">
      <c r="A76" s="91">
        <v>73</v>
      </c>
      <c r="B76" s="56" t="s">
        <v>336</v>
      </c>
      <c r="C76" s="41">
        <v>39402</v>
      </c>
      <c r="D76" s="46" t="s">
        <v>256</v>
      </c>
      <c r="E76" s="46" t="s">
        <v>337</v>
      </c>
      <c r="F76" s="43">
        <v>165</v>
      </c>
      <c r="G76" s="43">
        <v>5</v>
      </c>
      <c r="H76" s="43">
        <v>23</v>
      </c>
      <c r="I76" s="86">
        <v>5422.5</v>
      </c>
      <c r="J76" s="95">
        <v>946</v>
      </c>
      <c r="K76" s="144">
        <f>IF(I76&lt;&gt;0,J76/G76,"")</f>
        <v>189.2</v>
      </c>
      <c r="L76" s="145">
        <f>IF(I76&lt;&gt;0,I76/J76,"")</f>
        <v>5.732029598308668</v>
      </c>
      <c r="M76" s="136">
        <f>12736195.5+635116+336718.5+243017+121597.5+87378+27897.5+22169+10074+11918+6458+34768+1068+97+472+12776+5422.5</f>
        <v>14293142.5</v>
      </c>
      <c r="N76" s="134">
        <f>271934+322135+339926+262189+150199+208899+146862+92002+47008+33955+17959+14849+4943+4284+1914+2027+1272+7140+334+29+102+2576+946</f>
        <v>1933484</v>
      </c>
      <c r="O76" s="81">
        <f>IF(M76&lt;&gt;0,M76/N76,"")</f>
        <v>7.392428641767918</v>
      </c>
      <c r="P76" s="360"/>
    </row>
    <row r="77" spans="1:16" ht="15">
      <c r="A77" s="91">
        <v>74</v>
      </c>
      <c r="B77" s="56" t="s">
        <v>317</v>
      </c>
      <c r="C77" s="42">
        <v>39430</v>
      </c>
      <c r="D77" s="46" t="s">
        <v>262</v>
      </c>
      <c r="E77" s="46" t="s">
        <v>318</v>
      </c>
      <c r="F77" s="43">
        <v>43</v>
      </c>
      <c r="G77" s="43">
        <v>8</v>
      </c>
      <c r="H77" s="43">
        <v>4</v>
      </c>
      <c r="I77" s="86">
        <v>5207.5</v>
      </c>
      <c r="J77" s="95">
        <v>1171</v>
      </c>
      <c r="K77" s="137">
        <f>IF(I77&lt;&gt;0,J77/G77,"")</f>
        <v>146.375</v>
      </c>
      <c r="L77" s="138">
        <f>IF(I77&lt;&gt;0,I77/J77,"")</f>
        <v>4.447053800170794</v>
      </c>
      <c r="M77" s="136">
        <f>43240+25728.5+5226.5+5207.5</f>
        <v>79402.5</v>
      </c>
      <c r="N77" s="134">
        <f>5272+3593+870+1171</f>
        <v>10906</v>
      </c>
      <c r="O77" s="159">
        <f>IF(M77&lt;&gt;0,M77/N77,"")</f>
        <v>7.280625343847423</v>
      </c>
      <c r="P77" s="336"/>
    </row>
    <row r="78" spans="1:16" ht="15">
      <c r="A78" s="91">
        <v>75</v>
      </c>
      <c r="B78" s="56" t="s">
        <v>336</v>
      </c>
      <c r="C78" s="41">
        <v>39402</v>
      </c>
      <c r="D78" s="46" t="s">
        <v>256</v>
      </c>
      <c r="E78" s="46" t="s">
        <v>337</v>
      </c>
      <c r="F78" s="43">
        <v>165</v>
      </c>
      <c r="G78" s="43">
        <v>6</v>
      </c>
      <c r="H78" s="43">
        <v>24</v>
      </c>
      <c r="I78" s="136">
        <v>5076.5</v>
      </c>
      <c r="J78" s="134">
        <v>908</v>
      </c>
      <c r="K78" s="144">
        <f>IF(I78&lt;&gt;0,J78/G78,"")</f>
        <v>151.33333333333334</v>
      </c>
      <c r="L78" s="145">
        <f>IF(I78&lt;&gt;0,I78/J78,"")</f>
        <v>5.590859030837004</v>
      </c>
      <c r="M78" s="136">
        <f>12736195.5+635116+336718.5+243017+121597.5+87378+27897.5+22169+10074+11918+6458+34768+1068+97+472+12776+5422.5+5076.5</f>
        <v>14298219</v>
      </c>
      <c r="N78" s="134">
        <f>271934+322135+339926+262189+150199+208899+146862+92002+47008+33955+17959+14849+4943+4284+1914+2027+1272+7140+334+29+102+2576+946+908</f>
        <v>1934392</v>
      </c>
      <c r="O78" s="81">
        <f>IF(M78&lt;&gt;0,M78/N78,"")</f>
        <v>7.391582988349827</v>
      </c>
      <c r="P78" s="336">
        <v>1</v>
      </c>
    </row>
    <row r="79" spans="1:16" ht="15">
      <c r="A79" s="91">
        <v>76</v>
      </c>
      <c r="B79" s="282" t="s">
        <v>338</v>
      </c>
      <c r="C79" s="42">
        <v>39402</v>
      </c>
      <c r="D79" s="274" t="s">
        <v>261</v>
      </c>
      <c r="E79" s="274" t="s">
        <v>50</v>
      </c>
      <c r="F79" s="275">
        <v>130</v>
      </c>
      <c r="G79" s="275">
        <v>4</v>
      </c>
      <c r="H79" s="275">
        <v>12</v>
      </c>
      <c r="I79" s="195">
        <v>5058</v>
      </c>
      <c r="J79" s="196">
        <v>1218</v>
      </c>
      <c r="K79" s="197">
        <f aca="true" t="shared" si="2" ref="K79:K89">J79/G79</f>
        <v>304.5</v>
      </c>
      <c r="L79" s="198">
        <f>+I79/J79</f>
        <v>4.152709359605911</v>
      </c>
      <c r="M79" s="199">
        <v>2094652</v>
      </c>
      <c r="N79" s="197">
        <v>264769</v>
      </c>
      <c r="O79" s="223">
        <f>+M79/N79</f>
        <v>7.911243385743799</v>
      </c>
      <c r="P79" s="336">
        <v>1</v>
      </c>
    </row>
    <row r="80" spans="1:16" ht="15">
      <c r="A80" s="91">
        <v>77</v>
      </c>
      <c r="B80" s="55" t="s">
        <v>207</v>
      </c>
      <c r="C80" s="41">
        <v>39402</v>
      </c>
      <c r="D80" s="45" t="s">
        <v>260</v>
      </c>
      <c r="E80" s="44" t="s">
        <v>107</v>
      </c>
      <c r="F80" s="63">
        <v>64</v>
      </c>
      <c r="G80" s="63">
        <v>3</v>
      </c>
      <c r="H80" s="63">
        <v>10</v>
      </c>
      <c r="I80" s="205">
        <v>4988</v>
      </c>
      <c r="J80" s="206">
        <v>802</v>
      </c>
      <c r="K80" s="214">
        <f t="shared" si="2"/>
        <v>267.3333333333333</v>
      </c>
      <c r="L80" s="215">
        <f>I80/J80</f>
        <v>6.219451371571072</v>
      </c>
      <c r="M80" s="207">
        <f>299858+213967+97347+22667+8568+16509+4053+3337+284+4988</f>
        <v>671578</v>
      </c>
      <c r="N80" s="208">
        <f>33225+24189+12517+4002+2479+2973+867+358+35+802</f>
        <v>81447</v>
      </c>
      <c r="O80" s="226">
        <f>+M80/N80</f>
        <v>8.245583017176815</v>
      </c>
      <c r="P80" s="336"/>
    </row>
    <row r="81" spans="1:16" ht="15">
      <c r="A81" s="91">
        <v>78</v>
      </c>
      <c r="B81" s="77" t="s">
        <v>438</v>
      </c>
      <c r="C81" s="61">
        <v>39416</v>
      </c>
      <c r="D81" s="80" t="s">
        <v>60</v>
      </c>
      <c r="E81" s="80" t="s">
        <v>254</v>
      </c>
      <c r="F81" s="78">
        <v>45</v>
      </c>
      <c r="G81" s="79">
        <v>6</v>
      </c>
      <c r="H81" s="79">
        <v>10</v>
      </c>
      <c r="I81" s="209">
        <v>4821.5</v>
      </c>
      <c r="J81" s="210">
        <v>933</v>
      </c>
      <c r="K81" s="214">
        <f t="shared" si="2"/>
        <v>155.5</v>
      </c>
      <c r="L81" s="215">
        <f>I81/J81</f>
        <v>5.167738478027867</v>
      </c>
      <c r="M81" s="213">
        <v>179287</v>
      </c>
      <c r="N81" s="222">
        <v>26424</v>
      </c>
      <c r="O81" s="225">
        <f>M81/N81</f>
        <v>6.785006055101423</v>
      </c>
      <c r="P81" s="336"/>
    </row>
    <row r="82" spans="1:16" ht="15">
      <c r="A82" s="91">
        <v>79</v>
      </c>
      <c r="B82" s="56" t="s">
        <v>313</v>
      </c>
      <c r="C82" s="41">
        <v>39430</v>
      </c>
      <c r="D82" s="46" t="s">
        <v>261</v>
      </c>
      <c r="E82" s="46" t="s">
        <v>104</v>
      </c>
      <c r="F82" s="43">
        <v>137</v>
      </c>
      <c r="G82" s="43">
        <v>2</v>
      </c>
      <c r="H82" s="43">
        <v>14</v>
      </c>
      <c r="I82" s="195">
        <v>4760</v>
      </c>
      <c r="J82" s="196">
        <v>975</v>
      </c>
      <c r="K82" s="214">
        <f t="shared" si="2"/>
        <v>487.5</v>
      </c>
      <c r="L82" s="215">
        <f>+I82/J82</f>
        <v>4.8820512820512825</v>
      </c>
      <c r="M82" s="199">
        <v>3561937</v>
      </c>
      <c r="N82" s="197">
        <v>462120</v>
      </c>
      <c r="O82" s="226">
        <f aca="true" t="shared" si="3" ref="O82:O89">+M82/N82</f>
        <v>7.707818315589025</v>
      </c>
      <c r="P82" s="336"/>
    </row>
    <row r="83" spans="1:16" ht="15">
      <c r="A83" s="91">
        <v>80</v>
      </c>
      <c r="B83" s="56" t="s">
        <v>325</v>
      </c>
      <c r="C83" s="41">
        <v>39437</v>
      </c>
      <c r="D83" s="87" t="s">
        <v>261</v>
      </c>
      <c r="E83" s="87" t="s">
        <v>223</v>
      </c>
      <c r="F83" s="43">
        <v>105</v>
      </c>
      <c r="G83" s="43">
        <v>105</v>
      </c>
      <c r="H83" s="43">
        <v>4</v>
      </c>
      <c r="I83" s="195">
        <v>4710</v>
      </c>
      <c r="J83" s="196">
        <v>3944</v>
      </c>
      <c r="K83" s="197">
        <f t="shared" si="2"/>
        <v>37.56190476190476</v>
      </c>
      <c r="L83" s="198">
        <f>+I83/J83</f>
        <v>1.1942190669371198</v>
      </c>
      <c r="M83" s="199">
        <v>707419</v>
      </c>
      <c r="N83" s="197">
        <v>80906</v>
      </c>
      <c r="O83" s="223">
        <f t="shared" si="3"/>
        <v>8.743714928435468</v>
      </c>
      <c r="P83" s="336">
        <v>1</v>
      </c>
    </row>
    <row r="84" spans="1:16" ht="15">
      <c r="A84" s="91">
        <v>81</v>
      </c>
      <c r="B84" s="56" t="s">
        <v>339</v>
      </c>
      <c r="C84" s="42">
        <v>39402</v>
      </c>
      <c r="D84" s="46" t="s">
        <v>262</v>
      </c>
      <c r="E84" s="46" t="s">
        <v>308</v>
      </c>
      <c r="F84" s="43">
        <v>125</v>
      </c>
      <c r="G84" s="43">
        <v>4</v>
      </c>
      <c r="H84" s="43">
        <v>10</v>
      </c>
      <c r="I84" s="195">
        <v>4684</v>
      </c>
      <c r="J84" s="196">
        <v>1269</v>
      </c>
      <c r="K84" s="214">
        <f t="shared" si="2"/>
        <v>317.25</v>
      </c>
      <c r="L84" s="215">
        <f>I84/J84</f>
        <v>3.6910953506698188</v>
      </c>
      <c r="M84" s="199">
        <f>676439.5+554539.5+408532.5+265092+4+63975.5-30+36417+32233.5+29355.5+9292+4684</f>
        <v>2080535</v>
      </c>
      <c r="N84" s="197">
        <f>91933+76364+57186+39863+2+10711+6714+6020+5300+2353+1269</f>
        <v>297715</v>
      </c>
      <c r="O84" s="226">
        <f t="shared" si="3"/>
        <v>6.988344557714592</v>
      </c>
      <c r="P84" s="336"/>
    </row>
    <row r="85" spans="1:16" ht="15">
      <c r="A85" s="91">
        <v>82</v>
      </c>
      <c r="B85" s="57" t="s">
        <v>157</v>
      </c>
      <c r="C85" s="42">
        <v>39150</v>
      </c>
      <c r="D85" s="47" t="s">
        <v>126</v>
      </c>
      <c r="E85" s="47" t="s">
        <v>158</v>
      </c>
      <c r="F85" s="88">
        <v>100</v>
      </c>
      <c r="G85" s="89">
        <v>3</v>
      </c>
      <c r="H85" s="88">
        <v>10</v>
      </c>
      <c r="I85" s="205">
        <v>4632</v>
      </c>
      <c r="J85" s="206">
        <v>1158</v>
      </c>
      <c r="K85" s="214">
        <f t="shared" si="2"/>
        <v>386</v>
      </c>
      <c r="L85" s="215">
        <f>I85/J85</f>
        <v>4</v>
      </c>
      <c r="M85" s="207">
        <v>307166.9</v>
      </c>
      <c r="N85" s="208">
        <v>43081</v>
      </c>
      <c r="O85" s="226">
        <f t="shared" si="3"/>
        <v>7.129985376384021</v>
      </c>
      <c r="P85" s="336"/>
    </row>
    <row r="86" spans="1:16" ht="15">
      <c r="A86" s="91">
        <v>83</v>
      </c>
      <c r="B86" s="57" t="s">
        <v>70</v>
      </c>
      <c r="C86" s="42">
        <v>39213</v>
      </c>
      <c r="D86" s="47" t="s">
        <v>126</v>
      </c>
      <c r="E86" s="47" t="s">
        <v>71</v>
      </c>
      <c r="F86" s="88">
        <v>4</v>
      </c>
      <c r="G86" s="89">
        <v>3</v>
      </c>
      <c r="H86" s="88">
        <v>18</v>
      </c>
      <c r="I86" s="205">
        <v>4632</v>
      </c>
      <c r="J86" s="206">
        <v>1158</v>
      </c>
      <c r="K86" s="214">
        <f t="shared" si="2"/>
        <v>386</v>
      </c>
      <c r="L86" s="215">
        <f>I86/J86</f>
        <v>4</v>
      </c>
      <c r="M86" s="207">
        <v>31476.5</v>
      </c>
      <c r="N86" s="208">
        <v>5319</v>
      </c>
      <c r="O86" s="226">
        <f t="shared" si="3"/>
        <v>5.917747696935514</v>
      </c>
      <c r="P86" s="336">
        <v>1</v>
      </c>
    </row>
    <row r="87" spans="1:16" ht="15">
      <c r="A87" s="91">
        <v>84</v>
      </c>
      <c r="B87" s="56" t="s">
        <v>86</v>
      </c>
      <c r="C87" s="41">
        <v>39367</v>
      </c>
      <c r="D87" s="46" t="s">
        <v>126</v>
      </c>
      <c r="E87" s="46" t="s">
        <v>105</v>
      </c>
      <c r="F87" s="43">
        <v>21</v>
      </c>
      <c r="G87" s="43">
        <v>3</v>
      </c>
      <c r="H87" s="43">
        <v>10</v>
      </c>
      <c r="I87" s="368">
        <v>4632</v>
      </c>
      <c r="J87" s="369">
        <v>1158</v>
      </c>
      <c r="K87" s="214">
        <f t="shared" si="2"/>
        <v>386</v>
      </c>
      <c r="L87" s="215">
        <f>I87/J87</f>
        <v>4</v>
      </c>
      <c r="M87" s="199">
        <v>180578.5</v>
      </c>
      <c r="N87" s="197">
        <v>19223</v>
      </c>
      <c r="O87" s="226">
        <f t="shared" si="3"/>
        <v>9.39387712635905</v>
      </c>
      <c r="P87" s="336"/>
    </row>
    <row r="88" spans="1:16" ht="18">
      <c r="A88" s="91">
        <v>85</v>
      </c>
      <c r="B88" s="56" t="s">
        <v>307</v>
      </c>
      <c r="C88" s="42">
        <v>39423</v>
      </c>
      <c r="D88" s="46" t="s">
        <v>262</v>
      </c>
      <c r="E88" s="46" t="s">
        <v>263</v>
      </c>
      <c r="F88" s="43">
        <v>40</v>
      </c>
      <c r="G88" s="43">
        <v>3</v>
      </c>
      <c r="H88" s="43">
        <v>7</v>
      </c>
      <c r="I88" s="195">
        <v>4609</v>
      </c>
      <c r="J88" s="196">
        <v>908</v>
      </c>
      <c r="K88" s="214">
        <f t="shared" si="2"/>
        <v>302.6666666666667</v>
      </c>
      <c r="L88" s="215">
        <f>I88/J88</f>
        <v>5.075991189427313</v>
      </c>
      <c r="M88" s="199">
        <f>337397.5+246059+95618.5+43492.5+31631.5+2705+4609</f>
        <v>761513</v>
      </c>
      <c r="N88" s="197">
        <f>35596+24953+11024+7059+5745+543+908</f>
        <v>85828</v>
      </c>
      <c r="O88" s="226">
        <f t="shared" si="3"/>
        <v>8.87254742042224</v>
      </c>
      <c r="P88" s="360"/>
    </row>
    <row r="89" spans="1:16" ht="15">
      <c r="A89" s="91">
        <v>86</v>
      </c>
      <c r="B89" s="56" t="s">
        <v>311</v>
      </c>
      <c r="C89" s="41">
        <v>39430</v>
      </c>
      <c r="D89" s="46" t="s">
        <v>261</v>
      </c>
      <c r="E89" s="46" t="s">
        <v>177</v>
      </c>
      <c r="F89" s="43">
        <v>242</v>
      </c>
      <c r="G89" s="43">
        <v>2</v>
      </c>
      <c r="H89" s="43">
        <v>14</v>
      </c>
      <c r="I89" s="195">
        <v>4541</v>
      </c>
      <c r="J89" s="196">
        <v>1575</v>
      </c>
      <c r="K89" s="214">
        <f t="shared" si="2"/>
        <v>787.5</v>
      </c>
      <c r="L89" s="215">
        <f>+I89/J89</f>
        <v>2.883174603174603</v>
      </c>
      <c r="M89" s="199">
        <v>15280383</v>
      </c>
      <c r="N89" s="197">
        <v>1984755</v>
      </c>
      <c r="O89" s="226">
        <f t="shared" si="3"/>
        <v>7.698876183710332</v>
      </c>
      <c r="P89" s="336"/>
    </row>
    <row r="90" spans="1:16" ht="15">
      <c r="A90" s="91">
        <v>87</v>
      </c>
      <c r="B90" s="55" t="s">
        <v>333</v>
      </c>
      <c r="C90" s="41">
        <v>39381</v>
      </c>
      <c r="D90" s="44" t="s">
        <v>256</v>
      </c>
      <c r="E90" s="44" t="s">
        <v>147</v>
      </c>
      <c r="F90" s="63">
        <v>91</v>
      </c>
      <c r="G90" s="63">
        <v>2</v>
      </c>
      <c r="H90" s="63">
        <v>12</v>
      </c>
      <c r="I90" s="200">
        <v>4390</v>
      </c>
      <c r="J90" s="201">
        <v>895</v>
      </c>
      <c r="K90" s="202">
        <f>IF(I90&lt;&gt;0,J90/G90,"")</f>
        <v>447.5</v>
      </c>
      <c r="L90" s="203">
        <f>IF(I90&lt;&gt;0,I90/J90,"")</f>
        <v>4.905027932960894</v>
      </c>
      <c r="M90" s="204">
        <f>964543+666618+447582+156310.5+90863+70894+37352.5+3350+1874+714.5+4126+4390</f>
        <v>2448617.5</v>
      </c>
      <c r="N90" s="197">
        <f>104009+73251+49929+20007+15751+12767+7228+691+416+233+781+895</f>
        <v>285958</v>
      </c>
      <c r="O90" s="224">
        <f>IF(M90&lt;&gt;0,M90/N90,"")</f>
        <v>8.562857132865666</v>
      </c>
      <c r="P90" s="336">
        <v>1</v>
      </c>
    </row>
    <row r="91" spans="1:16" ht="15">
      <c r="A91" s="91">
        <v>88</v>
      </c>
      <c r="B91" s="57" t="s">
        <v>314</v>
      </c>
      <c r="C91" s="41">
        <v>39430</v>
      </c>
      <c r="D91" s="47" t="s">
        <v>133</v>
      </c>
      <c r="E91" s="47" t="s">
        <v>216</v>
      </c>
      <c r="F91" s="64" t="s">
        <v>315</v>
      </c>
      <c r="G91" s="64" t="s">
        <v>129</v>
      </c>
      <c r="H91" s="64" t="s">
        <v>213</v>
      </c>
      <c r="I91" s="205">
        <v>4329</v>
      </c>
      <c r="J91" s="206">
        <v>913</v>
      </c>
      <c r="K91" s="214">
        <f>J91/G91</f>
        <v>182.6</v>
      </c>
      <c r="L91" s="215">
        <f>I91/J91</f>
        <v>4.741511500547645</v>
      </c>
      <c r="M91" s="207">
        <v>1225683.44</v>
      </c>
      <c r="N91" s="208">
        <v>156335</v>
      </c>
      <c r="O91" s="226">
        <f>+M91/N91</f>
        <v>7.8401089967057915</v>
      </c>
      <c r="P91" s="336"/>
    </row>
    <row r="92" spans="1:16" ht="15">
      <c r="A92" s="91">
        <v>89</v>
      </c>
      <c r="B92" s="300" t="s">
        <v>28</v>
      </c>
      <c r="C92" s="42">
        <v>39101</v>
      </c>
      <c r="D92" s="294" t="s">
        <v>262</v>
      </c>
      <c r="E92" s="294" t="s">
        <v>29</v>
      </c>
      <c r="F92" s="275">
        <v>160</v>
      </c>
      <c r="G92" s="43">
        <v>2</v>
      </c>
      <c r="H92" s="43">
        <v>34</v>
      </c>
      <c r="I92" s="195">
        <v>4240.5</v>
      </c>
      <c r="J92" s="196">
        <v>1061</v>
      </c>
      <c r="K92" s="214">
        <f>J92/G92</f>
        <v>530.5</v>
      </c>
      <c r="L92" s="215">
        <f>I92/J92</f>
        <v>3.9967012252591894</v>
      </c>
      <c r="M92" s="199">
        <f>3815016+1300103.5+871510+26.5+643328.5+285+427492+144808.5-4582.5+117687.5+159.5+78376+20328+17217+7297+945+2840.5+34810+328+1337+17151+158+30+3021+2014+152+6041+3614.5+6585+17296.5+42649.5+1188+6041+6041+1510.5+4240.5</f>
        <v>7597046.5</v>
      </c>
      <c r="N92" s="197">
        <f>302979+231870+176034+121748+3+91906+35+60830+21133-764+16236+14+11431-4+2924+3552+1459+120+1210+2+11600+81+437+5713+17+6+604+503+25+1510+904+1646+4326+10661+297+1511+1511+378+1061</f>
        <v>1085509</v>
      </c>
      <c r="O92" s="226">
        <f>+M92/N92</f>
        <v>6.99860295953327</v>
      </c>
      <c r="P92" s="336"/>
    </row>
    <row r="93" spans="1:16" ht="15">
      <c r="A93" s="91">
        <v>90</v>
      </c>
      <c r="B93" s="56" t="s">
        <v>439</v>
      </c>
      <c r="C93" s="42">
        <v>39416</v>
      </c>
      <c r="D93" s="46" t="s">
        <v>262</v>
      </c>
      <c r="E93" s="46" t="s">
        <v>331</v>
      </c>
      <c r="F93" s="43">
        <v>20</v>
      </c>
      <c r="G93" s="43">
        <v>3</v>
      </c>
      <c r="H93" s="43">
        <v>7</v>
      </c>
      <c r="I93" s="195">
        <v>4240.5</v>
      </c>
      <c r="J93" s="196">
        <v>496</v>
      </c>
      <c r="K93" s="197">
        <f>J93/G93</f>
        <v>165.33333333333334</v>
      </c>
      <c r="L93" s="198">
        <f>+I93/J93</f>
        <v>8.549395161290322</v>
      </c>
      <c r="M93" s="199">
        <f>75692.5+51302+12584.5+2036+2909.5+3347+4240.5</f>
        <v>152112</v>
      </c>
      <c r="N93" s="197">
        <f>7291+5230+1727+233+363+396+496</f>
        <v>15736</v>
      </c>
      <c r="O93" s="223">
        <f>+M93/N93</f>
        <v>9.666497203863752</v>
      </c>
      <c r="P93" s="336"/>
    </row>
    <row r="94" spans="1:16" ht="15">
      <c r="A94" s="91">
        <v>91</v>
      </c>
      <c r="B94" s="56" t="s">
        <v>336</v>
      </c>
      <c r="C94" s="41">
        <v>39402</v>
      </c>
      <c r="D94" s="46" t="s">
        <v>256</v>
      </c>
      <c r="E94" s="46" t="s">
        <v>337</v>
      </c>
      <c r="F94" s="43">
        <v>165</v>
      </c>
      <c r="G94" s="43">
        <v>2</v>
      </c>
      <c r="H94" s="43">
        <v>25</v>
      </c>
      <c r="I94" s="368">
        <v>4152.5</v>
      </c>
      <c r="J94" s="369">
        <v>820</v>
      </c>
      <c r="K94" s="214">
        <f>IF(I94&lt;&gt;0,J94/G94,"")</f>
        <v>410</v>
      </c>
      <c r="L94" s="215">
        <f>IF(I94&lt;&gt;0,I94/J94,"")</f>
        <v>5.064024390243903</v>
      </c>
      <c r="M94" s="199">
        <f>12736195.5+635116+336718.5+243017+121597.5+87378+27897.5+22169+10074+11918+6458+34768+1068+97+472+12776+5422.5+5076.5+4152.5</f>
        <v>14302371.5</v>
      </c>
      <c r="N94" s="197">
        <f>271934+322135+339926+262189+150199+208899+146862+92002+47008+33955+17959+14849+4943+4284+1914+2027+1272+7140+334+29+102+2576+946+908+820</f>
        <v>1935212</v>
      </c>
      <c r="O94" s="226">
        <f>IF(M94&lt;&gt;0,M94/N94,"")</f>
        <v>7.390596740822194</v>
      </c>
      <c r="P94" s="336">
        <v>1</v>
      </c>
    </row>
    <row r="95" spans="1:16" ht="15">
      <c r="A95" s="91">
        <v>92</v>
      </c>
      <c r="B95" s="55" t="s">
        <v>333</v>
      </c>
      <c r="C95" s="41">
        <v>39381</v>
      </c>
      <c r="D95" s="44" t="s">
        <v>256</v>
      </c>
      <c r="E95" s="44" t="s">
        <v>147</v>
      </c>
      <c r="F95" s="63">
        <v>91</v>
      </c>
      <c r="G95" s="63">
        <v>3</v>
      </c>
      <c r="H95" s="63">
        <v>11</v>
      </c>
      <c r="I95" s="94">
        <v>4126</v>
      </c>
      <c r="J95" s="117">
        <v>781</v>
      </c>
      <c r="K95" s="137">
        <f>IF(I95&lt;&gt;0,J95/G95,"")</f>
        <v>260.3333333333333</v>
      </c>
      <c r="L95" s="138">
        <f>IF(I95&lt;&gt;0,I95/J95,"")</f>
        <v>5.282970550576184</v>
      </c>
      <c r="M95" s="139">
        <f>964543+666618+447582+156310.5+90863+70894+37352.5+3350+1874+714.5+4126</f>
        <v>2444227.5</v>
      </c>
      <c r="N95" s="134">
        <f>104009+73251+49929+20007+15751+12767+7228+691+416+233+781</f>
        <v>285063</v>
      </c>
      <c r="O95" s="159">
        <f>IF(M95&lt;&gt;0,M95/N95,"")</f>
        <v>8.574341461361172</v>
      </c>
      <c r="P95" s="336"/>
    </row>
    <row r="96" spans="1:16" ht="15">
      <c r="A96" s="91">
        <v>93</v>
      </c>
      <c r="B96" s="56" t="s">
        <v>47</v>
      </c>
      <c r="C96" s="41">
        <v>39444</v>
      </c>
      <c r="D96" s="46" t="s">
        <v>126</v>
      </c>
      <c r="E96" s="46" t="s">
        <v>210</v>
      </c>
      <c r="F96" s="43">
        <v>25</v>
      </c>
      <c r="G96" s="43">
        <v>2</v>
      </c>
      <c r="H96" s="43">
        <v>8</v>
      </c>
      <c r="I96" s="368">
        <v>4100</v>
      </c>
      <c r="J96" s="369">
        <v>879</v>
      </c>
      <c r="K96" s="214">
        <f>J96/G96</f>
        <v>439.5</v>
      </c>
      <c r="L96" s="215">
        <f>I96/J96</f>
        <v>4.664391353811149</v>
      </c>
      <c r="M96" s="199">
        <v>261852.25</v>
      </c>
      <c r="N96" s="197">
        <v>27003</v>
      </c>
      <c r="O96" s="226">
        <f>+M96/N96</f>
        <v>9.697154019923712</v>
      </c>
      <c r="P96" s="336"/>
    </row>
    <row r="97" spans="1:16" ht="18">
      <c r="A97" s="91">
        <v>94</v>
      </c>
      <c r="B97" s="56" t="s">
        <v>323</v>
      </c>
      <c r="C97" s="41">
        <v>39437</v>
      </c>
      <c r="D97" s="46" t="s">
        <v>262</v>
      </c>
      <c r="E97" s="46" t="s">
        <v>324</v>
      </c>
      <c r="F97" s="63">
        <v>156</v>
      </c>
      <c r="G97" s="43">
        <v>1</v>
      </c>
      <c r="H97" s="43">
        <v>16</v>
      </c>
      <c r="I97" s="86">
        <v>4075.5</v>
      </c>
      <c r="J97" s="95">
        <v>697</v>
      </c>
      <c r="K97" s="144">
        <f>IF(I97&lt;&gt;0,J97/G97,"")</f>
        <v>697</v>
      </c>
      <c r="L97" s="145">
        <f>IF(I97&lt;&gt;0,I97/J97,"")</f>
        <v>5.847202295552368</v>
      </c>
      <c r="M97" s="136">
        <f>1780127+1212579.5+721829.5+404706.5+230406+56484.5+45824+18497.5+10529+9795.5+1455+3484+1447+391+3673+4075.5</f>
        <v>4505304.5</v>
      </c>
      <c r="N97" s="134">
        <f>240776+165120+97288+55998+35394+10296+9476+3143+2091+2258+337+991+436+98+918+697</f>
        <v>625317</v>
      </c>
      <c r="O97" s="81">
        <f>IF(M97&lt;&gt;0,M97/N97,"")</f>
        <v>7.204832908748683</v>
      </c>
      <c r="P97" s="360"/>
    </row>
    <row r="98" spans="1:16" ht="15">
      <c r="A98" s="91">
        <v>95</v>
      </c>
      <c r="B98" s="55" t="s">
        <v>333</v>
      </c>
      <c r="C98" s="41">
        <v>39381</v>
      </c>
      <c r="D98" s="44" t="s">
        <v>256</v>
      </c>
      <c r="E98" s="44" t="s">
        <v>147</v>
      </c>
      <c r="F98" s="63">
        <v>91</v>
      </c>
      <c r="G98" s="63">
        <v>2</v>
      </c>
      <c r="H98" s="63">
        <v>13</v>
      </c>
      <c r="I98" s="200">
        <v>3896</v>
      </c>
      <c r="J98" s="201">
        <v>779</v>
      </c>
      <c r="K98" s="202">
        <f>IF(I98&lt;&gt;0,J98/G98,"")</f>
        <v>389.5</v>
      </c>
      <c r="L98" s="203">
        <f>IF(I98&lt;&gt;0,I98/J98,"")</f>
        <v>5.001283697047497</v>
      </c>
      <c r="M98" s="204">
        <f>964543+666618+447582+156310.5+90863+70894+37352.5+3350+1874+714.5+4126+4390+3896</f>
        <v>2452513.5</v>
      </c>
      <c r="N98" s="197">
        <f>104009+73251+49929+20007+15751+12767+7228+691+416+233+781+895+779</f>
        <v>286737</v>
      </c>
      <c r="O98" s="224">
        <f>IF(M98&lt;&gt;0,M98/N98,"")</f>
        <v>8.553181138116113</v>
      </c>
      <c r="P98" s="336">
        <v>1</v>
      </c>
    </row>
    <row r="99" spans="1:16" ht="15">
      <c r="A99" s="91">
        <v>96</v>
      </c>
      <c r="B99" s="56" t="s">
        <v>339</v>
      </c>
      <c r="C99" s="42">
        <v>39402</v>
      </c>
      <c r="D99" s="46" t="s">
        <v>262</v>
      </c>
      <c r="E99" s="46" t="s">
        <v>308</v>
      </c>
      <c r="F99" s="63">
        <v>125</v>
      </c>
      <c r="G99" s="43">
        <v>2</v>
      </c>
      <c r="H99" s="43">
        <v>11</v>
      </c>
      <c r="I99" s="195">
        <v>3839.5</v>
      </c>
      <c r="J99" s="196">
        <v>898</v>
      </c>
      <c r="K99" s="214">
        <f>J99/G99</f>
        <v>449</v>
      </c>
      <c r="L99" s="215">
        <f>I99/J99</f>
        <v>4.275612472160357</v>
      </c>
      <c r="M99" s="199">
        <f>676439.5+554539.5+408532.5+265092+4+63975.5-30+36417+32233.5+29355.5+9292+4684+3839.75</f>
        <v>2084374.75</v>
      </c>
      <c r="N99" s="197">
        <f>91933+76364+57186+39863+2+10711+6714+6020+5300+2353+1269+898</f>
        <v>298613</v>
      </c>
      <c r="O99" s="225">
        <f>M99/N99</f>
        <v>6.980187567185622</v>
      </c>
      <c r="P99" s="336"/>
    </row>
    <row r="100" spans="1:16" ht="18">
      <c r="A100" s="91">
        <v>97</v>
      </c>
      <c r="B100" s="57" t="s">
        <v>220</v>
      </c>
      <c r="C100" s="42">
        <v>39444</v>
      </c>
      <c r="D100" s="47" t="s">
        <v>126</v>
      </c>
      <c r="E100" s="47" t="s">
        <v>210</v>
      </c>
      <c r="F100" s="88">
        <v>25</v>
      </c>
      <c r="G100" s="89">
        <v>3</v>
      </c>
      <c r="H100" s="88">
        <v>4</v>
      </c>
      <c r="I100" s="205">
        <v>3785</v>
      </c>
      <c r="J100" s="206">
        <v>594</v>
      </c>
      <c r="K100" s="214">
        <f>J100/G100</f>
        <v>198</v>
      </c>
      <c r="L100" s="215">
        <f>I100/J100</f>
        <v>6.372053872053872</v>
      </c>
      <c r="M100" s="207">
        <v>255387.75</v>
      </c>
      <c r="N100" s="208">
        <v>25530</v>
      </c>
      <c r="O100" s="226">
        <f aca="true" t="shared" si="4" ref="O100:O108">+M100/N100</f>
        <v>10.003437132784958</v>
      </c>
      <c r="P100" s="360"/>
    </row>
    <row r="101" spans="1:16" ht="15">
      <c r="A101" s="91">
        <v>98</v>
      </c>
      <c r="B101" s="55" t="s">
        <v>335</v>
      </c>
      <c r="C101" s="41">
        <v>39402</v>
      </c>
      <c r="D101" s="45" t="s">
        <v>260</v>
      </c>
      <c r="E101" s="44" t="s">
        <v>144</v>
      </c>
      <c r="F101" s="63">
        <v>20</v>
      </c>
      <c r="G101" s="63">
        <v>6</v>
      </c>
      <c r="H101" s="63">
        <v>8</v>
      </c>
      <c r="I101" s="85">
        <v>3777</v>
      </c>
      <c r="J101" s="93">
        <v>663</v>
      </c>
      <c r="K101" s="144">
        <f>J101/G101</f>
        <v>110.5</v>
      </c>
      <c r="L101" s="145">
        <f>I101/J101</f>
        <v>5.6968325791855206</v>
      </c>
      <c r="M101" s="146">
        <f>8296+141704+66729+20126+11859+581+2076+3662+3777</f>
        <v>258810</v>
      </c>
      <c r="N101" s="147">
        <f>702+12499+6089+1727+1871+101+444+549+663</f>
        <v>24645</v>
      </c>
      <c r="O101" s="81">
        <f t="shared" si="4"/>
        <v>10.501521606816798</v>
      </c>
      <c r="P101" s="336"/>
    </row>
    <row r="102" spans="1:16" ht="15">
      <c r="A102" s="91">
        <v>99</v>
      </c>
      <c r="B102" s="56" t="s">
        <v>323</v>
      </c>
      <c r="C102" s="41">
        <v>39437</v>
      </c>
      <c r="D102" s="46" t="s">
        <v>262</v>
      </c>
      <c r="E102" s="46" t="s">
        <v>324</v>
      </c>
      <c r="F102" s="43">
        <v>156</v>
      </c>
      <c r="G102" s="43">
        <v>1</v>
      </c>
      <c r="H102" s="43">
        <v>15</v>
      </c>
      <c r="I102" s="86">
        <v>3673</v>
      </c>
      <c r="J102" s="95">
        <v>918</v>
      </c>
      <c r="K102" s="144">
        <f>+J102/G102</f>
        <v>918</v>
      </c>
      <c r="L102" s="145">
        <f>+I102/J102</f>
        <v>4.001089324618737</v>
      </c>
      <c r="M102" s="136">
        <f>1780127+1212579.5+721829.5+404706.5+230406+56484.5+45824+18497.5+10529+9795.5+1455+3484+1447+391+3673</f>
        <v>4501229</v>
      </c>
      <c r="N102" s="134">
        <f>240776+165120+97288+55998+35394+10296+9476+3143+2091+2258+337+991+436+98+918</f>
        <v>624620</v>
      </c>
      <c r="O102" s="81">
        <f t="shared" si="4"/>
        <v>7.2063478594985755</v>
      </c>
      <c r="P102" s="336"/>
    </row>
    <row r="103" spans="1:16" ht="15">
      <c r="A103" s="91">
        <v>100</v>
      </c>
      <c r="B103" s="55" t="s">
        <v>443</v>
      </c>
      <c r="C103" s="41">
        <v>39409</v>
      </c>
      <c r="D103" s="45" t="s">
        <v>260</v>
      </c>
      <c r="E103" s="44" t="s">
        <v>107</v>
      </c>
      <c r="F103" s="63">
        <v>69</v>
      </c>
      <c r="G103" s="63">
        <v>4</v>
      </c>
      <c r="H103" s="63">
        <v>7</v>
      </c>
      <c r="I103" s="85">
        <v>3613</v>
      </c>
      <c r="J103" s="93">
        <v>696</v>
      </c>
      <c r="K103" s="144">
        <f>J103/G103</f>
        <v>174</v>
      </c>
      <c r="L103" s="145">
        <f>I103/J103</f>
        <v>5.191091954022989</v>
      </c>
      <c r="M103" s="146">
        <f>387069+277494+166747+4993+4045+7291+3613</f>
        <v>851252</v>
      </c>
      <c r="N103" s="147">
        <f>37017+27892+17708+698+855+1523+696</f>
        <v>86389</v>
      </c>
      <c r="O103" s="81">
        <f t="shared" si="4"/>
        <v>9.85370822674183</v>
      </c>
      <c r="P103" s="336"/>
    </row>
    <row r="104" spans="1:16" ht="15">
      <c r="A104" s="91">
        <v>101</v>
      </c>
      <c r="B104" s="55" t="s">
        <v>443</v>
      </c>
      <c r="C104" s="41">
        <v>39409</v>
      </c>
      <c r="D104" s="45" t="s">
        <v>260</v>
      </c>
      <c r="E104" s="44" t="s">
        <v>107</v>
      </c>
      <c r="F104" s="63">
        <v>69</v>
      </c>
      <c r="G104" s="63">
        <v>4</v>
      </c>
      <c r="H104" s="63">
        <v>11</v>
      </c>
      <c r="I104" s="205">
        <v>3535</v>
      </c>
      <c r="J104" s="206">
        <v>552</v>
      </c>
      <c r="K104" s="214">
        <f>J104/G104</f>
        <v>138</v>
      </c>
      <c r="L104" s="215">
        <f>I104/J104</f>
        <v>6.403985507246377</v>
      </c>
      <c r="M104" s="207">
        <f>387069+277494+166747+4993+4045+7291+3613+313+916+831+3535</f>
        <v>856847</v>
      </c>
      <c r="N104" s="208">
        <f>37017+27892+17708+698+855+1523+696+56+479+146+552</f>
        <v>87622</v>
      </c>
      <c r="O104" s="226">
        <f t="shared" si="4"/>
        <v>9.77890255871813</v>
      </c>
      <c r="P104" s="336"/>
    </row>
    <row r="105" spans="1:16" ht="15">
      <c r="A105" s="91">
        <v>102</v>
      </c>
      <c r="B105" s="56" t="s">
        <v>325</v>
      </c>
      <c r="C105" s="41">
        <v>39437</v>
      </c>
      <c r="D105" s="87" t="s">
        <v>261</v>
      </c>
      <c r="E105" s="87" t="s">
        <v>264</v>
      </c>
      <c r="F105" s="43">
        <v>105</v>
      </c>
      <c r="G105" s="43">
        <v>2</v>
      </c>
      <c r="H105" s="43">
        <v>7</v>
      </c>
      <c r="I105" s="195">
        <v>3464</v>
      </c>
      <c r="J105" s="196">
        <v>583</v>
      </c>
      <c r="K105" s="197">
        <f>J105/G105</f>
        <v>291.5</v>
      </c>
      <c r="L105" s="198">
        <f>+I105/J105</f>
        <v>5.941680960548885</v>
      </c>
      <c r="M105" s="199">
        <v>714941</v>
      </c>
      <c r="N105" s="197">
        <v>82229</v>
      </c>
      <c r="O105" s="223">
        <f t="shared" si="4"/>
        <v>8.694511668632721</v>
      </c>
      <c r="P105" s="336">
        <v>1</v>
      </c>
    </row>
    <row r="106" spans="1:16" ht="15">
      <c r="A106" s="91">
        <v>103</v>
      </c>
      <c r="B106" s="56" t="s">
        <v>323</v>
      </c>
      <c r="C106" s="41">
        <v>39437</v>
      </c>
      <c r="D106" s="46" t="s">
        <v>262</v>
      </c>
      <c r="E106" s="46" t="s">
        <v>324</v>
      </c>
      <c r="F106" s="43">
        <v>156</v>
      </c>
      <c r="G106" s="43">
        <v>5</v>
      </c>
      <c r="H106" s="43">
        <v>12</v>
      </c>
      <c r="I106" s="195">
        <v>3436</v>
      </c>
      <c r="J106" s="196">
        <v>973</v>
      </c>
      <c r="K106" s="214">
        <f>J106/G106</f>
        <v>194.6</v>
      </c>
      <c r="L106" s="215">
        <f>I106/J106</f>
        <v>3.5313463514902366</v>
      </c>
      <c r="M106" s="199">
        <f>1780127+1212579.5+721829.5+404706.5+230406+56484.5+45824+18497.5+10529+9795.5+1455+3436</f>
        <v>4495670</v>
      </c>
      <c r="N106" s="197">
        <f>240776+165120+97288+55998+35394+10296+9476+3143+2091+2258+337+973</f>
        <v>623150</v>
      </c>
      <c r="O106" s="226">
        <f t="shared" si="4"/>
        <v>7.214426703041001</v>
      </c>
      <c r="P106" s="336"/>
    </row>
    <row r="107" spans="1:16" ht="15">
      <c r="A107" s="91">
        <v>104</v>
      </c>
      <c r="B107" s="57" t="s">
        <v>342</v>
      </c>
      <c r="C107" s="41">
        <v>39423</v>
      </c>
      <c r="D107" s="47" t="s">
        <v>309</v>
      </c>
      <c r="E107" s="47" t="s">
        <v>309</v>
      </c>
      <c r="F107" s="58">
        <v>1</v>
      </c>
      <c r="G107" s="58">
        <v>1</v>
      </c>
      <c r="H107" s="58">
        <v>5</v>
      </c>
      <c r="I107" s="85">
        <v>3429</v>
      </c>
      <c r="J107" s="93">
        <v>317</v>
      </c>
      <c r="K107" s="137">
        <f>+J107/G107</f>
        <v>317</v>
      </c>
      <c r="L107" s="138">
        <f>+I107/J107</f>
        <v>10.817034700315457</v>
      </c>
      <c r="M107" s="146">
        <v>22339</v>
      </c>
      <c r="N107" s="147">
        <v>1936</v>
      </c>
      <c r="O107" s="159">
        <f t="shared" si="4"/>
        <v>11.538739669421487</v>
      </c>
      <c r="P107" s="336">
        <v>1</v>
      </c>
    </row>
    <row r="108" spans="1:16" ht="15">
      <c r="A108" s="91">
        <v>105</v>
      </c>
      <c r="B108" s="55" t="s">
        <v>444</v>
      </c>
      <c r="C108" s="41">
        <v>39416</v>
      </c>
      <c r="D108" s="45" t="s">
        <v>260</v>
      </c>
      <c r="E108" s="44" t="s">
        <v>144</v>
      </c>
      <c r="F108" s="63">
        <v>123</v>
      </c>
      <c r="G108" s="63">
        <v>8</v>
      </c>
      <c r="H108" s="63">
        <v>9</v>
      </c>
      <c r="I108" s="205">
        <v>3403</v>
      </c>
      <c r="J108" s="206">
        <v>686</v>
      </c>
      <c r="K108" s="214">
        <f>J108/G108</f>
        <v>85.75</v>
      </c>
      <c r="L108" s="215">
        <f>I108/J108</f>
        <v>4.960641399416909</v>
      </c>
      <c r="M108" s="207">
        <f>155416+1136619+622980+528056+225392+174199+84508+58425+34257+3403</f>
        <v>3023255</v>
      </c>
      <c r="N108" s="208">
        <f>12079+122083+66530+52286+18245+17821+7913+4333+2998+686</f>
        <v>304974</v>
      </c>
      <c r="O108" s="226">
        <f t="shared" si="4"/>
        <v>9.913156531376446</v>
      </c>
      <c r="P108" s="336"/>
    </row>
    <row r="109" spans="1:16" ht="18">
      <c r="A109" s="91">
        <v>106</v>
      </c>
      <c r="B109" s="56" t="s">
        <v>439</v>
      </c>
      <c r="C109" s="42">
        <v>39416</v>
      </c>
      <c r="D109" s="46" t="s">
        <v>262</v>
      </c>
      <c r="E109" s="46" t="s">
        <v>331</v>
      </c>
      <c r="F109" s="43">
        <v>20</v>
      </c>
      <c r="G109" s="43">
        <v>3</v>
      </c>
      <c r="H109" s="43">
        <v>6</v>
      </c>
      <c r="I109" s="86">
        <v>3347</v>
      </c>
      <c r="J109" s="95">
        <v>396</v>
      </c>
      <c r="K109" s="137">
        <f>IF(I109&lt;&gt;0,J109/G109,"")</f>
        <v>132</v>
      </c>
      <c r="L109" s="138">
        <f>IF(I109&lt;&gt;0,I109/J109,"")</f>
        <v>8.452020202020202</v>
      </c>
      <c r="M109" s="136">
        <f>75692.5+51302+12584.5+2036+2909.5+3347</f>
        <v>147871.5</v>
      </c>
      <c r="N109" s="134">
        <f>7291+5230+1727+233+363+396</f>
        <v>15240</v>
      </c>
      <c r="O109" s="159">
        <f>IF(M109&lt;&gt;0,M109/N109,"")</f>
        <v>9.70285433070866</v>
      </c>
      <c r="P109" s="360"/>
    </row>
    <row r="110" spans="1:16" ht="15">
      <c r="A110" s="91">
        <v>107</v>
      </c>
      <c r="B110" s="55" t="s">
        <v>207</v>
      </c>
      <c r="C110" s="41">
        <v>39402</v>
      </c>
      <c r="D110" s="45" t="s">
        <v>260</v>
      </c>
      <c r="E110" s="44" t="s">
        <v>107</v>
      </c>
      <c r="F110" s="63">
        <v>64</v>
      </c>
      <c r="G110" s="63">
        <v>1</v>
      </c>
      <c r="H110" s="63">
        <v>8</v>
      </c>
      <c r="I110" s="85">
        <v>3337</v>
      </c>
      <c r="J110" s="93">
        <v>358</v>
      </c>
      <c r="K110" s="144">
        <f>J110/G110</f>
        <v>358</v>
      </c>
      <c r="L110" s="145">
        <f>I110/J110</f>
        <v>9.32122905027933</v>
      </c>
      <c r="M110" s="146">
        <f>299858+213967+97347+22667+8568+16509+4053+3337</f>
        <v>666306</v>
      </c>
      <c r="N110" s="147">
        <f>33225+24189+12517+4002+2479+2973+867+358</f>
        <v>80610</v>
      </c>
      <c r="O110" s="81">
        <f>+M110/N110</f>
        <v>8.265798288053592</v>
      </c>
      <c r="P110" s="361">
        <v>1</v>
      </c>
    </row>
    <row r="111" spans="1:16" ht="15">
      <c r="A111" s="91">
        <v>108</v>
      </c>
      <c r="B111" s="56" t="s">
        <v>185</v>
      </c>
      <c r="C111" s="41">
        <v>39395</v>
      </c>
      <c r="D111" s="46" t="s">
        <v>126</v>
      </c>
      <c r="E111" s="46" t="s">
        <v>186</v>
      </c>
      <c r="F111" s="43">
        <v>5</v>
      </c>
      <c r="G111" s="43">
        <v>2</v>
      </c>
      <c r="H111" s="43">
        <v>6</v>
      </c>
      <c r="I111" s="368">
        <v>3328</v>
      </c>
      <c r="J111" s="369">
        <v>832</v>
      </c>
      <c r="K111" s="214">
        <f>J111/G111</f>
        <v>416</v>
      </c>
      <c r="L111" s="215">
        <f>I111/J111</f>
        <v>4</v>
      </c>
      <c r="M111" s="199">
        <v>8462.5</v>
      </c>
      <c r="N111" s="197">
        <v>1859</v>
      </c>
      <c r="O111" s="226">
        <f>+M111/N111</f>
        <v>4.552178590640129</v>
      </c>
      <c r="P111" s="336"/>
    </row>
    <row r="112" spans="1:15" ht="15">
      <c r="A112" s="91">
        <v>109</v>
      </c>
      <c r="B112" s="57" t="s">
        <v>334</v>
      </c>
      <c r="C112" s="41">
        <v>39395</v>
      </c>
      <c r="D112" s="47" t="s">
        <v>57</v>
      </c>
      <c r="E112" s="47" t="s">
        <v>219</v>
      </c>
      <c r="F112" s="64" t="s">
        <v>411</v>
      </c>
      <c r="G112" s="64" t="s">
        <v>125</v>
      </c>
      <c r="H112" s="64" t="s">
        <v>16</v>
      </c>
      <c r="I112" s="85">
        <v>3326.4</v>
      </c>
      <c r="J112" s="93">
        <v>665</v>
      </c>
      <c r="K112" s="144">
        <f>J112/G112</f>
        <v>665</v>
      </c>
      <c r="L112" s="215">
        <f>I112/J112</f>
        <v>5.002105263157895</v>
      </c>
      <c r="M112" s="146">
        <v>144894.95</v>
      </c>
      <c r="N112" s="147">
        <v>23721</v>
      </c>
      <c r="O112" s="226">
        <f>+M112/N112</f>
        <v>6.108298554023861</v>
      </c>
    </row>
    <row r="113" spans="1:16" ht="15">
      <c r="A113" s="91">
        <v>110</v>
      </c>
      <c r="B113" s="56" t="s">
        <v>338</v>
      </c>
      <c r="C113" s="42">
        <v>39402</v>
      </c>
      <c r="D113" s="87" t="s">
        <v>261</v>
      </c>
      <c r="E113" s="87" t="s">
        <v>312</v>
      </c>
      <c r="F113" s="43">
        <v>130</v>
      </c>
      <c r="G113" s="43">
        <v>21</v>
      </c>
      <c r="H113" s="43">
        <v>8</v>
      </c>
      <c r="I113" s="86">
        <v>3233</v>
      </c>
      <c r="J113" s="95">
        <v>645</v>
      </c>
      <c r="K113" s="134">
        <f>J113/G113</f>
        <v>30.714285714285715</v>
      </c>
      <c r="L113" s="135">
        <f>+I113/J113</f>
        <v>5.0124031007751935</v>
      </c>
      <c r="M113" s="136">
        <v>2076609</v>
      </c>
      <c r="N113" s="134">
        <v>260506</v>
      </c>
      <c r="O113" s="158">
        <f>+M113/N113</f>
        <v>7.971444035837946</v>
      </c>
      <c r="P113" s="336"/>
    </row>
    <row r="114" spans="1:16" ht="15">
      <c r="A114" s="91">
        <v>111</v>
      </c>
      <c r="B114" s="55" t="s">
        <v>333</v>
      </c>
      <c r="C114" s="41">
        <v>39381</v>
      </c>
      <c r="D114" s="44" t="s">
        <v>256</v>
      </c>
      <c r="E114" s="44" t="s">
        <v>147</v>
      </c>
      <c r="F114" s="63">
        <v>91</v>
      </c>
      <c r="G114" s="63">
        <v>2</v>
      </c>
      <c r="H114" s="63">
        <v>14</v>
      </c>
      <c r="I114" s="200">
        <v>3214</v>
      </c>
      <c r="J114" s="201">
        <v>690</v>
      </c>
      <c r="K114" s="202">
        <f>IF(I114&lt;&gt;0,J114/G114,"")</f>
        <v>345</v>
      </c>
      <c r="L114" s="203">
        <f>IF(I114&lt;&gt;0,I114/J114,"")</f>
        <v>4.6579710144927535</v>
      </c>
      <c r="M114" s="204">
        <f>964543+666618+447582+156310.5+90863+70894+37352.5+3350+1874+714.5+4126+4390+3896+3214</f>
        <v>2455727.5</v>
      </c>
      <c r="N114" s="197">
        <f>104009+73251+49929+20007+15751+12767+7228+691+416+233+781+895+779+690</f>
        <v>287427</v>
      </c>
      <c r="O114" s="224">
        <f>IF(M114&lt;&gt;0,M114/N114,"")</f>
        <v>8.54383025950937</v>
      </c>
      <c r="P114" s="336">
        <v>1</v>
      </c>
    </row>
    <row r="115" spans="1:16" ht="15">
      <c r="A115" s="91">
        <v>112</v>
      </c>
      <c r="B115" s="57" t="s">
        <v>217</v>
      </c>
      <c r="C115" s="41">
        <v>39444</v>
      </c>
      <c r="D115" s="47" t="s">
        <v>133</v>
      </c>
      <c r="E115" s="47" t="s">
        <v>168</v>
      </c>
      <c r="F115" s="64" t="s">
        <v>212</v>
      </c>
      <c r="G115" s="64" t="s">
        <v>410</v>
      </c>
      <c r="H115" s="64" t="s">
        <v>132</v>
      </c>
      <c r="I115" s="85">
        <v>3171</v>
      </c>
      <c r="J115" s="93">
        <v>499</v>
      </c>
      <c r="K115" s="144">
        <f>J115/G115</f>
        <v>62.375</v>
      </c>
      <c r="L115" s="145">
        <f>I115/J115</f>
        <v>6.354709418837675</v>
      </c>
      <c r="M115" s="146">
        <v>18357.5</v>
      </c>
      <c r="N115" s="147">
        <v>2250</v>
      </c>
      <c r="O115" s="81">
        <f>+M115/N115</f>
        <v>8.158888888888889</v>
      </c>
      <c r="P115" s="336"/>
    </row>
    <row r="116" spans="1:15" ht="15">
      <c r="A116" s="91">
        <v>113</v>
      </c>
      <c r="B116" s="56" t="s">
        <v>317</v>
      </c>
      <c r="C116" s="42">
        <v>39430</v>
      </c>
      <c r="D116" s="46" t="s">
        <v>262</v>
      </c>
      <c r="E116" s="46" t="s">
        <v>318</v>
      </c>
      <c r="F116" s="43">
        <v>43</v>
      </c>
      <c r="G116" s="43">
        <v>2</v>
      </c>
      <c r="H116" s="43">
        <v>8</v>
      </c>
      <c r="I116" s="195">
        <v>3101.5</v>
      </c>
      <c r="J116" s="196">
        <v>717</v>
      </c>
      <c r="K116" s="214">
        <f>J116/G116</f>
        <v>358.5</v>
      </c>
      <c r="L116" s="215">
        <f>I116/J116</f>
        <v>4.325662482566249</v>
      </c>
      <c r="M116" s="199">
        <f>43240+25728.5+5226.5+5207.5+50+1692+2247+3101.5</f>
        <v>86493</v>
      </c>
      <c r="N116" s="197">
        <f>5272+3593+870+1171+5+336+461+717</f>
        <v>12425</v>
      </c>
      <c r="O116" s="225">
        <f>M116/N116</f>
        <v>6.961207243460764</v>
      </c>
    </row>
    <row r="117" spans="1:16" ht="15">
      <c r="A117" s="91">
        <v>114</v>
      </c>
      <c r="B117" s="56" t="s">
        <v>316</v>
      </c>
      <c r="C117" s="41">
        <v>39430</v>
      </c>
      <c r="D117" s="46" t="s">
        <v>262</v>
      </c>
      <c r="E117" s="46" t="s">
        <v>263</v>
      </c>
      <c r="F117" s="43">
        <v>64</v>
      </c>
      <c r="G117" s="43">
        <v>2</v>
      </c>
      <c r="H117" s="43">
        <v>12</v>
      </c>
      <c r="I117" s="195">
        <v>3097</v>
      </c>
      <c r="J117" s="196">
        <v>775</v>
      </c>
      <c r="K117" s="214">
        <f>J117/G117</f>
        <v>387.5</v>
      </c>
      <c r="L117" s="215">
        <f>I117/J117</f>
        <v>3.9961290322580645</v>
      </c>
      <c r="M117" s="199">
        <f>183581+192120.5+67824+23763.5+5798.5+5467+22027+14042+2947+442+995+3097</f>
        <v>522104.5</v>
      </c>
      <c r="N117" s="197">
        <f>20071+21989+8620+4128+850+1010+3719+2499+595+78+61+775</f>
        <v>64395</v>
      </c>
      <c r="O117" s="226">
        <f>+M117/N117</f>
        <v>8.107842223775139</v>
      </c>
      <c r="P117" s="336"/>
    </row>
    <row r="118" spans="1:16" ht="15">
      <c r="A118" s="91">
        <v>115</v>
      </c>
      <c r="B118" s="56" t="s">
        <v>445</v>
      </c>
      <c r="C118" s="42">
        <v>39409</v>
      </c>
      <c r="D118" s="47" t="s">
        <v>262</v>
      </c>
      <c r="E118" s="46" t="s">
        <v>13</v>
      </c>
      <c r="F118" s="43">
        <v>13</v>
      </c>
      <c r="G118" s="43">
        <v>1</v>
      </c>
      <c r="H118" s="43">
        <v>8</v>
      </c>
      <c r="I118" s="136">
        <v>3076</v>
      </c>
      <c r="J118" s="134">
        <v>1026</v>
      </c>
      <c r="K118" s="144">
        <f>J118/G118</f>
        <v>1026</v>
      </c>
      <c r="L118" s="145">
        <f>I118/J118</f>
        <v>2.9980506822612085</v>
      </c>
      <c r="M118" s="136">
        <f>12464+5333-100+2072+1025+199+193+373+3076</f>
        <v>24635</v>
      </c>
      <c r="N118" s="134">
        <f>1407+644-8+342+204+38+38+86+1026</f>
        <v>3777</v>
      </c>
      <c r="O118" s="81">
        <f>+M118/N118</f>
        <v>6.522372253110935</v>
      </c>
      <c r="P118" s="336"/>
    </row>
    <row r="119" spans="1:16" ht="15">
      <c r="A119" s="91">
        <v>116</v>
      </c>
      <c r="B119" s="56" t="s">
        <v>224</v>
      </c>
      <c r="C119" s="41">
        <v>39395</v>
      </c>
      <c r="D119" s="46" t="s">
        <v>262</v>
      </c>
      <c r="E119" s="46" t="s">
        <v>263</v>
      </c>
      <c r="F119" s="43">
        <v>35</v>
      </c>
      <c r="G119" s="43">
        <v>1</v>
      </c>
      <c r="H119" s="43">
        <v>12</v>
      </c>
      <c r="I119" s="195">
        <v>3062</v>
      </c>
      <c r="J119" s="196">
        <v>766</v>
      </c>
      <c r="K119" s="214">
        <f>J119/G119</f>
        <v>766</v>
      </c>
      <c r="L119" s="215">
        <f>I119/J119</f>
        <v>3.9973890339425586</v>
      </c>
      <c r="M119" s="199">
        <f>310876.5+189449.5+81911+30301+17300.5+2478+1808+1661.5+1269+1934+2857+3062</f>
        <v>644908</v>
      </c>
      <c r="N119" s="197">
        <f>27485+16830+7465+3781+3026+485+290+393+249+683+716+766</f>
        <v>62169</v>
      </c>
      <c r="O119" s="226">
        <f>+M119/N119</f>
        <v>10.373465875275459</v>
      </c>
      <c r="P119" s="336"/>
    </row>
    <row r="120" spans="1:16" ht="15">
      <c r="A120" s="91">
        <v>117</v>
      </c>
      <c r="B120" s="56" t="s">
        <v>208</v>
      </c>
      <c r="C120" s="42">
        <v>39045</v>
      </c>
      <c r="D120" s="46" t="s">
        <v>262</v>
      </c>
      <c r="E120" s="46" t="s">
        <v>209</v>
      </c>
      <c r="F120" s="43">
        <v>59</v>
      </c>
      <c r="G120" s="43">
        <v>1</v>
      </c>
      <c r="H120" s="43">
        <v>32</v>
      </c>
      <c r="I120" s="86">
        <v>3021</v>
      </c>
      <c r="J120" s="95">
        <v>756</v>
      </c>
      <c r="K120" s="137">
        <f>IF(I120&lt;&gt;0,J120/G120,"")</f>
        <v>756</v>
      </c>
      <c r="L120" s="138">
        <f>IF(I120&lt;&gt;0,I120/J120,"")</f>
        <v>3.996031746031746</v>
      </c>
      <c r="M120" s="136">
        <f>923228.5+937012.5+950194+628448.5+336851+386155+185586+7528+78557+38487.5+19951.5+79+2267.5-1008+9203+2435+1210+836+3795.5+1284+1033+2376+108+8910+3564+10330+5034+2376+2376+972+2376+200+20659.5+1510.5+3021</f>
        <v>4576947.5</v>
      </c>
      <c r="N120" s="134">
        <f>117837+123027+120667+81172+47916+61261+32646+795+14471+9345+4644+35+561-336+1591+487+300+161+1018+303+241+475+13+2228+891+2583+1259+594+594+162+594+67+4132+378+756</f>
        <v>632868</v>
      </c>
      <c r="O120" s="159">
        <f>IF(M120&lt;&gt;0,M120/N120,"")</f>
        <v>7.232072880916716</v>
      </c>
      <c r="P120" s="336">
        <v>1</v>
      </c>
    </row>
    <row r="121" spans="1:16" ht="15">
      <c r="A121" s="91">
        <v>118</v>
      </c>
      <c r="B121" s="57" t="s">
        <v>441</v>
      </c>
      <c r="C121" s="42">
        <v>39416</v>
      </c>
      <c r="D121" s="47" t="s">
        <v>126</v>
      </c>
      <c r="E121" s="47" t="s">
        <v>408</v>
      </c>
      <c r="F121" s="88">
        <v>4</v>
      </c>
      <c r="G121" s="89">
        <v>4</v>
      </c>
      <c r="H121" s="88">
        <v>6</v>
      </c>
      <c r="I121" s="85">
        <v>2995</v>
      </c>
      <c r="J121" s="93">
        <v>518</v>
      </c>
      <c r="K121" s="144">
        <f>J121/G121</f>
        <v>129.5</v>
      </c>
      <c r="L121" s="145">
        <f>I121/J121</f>
        <v>5.781853281853282</v>
      </c>
      <c r="M121" s="146">
        <v>43169</v>
      </c>
      <c r="N121" s="147">
        <v>4604</v>
      </c>
      <c r="O121" s="81">
        <f>+M121/N121</f>
        <v>9.376411815812338</v>
      </c>
      <c r="P121" s="336"/>
    </row>
    <row r="122" spans="1:16" ht="15">
      <c r="A122" s="91">
        <v>119</v>
      </c>
      <c r="B122" s="56" t="s">
        <v>333</v>
      </c>
      <c r="C122" s="41">
        <v>39381</v>
      </c>
      <c r="D122" s="46" t="s">
        <v>256</v>
      </c>
      <c r="E122" s="46" t="s">
        <v>426</v>
      </c>
      <c r="F122" s="43">
        <v>91</v>
      </c>
      <c r="G122" s="43">
        <v>2</v>
      </c>
      <c r="H122" s="43">
        <v>18</v>
      </c>
      <c r="I122" s="136">
        <v>2990</v>
      </c>
      <c r="J122" s="134">
        <v>731</v>
      </c>
      <c r="K122" s="144">
        <f>IF(I122&lt;&gt;0,J122/G122,"")</f>
        <v>365.5</v>
      </c>
      <c r="L122" s="145">
        <f>IF(I122&lt;&gt;0,I122/J122,"")</f>
        <v>4.090287277701778</v>
      </c>
      <c r="M122" s="136">
        <f>2459549.5+0+2990</f>
        <v>2462539.5</v>
      </c>
      <c r="N122" s="134">
        <f>288443+0+731</f>
        <v>289174</v>
      </c>
      <c r="O122" s="81">
        <f>IF(M122&lt;&gt;0,M122/N122,"")</f>
        <v>8.51577078160554</v>
      </c>
      <c r="P122" s="336"/>
    </row>
    <row r="123" spans="1:16" ht="15">
      <c r="A123" s="91">
        <v>120</v>
      </c>
      <c r="B123" s="57" t="s">
        <v>215</v>
      </c>
      <c r="C123" s="41">
        <v>39444</v>
      </c>
      <c r="D123" s="47" t="s">
        <v>309</v>
      </c>
      <c r="E123" s="47" t="s">
        <v>309</v>
      </c>
      <c r="F123" s="58">
        <v>14</v>
      </c>
      <c r="G123" s="58">
        <v>5</v>
      </c>
      <c r="H123" s="58">
        <v>6</v>
      </c>
      <c r="I123" s="205">
        <v>2981</v>
      </c>
      <c r="J123" s="206">
        <v>588</v>
      </c>
      <c r="K123" s="214">
        <f>J123/G123</f>
        <v>117.6</v>
      </c>
      <c r="L123" s="215">
        <f>I123/J123</f>
        <v>5.069727891156463</v>
      </c>
      <c r="M123" s="207">
        <v>234024</v>
      </c>
      <c r="N123" s="208">
        <v>23101</v>
      </c>
      <c r="O123" s="224">
        <f>+M123/N123</f>
        <v>10.130470542400762</v>
      </c>
      <c r="P123" s="336"/>
    </row>
    <row r="124" spans="1:16" ht="15">
      <c r="A124" s="91">
        <v>121</v>
      </c>
      <c r="B124" s="57" t="s">
        <v>148</v>
      </c>
      <c r="C124" s="42">
        <v>39381</v>
      </c>
      <c r="D124" s="47" t="s">
        <v>126</v>
      </c>
      <c r="E124" s="47" t="s">
        <v>149</v>
      </c>
      <c r="F124" s="88">
        <v>11</v>
      </c>
      <c r="G124" s="89">
        <v>4</v>
      </c>
      <c r="H124" s="88">
        <v>11</v>
      </c>
      <c r="I124" s="85">
        <v>2972</v>
      </c>
      <c r="J124" s="93">
        <v>542</v>
      </c>
      <c r="K124" s="144">
        <f>J124/G124</f>
        <v>135.5</v>
      </c>
      <c r="L124" s="145">
        <f>I124/J124</f>
        <v>5.483394833948339</v>
      </c>
      <c r="M124" s="146">
        <v>220410.7</v>
      </c>
      <c r="N124" s="147">
        <v>24789</v>
      </c>
      <c r="O124" s="81">
        <f>+M124/N124</f>
        <v>8.89147202388156</v>
      </c>
      <c r="P124" s="251"/>
    </row>
    <row r="125" spans="1:16" ht="15">
      <c r="A125" s="91">
        <v>122</v>
      </c>
      <c r="B125" s="56" t="s">
        <v>211</v>
      </c>
      <c r="C125" s="41">
        <v>39437</v>
      </c>
      <c r="D125" s="339" t="s">
        <v>126</v>
      </c>
      <c r="E125" s="339" t="s">
        <v>250</v>
      </c>
      <c r="F125" s="43">
        <v>1</v>
      </c>
      <c r="G125" s="43">
        <v>1</v>
      </c>
      <c r="H125" s="43">
        <v>6</v>
      </c>
      <c r="I125" s="195">
        <v>2971</v>
      </c>
      <c r="J125" s="196">
        <v>742</v>
      </c>
      <c r="K125" s="214">
        <f>J125/G125</f>
        <v>742</v>
      </c>
      <c r="L125" s="215">
        <f>I125/J125</f>
        <v>4.004043126684636</v>
      </c>
      <c r="M125" s="199">
        <v>26721.5</v>
      </c>
      <c r="N125" s="197">
        <v>4209</v>
      </c>
      <c r="O125" s="226">
        <f>+M125/N125</f>
        <v>6.3486576383939175</v>
      </c>
      <c r="P125" s="251"/>
    </row>
    <row r="126" spans="1:16" ht="15">
      <c r="A126" s="91">
        <v>123</v>
      </c>
      <c r="B126" s="57" t="s">
        <v>342</v>
      </c>
      <c r="C126" s="41">
        <v>39423</v>
      </c>
      <c r="D126" s="47" t="s">
        <v>309</v>
      </c>
      <c r="E126" s="47" t="s">
        <v>309</v>
      </c>
      <c r="F126" s="58">
        <v>1</v>
      </c>
      <c r="G126" s="58">
        <v>1</v>
      </c>
      <c r="H126" s="58">
        <v>5</v>
      </c>
      <c r="I126" s="205">
        <v>2963</v>
      </c>
      <c r="J126" s="206">
        <v>311</v>
      </c>
      <c r="K126" s="202">
        <f>+J126/G126</f>
        <v>311</v>
      </c>
      <c r="L126" s="203">
        <f>+I126/J126</f>
        <v>9.52733118971061</v>
      </c>
      <c r="M126" s="207">
        <v>25302</v>
      </c>
      <c r="N126" s="208">
        <v>2247</v>
      </c>
      <c r="O126" s="224">
        <f>+M126/N126</f>
        <v>11.260347129506007</v>
      </c>
      <c r="P126" s="336"/>
    </row>
    <row r="127" spans="1:16" ht="15">
      <c r="A127" s="91">
        <v>124</v>
      </c>
      <c r="B127" s="56" t="s">
        <v>316</v>
      </c>
      <c r="C127" s="42">
        <v>39430</v>
      </c>
      <c r="D127" s="46" t="s">
        <v>262</v>
      </c>
      <c r="E127" s="46" t="s">
        <v>263</v>
      </c>
      <c r="F127" s="270">
        <v>64</v>
      </c>
      <c r="G127" s="43">
        <v>8</v>
      </c>
      <c r="H127" s="43">
        <v>9</v>
      </c>
      <c r="I127" s="86">
        <v>2947</v>
      </c>
      <c r="J127" s="95">
        <v>595</v>
      </c>
      <c r="K127" s="137">
        <f>IF(I127&lt;&gt;0,J127/G127,"")</f>
        <v>74.375</v>
      </c>
      <c r="L127" s="203">
        <f>IF(I127&lt;&gt;0,I127/J127,"")</f>
        <v>4.952941176470588</v>
      </c>
      <c r="M127" s="136">
        <f>183581+192120.5+67824+23763.5+5798.5+5467+22027+14042+2947</f>
        <v>517570.5</v>
      </c>
      <c r="N127" s="134">
        <f>20071+21989+8620+4128+850+1010+3719+2499+595</f>
        <v>63481</v>
      </c>
      <c r="O127" s="224">
        <f>IF(M127&lt;&gt;0,M127/N127,"")</f>
        <v>8.15315606244388</v>
      </c>
      <c r="P127" s="336"/>
    </row>
    <row r="128" spans="1:16" ht="15">
      <c r="A128" s="91">
        <v>125</v>
      </c>
      <c r="B128" s="56" t="s">
        <v>224</v>
      </c>
      <c r="C128" s="42">
        <v>39395</v>
      </c>
      <c r="D128" s="46" t="s">
        <v>262</v>
      </c>
      <c r="E128" s="46" t="s">
        <v>263</v>
      </c>
      <c r="F128" s="43">
        <v>35</v>
      </c>
      <c r="G128" s="43">
        <v>2</v>
      </c>
      <c r="H128" s="43">
        <v>11</v>
      </c>
      <c r="I128" s="195">
        <v>2857</v>
      </c>
      <c r="J128" s="196">
        <v>716</v>
      </c>
      <c r="K128" s="214">
        <f>J128/G128</f>
        <v>358</v>
      </c>
      <c r="L128" s="215">
        <f>I128/J128</f>
        <v>3.9902234636871508</v>
      </c>
      <c r="M128" s="199">
        <f>310876.5+189449.5+81911+30301+17300.5+2478+1808+1661.5+1269+1934+2857</f>
        <v>641846</v>
      </c>
      <c r="N128" s="197">
        <f>27485+16830+7465+3781+3026+485+290+393+249+683+716</f>
        <v>61403</v>
      </c>
      <c r="O128" s="225">
        <f>M128/N128</f>
        <v>10.453007182059508</v>
      </c>
      <c r="P128" s="336">
        <v>1</v>
      </c>
    </row>
    <row r="129" spans="1:16" ht="15">
      <c r="A129" s="91">
        <v>126</v>
      </c>
      <c r="B129" s="56" t="s">
        <v>334</v>
      </c>
      <c r="C129" s="41">
        <v>39395</v>
      </c>
      <c r="D129" s="46" t="s">
        <v>57</v>
      </c>
      <c r="E129" s="46" t="s">
        <v>219</v>
      </c>
      <c r="F129" s="43" t="s">
        <v>411</v>
      </c>
      <c r="G129" s="43" t="s">
        <v>132</v>
      </c>
      <c r="H129" s="43" t="s">
        <v>231</v>
      </c>
      <c r="I129" s="195">
        <v>2851.18</v>
      </c>
      <c r="J129" s="196">
        <v>573</v>
      </c>
      <c r="K129" s="214">
        <f>J129/G129</f>
        <v>286.5</v>
      </c>
      <c r="L129" s="215">
        <f>I129/J129</f>
        <v>4.97588132635253</v>
      </c>
      <c r="M129" s="199">
        <v>151772.15</v>
      </c>
      <c r="N129" s="197">
        <v>25074</v>
      </c>
      <c r="O129" s="226">
        <f>+M129/N129</f>
        <v>6.05296921113504</v>
      </c>
      <c r="P129" s="336"/>
    </row>
    <row r="130" spans="1:16" ht="15">
      <c r="A130" s="91">
        <v>127</v>
      </c>
      <c r="B130" s="55" t="s">
        <v>310</v>
      </c>
      <c r="C130" s="41">
        <v>39423</v>
      </c>
      <c r="D130" s="44" t="s">
        <v>256</v>
      </c>
      <c r="E130" s="44" t="s">
        <v>251</v>
      </c>
      <c r="F130" s="63">
        <v>164</v>
      </c>
      <c r="G130" s="63">
        <v>5</v>
      </c>
      <c r="H130" s="63">
        <v>11</v>
      </c>
      <c r="I130" s="200">
        <v>2826</v>
      </c>
      <c r="J130" s="201">
        <v>598</v>
      </c>
      <c r="K130" s="214">
        <f>J130/G130</f>
        <v>119.6</v>
      </c>
      <c r="L130" s="138">
        <f>IF(I130&lt;&gt;0,I130/J130,"")</f>
        <v>4.725752508361204</v>
      </c>
      <c r="M130" s="204">
        <f>1455428+896564.5+785700+295594.5+45815.5+11311.5+13282+11389+10839+9534+2826</f>
        <v>3538284</v>
      </c>
      <c r="N130" s="197">
        <f>172176+105411+97548+39201+8243+2114+2845+2112+2384+1888+598</f>
        <v>434520</v>
      </c>
      <c r="O130" s="81">
        <f>+M130/N130</f>
        <v>8.14297155481911</v>
      </c>
      <c r="P130" s="336"/>
    </row>
    <row r="131" spans="1:15" ht="15">
      <c r="A131" s="91">
        <v>128</v>
      </c>
      <c r="B131" s="55" t="s">
        <v>214</v>
      </c>
      <c r="C131" s="41">
        <v>39444</v>
      </c>
      <c r="D131" s="45" t="s">
        <v>260</v>
      </c>
      <c r="E131" s="44" t="s">
        <v>107</v>
      </c>
      <c r="F131" s="63">
        <v>60</v>
      </c>
      <c r="G131" s="63">
        <v>7</v>
      </c>
      <c r="H131" s="63">
        <v>4</v>
      </c>
      <c r="I131" s="205">
        <v>2807</v>
      </c>
      <c r="J131" s="206">
        <v>450</v>
      </c>
      <c r="K131" s="214">
        <f>J131/G131</f>
        <v>64.28571428571429</v>
      </c>
      <c r="L131" s="215">
        <f>I131/J131</f>
        <v>6.237777777777778</v>
      </c>
      <c r="M131" s="207">
        <f>211429+90759+13033+2807</f>
        <v>318028</v>
      </c>
      <c r="N131" s="208">
        <f>22982+9879+1560+450</f>
        <v>34871</v>
      </c>
      <c r="O131" s="226">
        <f>+M131/N131</f>
        <v>9.120128473516676</v>
      </c>
    </row>
    <row r="132" spans="1:16" ht="15">
      <c r="A132" s="91">
        <v>129</v>
      </c>
      <c r="B132" s="55" t="s">
        <v>130</v>
      </c>
      <c r="C132" s="41">
        <v>39164</v>
      </c>
      <c r="D132" s="44" t="s">
        <v>256</v>
      </c>
      <c r="E132" s="44" t="s">
        <v>106</v>
      </c>
      <c r="F132" s="63">
        <v>119</v>
      </c>
      <c r="G132" s="63">
        <v>2</v>
      </c>
      <c r="H132" s="63">
        <v>29</v>
      </c>
      <c r="I132" s="200">
        <v>2755</v>
      </c>
      <c r="J132" s="201">
        <v>551</v>
      </c>
      <c r="K132" s="214">
        <f>J132/G132</f>
        <v>275.5</v>
      </c>
      <c r="L132" s="215">
        <f>I132/J132</f>
        <v>5</v>
      </c>
      <c r="M132" s="204">
        <f>1508816.5+0</f>
        <v>1508816.5</v>
      </c>
      <c r="N132" s="197">
        <f>201542+0</f>
        <v>201542</v>
      </c>
      <c r="O132" s="224">
        <f>IF(M132&lt;&gt;0,M132/N132,"")</f>
        <v>7.486362644014647</v>
      </c>
      <c r="P132" s="336">
        <v>1</v>
      </c>
    </row>
    <row r="133" spans="1:16" ht="15">
      <c r="A133" s="91">
        <v>130</v>
      </c>
      <c r="B133" s="77" t="s">
        <v>438</v>
      </c>
      <c r="C133" s="61">
        <v>39416</v>
      </c>
      <c r="D133" s="80" t="s">
        <v>60</v>
      </c>
      <c r="E133" s="80" t="s">
        <v>254</v>
      </c>
      <c r="F133" s="78">
        <v>45</v>
      </c>
      <c r="G133" s="79">
        <v>4</v>
      </c>
      <c r="H133" s="79">
        <v>11</v>
      </c>
      <c r="I133" s="118">
        <v>2727</v>
      </c>
      <c r="J133" s="140">
        <v>681</v>
      </c>
      <c r="K133" s="141">
        <v>92.17647058823529</v>
      </c>
      <c r="L133" s="212">
        <v>5.0644543714103385</v>
      </c>
      <c r="M133" s="143">
        <v>182014</v>
      </c>
      <c r="N133" s="151">
        <v>27105</v>
      </c>
      <c r="O133" s="224">
        <f>+M133/N133</f>
        <v>6.715144807231138</v>
      </c>
      <c r="P133" s="336"/>
    </row>
    <row r="134" spans="1:16" ht="18">
      <c r="A134" s="91">
        <v>131</v>
      </c>
      <c r="B134" s="57" t="s">
        <v>326</v>
      </c>
      <c r="C134" s="41">
        <v>39437</v>
      </c>
      <c r="D134" s="48" t="s">
        <v>267</v>
      </c>
      <c r="E134" s="48" t="s">
        <v>127</v>
      </c>
      <c r="F134" s="76">
        <v>17</v>
      </c>
      <c r="G134" s="76">
        <v>17</v>
      </c>
      <c r="H134" s="76">
        <v>4</v>
      </c>
      <c r="I134" s="217">
        <v>2727</v>
      </c>
      <c r="J134" s="218">
        <v>388</v>
      </c>
      <c r="K134" s="219">
        <f aca="true" t="shared" si="5" ref="K134:K151">J134/G134</f>
        <v>22.823529411764707</v>
      </c>
      <c r="L134" s="220">
        <f>I134/J134</f>
        <v>7.028350515463917</v>
      </c>
      <c r="M134" s="221">
        <v>273470</v>
      </c>
      <c r="N134" s="219">
        <v>25716</v>
      </c>
      <c r="O134" s="227">
        <f>M134/N134</f>
        <v>10.634235495411417</v>
      </c>
      <c r="P134" s="360">
        <v>1</v>
      </c>
    </row>
    <row r="135" spans="1:16" ht="15">
      <c r="A135" s="91">
        <v>132</v>
      </c>
      <c r="B135" s="56" t="s">
        <v>444</v>
      </c>
      <c r="C135" s="41">
        <v>39416</v>
      </c>
      <c r="D135" s="46" t="s">
        <v>260</v>
      </c>
      <c r="E135" s="46" t="s">
        <v>144</v>
      </c>
      <c r="F135" s="43">
        <v>123</v>
      </c>
      <c r="G135" s="43">
        <v>1</v>
      </c>
      <c r="H135" s="43">
        <v>16</v>
      </c>
      <c r="I135" s="86">
        <v>2714</v>
      </c>
      <c r="J135" s="196">
        <v>258</v>
      </c>
      <c r="K135" s="214">
        <f t="shared" si="5"/>
        <v>258</v>
      </c>
      <c r="L135" s="215">
        <f>I135/J135</f>
        <v>10.51937984496124</v>
      </c>
      <c r="M135" s="136">
        <f>155416+1136619+622980+528056+225392+174199+84508+58425+34257+3403+1276+1707+633+682+568+405+2714</f>
        <v>3031240</v>
      </c>
      <c r="N135" s="197">
        <f>12079+122083+66530+52286+18245+17821+7913+4333+2998+686+289+388+102+107+93+66+258</f>
        <v>306277</v>
      </c>
      <c r="O135" s="226">
        <f>+M135/N135</f>
        <v>9.897053974016984</v>
      </c>
      <c r="P135" s="336">
        <v>1</v>
      </c>
    </row>
    <row r="136" spans="1:16" ht="15">
      <c r="A136" s="91">
        <v>133</v>
      </c>
      <c r="B136" s="56" t="s">
        <v>307</v>
      </c>
      <c r="C136" s="42">
        <v>39423</v>
      </c>
      <c r="D136" s="46" t="s">
        <v>262</v>
      </c>
      <c r="E136" s="46" t="s">
        <v>263</v>
      </c>
      <c r="F136" s="43">
        <v>40</v>
      </c>
      <c r="G136" s="43">
        <v>3</v>
      </c>
      <c r="H136" s="43">
        <v>6</v>
      </c>
      <c r="I136" s="195">
        <v>2705</v>
      </c>
      <c r="J136" s="196">
        <v>543</v>
      </c>
      <c r="K136" s="197">
        <f t="shared" si="5"/>
        <v>181</v>
      </c>
      <c r="L136" s="198">
        <f>+I136/J136</f>
        <v>4.98158379373849</v>
      </c>
      <c r="M136" s="199">
        <f>337397.5+246059+95618.5+43492.5+31631.5+2705</f>
        <v>756904</v>
      </c>
      <c r="N136" s="197">
        <f>35596+24953+11024+7059+5745+543</f>
        <v>84920</v>
      </c>
      <c r="O136" s="223">
        <f>+M136/N136</f>
        <v>8.913141780499293</v>
      </c>
      <c r="P136" s="336"/>
    </row>
    <row r="137" spans="1:16" ht="15">
      <c r="A137" s="91">
        <v>134</v>
      </c>
      <c r="B137" s="56" t="s">
        <v>307</v>
      </c>
      <c r="C137" s="42">
        <v>39423</v>
      </c>
      <c r="D137" s="46" t="s">
        <v>262</v>
      </c>
      <c r="E137" s="46" t="s">
        <v>263</v>
      </c>
      <c r="F137" s="43">
        <v>40</v>
      </c>
      <c r="G137" s="43">
        <v>3</v>
      </c>
      <c r="H137" s="43">
        <v>9</v>
      </c>
      <c r="I137" s="195">
        <v>2653</v>
      </c>
      <c r="J137" s="196">
        <v>467</v>
      </c>
      <c r="K137" s="214">
        <f t="shared" si="5"/>
        <v>155.66666666666666</v>
      </c>
      <c r="L137" s="215">
        <f aca="true" t="shared" si="6" ref="L137:L147">I137/J137</f>
        <v>5.680942184154175</v>
      </c>
      <c r="M137" s="199">
        <f>337397.5+246059+95618.5+43492.5+31631.5+2705+4609+1105+2653</f>
        <v>765271</v>
      </c>
      <c r="N137" s="197">
        <f>35596+24953+11024+7059+5745+543+908+221+467</f>
        <v>86516</v>
      </c>
      <c r="O137" s="225">
        <f>M137/N137</f>
        <v>8.845427435387673</v>
      </c>
      <c r="P137" s="251"/>
    </row>
    <row r="138" spans="1:16" ht="15">
      <c r="A138" s="91">
        <v>135</v>
      </c>
      <c r="B138" s="56" t="s">
        <v>439</v>
      </c>
      <c r="C138" s="42">
        <v>39416</v>
      </c>
      <c r="D138" s="46" t="s">
        <v>262</v>
      </c>
      <c r="E138" s="46" t="s">
        <v>331</v>
      </c>
      <c r="F138" s="43">
        <v>20</v>
      </c>
      <c r="G138" s="43">
        <v>1</v>
      </c>
      <c r="H138" s="43">
        <v>8</v>
      </c>
      <c r="I138" s="195">
        <v>2626.5</v>
      </c>
      <c r="J138" s="196">
        <v>298</v>
      </c>
      <c r="K138" s="214">
        <f t="shared" si="5"/>
        <v>298</v>
      </c>
      <c r="L138" s="215">
        <f t="shared" si="6"/>
        <v>8.813758389261745</v>
      </c>
      <c r="M138" s="199">
        <f>75692.5+51302+12584.5+2036+2909.5+3347+4240.5+2626.5</f>
        <v>154738.5</v>
      </c>
      <c r="N138" s="197">
        <f>7291+5230+1727+233+363+396+496+298</f>
        <v>16034</v>
      </c>
      <c r="O138" s="226">
        <f aca="true" t="shared" si="7" ref="O138:O151">+M138/N138</f>
        <v>9.650648621678933</v>
      </c>
      <c r="P138" s="336">
        <v>1</v>
      </c>
    </row>
    <row r="139" spans="1:15" ht="15">
      <c r="A139" s="91">
        <v>136</v>
      </c>
      <c r="B139" s="56" t="s">
        <v>46</v>
      </c>
      <c r="C139" s="41">
        <v>39087</v>
      </c>
      <c r="D139" s="46" t="s">
        <v>260</v>
      </c>
      <c r="E139" s="46" t="s">
        <v>265</v>
      </c>
      <c r="F139" s="43">
        <v>80</v>
      </c>
      <c r="G139" s="43">
        <v>1</v>
      </c>
      <c r="H139" s="43">
        <v>31</v>
      </c>
      <c r="I139" s="195">
        <v>2542</v>
      </c>
      <c r="J139" s="196">
        <v>356</v>
      </c>
      <c r="K139" s="214">
        <f t="shared" si="5"/>
        <v>356</v>
      </c>
      <c r="L139" s="215">
        <f t="shared" si="6"/>
        <v>7.140449438202247</v>
      </c>
      <c r="M139" s="199">
        <f>1367+686114+384405+247619+146119+85619+63759-1+18934+11869+10791+11315+6907+8812+6730+2628+1465+749+1063+756+276+1198+612+510+45+1062+592+1782+205+893+893+2490+691+2542</f>
        <v>1710811</v>
      </c>
      <c r="N139" s="197">
        <f>80773+116+46317+29887+17891+10484+7685+2801+1917+1334+1333+755+1517+932+417+307+136+369+126+23+122+85+45+5+126+49+510+33+296+296+415+68+356</f>
        <v>207526</v>
      </c>
      <c r="O139" s="226">
        <f t="shared" si="7"/>
        <v>8.243839326156722</v>
      </c>
    </row>
    <row r="140" spans="1:16" ht="15">
      <c r="A140" s="91">
        <v>137</v>
      </c>
      <c r="B140" s="55" t="s">
        <v>310</v>
      </c>
      <c r="C140" s="41">
        <v>39423</v>
      </c>
      <c r="D140" s="44" t="s">
        <v>256</v>
      </c>
      <c r="E140" s="44" t="s">
        <v>251</v>
      </c>
      <c r="F140" s="63">
        <v>164</v>
      </c>
      <c r="G140" s="63">
        <v>3</v>
      </c>
      <c r="H140" s="63">
        <v>12</v>
      </c>
      <c r="I140" s="200">
        <v>2532</v>
      </c>
      <c r="J140" s="201">
        <v>623</v>
      </c>
      <c r="K140" s="214">
        <f t="shared" si="5"/>
        <v>207.66666666666666</v>
      </c>
      <c r="L140" s="215">
        <f t="shared" si="6"/>
        <v>4.064205457463885</v>
      </c>
      <c r="M140" s="204">
        <f>1455428+896564.5+785700+295594.5+45815.5+11311.5+13282+11389+10839+9534+2826+2532</f>
        <v>3540816</v>
      </c>
      <c r="N140" s="197">
        <f>172176+105411+97548+39201+8243+2114+2845+2112+2384+1888+598+623</f>
        <v>435143</v>
      </c>
      <c r="O140" s="226">
        <f t="shared" si="7"/>
        <v>8.137131931342111</v>
      </c>
      <c r="P140" s="336">
        <v>1</v>
      </c>
    </row>
    <row r="141" spans="1:16" ht="15">
      <c r="A141" s="91">
        <v>138</v>
      </c>
      <c r="B141" s="56" t="s">
        <v>323</v>
      </c>
      <c r="C141" s="41">
        <v>39437</v>
      </c>
      <c r="D141" s="46" t="s">
        <v>262</v>
      </c>
      <c r="E141" s="46" t="s">
        <v>324</v>
      </c>
      <c r="F141" s="63">
        <v>156</v>
      </c>
      <c r="G141" s="43">
        <v>1</v>
      </c>
      <c r="H141" s="43">
        <v>18</v>
      </c>
      <c r="I141" s="368">
        <v>2531</v>
      </c>
      <c r="J141" s="369">
        <v>844</v>
      </c>
      <c r="K141" s="214">
        <f t="shared" si="5"/>
        <v>844</v>
      </c>
      <c r="L141" s="215">
        <f t="shared" si="6"/>
        <v>2.998815165876777</v>
      </c>
      <c r="M141" s="199">
        <f>1780127+1212579.5+721829.5+404706.5+230406+56484.5+45824+18497.5+10529+9795.5+1455+3484+1447+391+3673+4075.5+1032+2531</f>
        <v>4508867.5</v>
      </c>
      <c r="N141" s="197">
        <f>240776+165120+97288+55998+35394+10296+9476+3143+2091+2258+337+991+436+98+918+697+200+844</f>
        <v>626361</v>
      </c>
      <c r="O141" s="226">
        <f t="shared" si="7"/>
        <v>7.198512519138324</v>
      </c>
      <c r="P141" s="336"/>
    </row>
    <row r="142" spans="1:16" ht="15">
      <c r="A142" s="91">
        <v>139</v>
      </c>
      <c r="B142" s="55" t="s">
        <v>214</v>
      </c>
      <c r="C142" s="41">
        <v>39444</v>
      </c>
      <c r="D142" s="45" t="s">
        <v>260</v>
      </c>
      <c r="E142" s="44" t="s">
        <v>107</v>
      </c>
      <c r="F142" s="63">
        <v>60</v>
      </c>
      <c r="G142" s="63">
        <v>5</v>
      </c>
      <c r="H142" s="63">
        <v>5</v>
      </c>
      <c r="I142" s="205">
        <v>2520</v>
      </c>
      <c r="J142" s="206">
        <v>434</v>
      </c>
      <c r="K142" s="214">
        <f t="shared" si="5"/>
        <v>86.8</v>
      </c>
      <c r="L142" s="215">
        <f t="shared" si="6"/>
        <v>5.806451612903226</v>
      </c>
      <c r="M142" s="207">
        <f>211429+90759+13033+2807+2520</f>
        <v>320548</v>
      </c>
      <c r="N142" s="208">
        <f>22982+9879+1560+450+434</f>
        <v>35305</v>
      </c>
      <c r="O142" s="226">
        <f t="shared" si="7"/>
        <v>9.079393853561818</v>
      </c>
      <c r="P142" s="336">
        <v>1</v>
      </c>
    </row>
    <row r="143" spans="1:16" ht="15">
      <c r="A143" s="91">
        <v>140</v>
      </c>
      <c r="B143" s="56" t="s">
        <v>46</v>
      </c>
      <c r="C143" s="41">
        <v>39087</v>
      </c>
      <c r="D143" s="46" t="s">
        <v>260</v>
      </c>
      <c r="E143" s="46" t="s">
        <v>265</v>
      </c>
      <c r="F143" s="43">
        <v>80</v>
      </c>
      <c r="G143" s="43">
        <v>1</v>
      </c>
      <c r="H143" s="43">
        <v>29</v>
      </c>
      <c r="I143" s="195">
        <v>2490</v>
      </c>
      <c r="J143" s="196">
        <v>415</v>
      </c>
      <c r="K143" s="214">
        <f t="shared" si="5"/>
        <v>415</v>
      </c>
      <c r="L143" s="215">
        <f t="shared" si="6"/>
        <v>6</v>
      </c>
      <c r="M143" s="199">
        <f>1367+686114+384405+247619+146119+85619+63759-1+18934+11869+10791+11315+6907+8812+6730+2628+1465+749+1063+756+276+1198+612+510+45+1062+592+1782+205+893+893+2490</f>
        <v>1707578</v>
      </c>
      <c r="N143" s="197">
        <f>80773+116+46317+29887+17891+10484+7685+2801+1917+1334+1333+755+1517+932+417+307+136+369+126+23+122+85+45+5+126+49+510+33+296+296+415</f>
        <v>207102</v>
      </c>
      <c r="O143" s="226">
        <f t="shared" si="7"/>
        <v>8.245106276134464</v>
      </c>
      <c r="P143" s="336"/>
    </row>
    <row r="144" spans="1:16" ht="15">
      <c r="A144" s="91">
        <v>141</v>
      </c>
      <c r="B144" s="55" t="s">
        <v>398</v>
      </c>
      <c r="C144" s="41">
        <v>39437</v>
      </c>
      <c r="D144" s="45" t="s">
        <v>260</v>
      </c>
      <c r="E144" s="44" t="s">
        <v>413</v>
      </c>
      <c r="F144" s="63">
        <v>49</v>
      </c>
      <c r="G144" s="63">
        <v>5</v>
      </c>
      <c r="H144" s="63">
        <v>7</v>
      </c>
      <c r="I144" s="205">
        <v>2481</v>
      </c>
      <c r="J144" s="206">
        <v>412</v>
      </c>
      <c r="K144" s="214">
        <f t="shared" si="5"/>
        <v>82.4</v>
      </c>
      <c r="L144" s="215">
        <f t="shared" si="6"/>
        <v>6.021844660194175</v>
      </c>
      <c r="M144" s="207">
        <f>265356+150950+36636+752+2313+871+2481</f>
        <v>459359</v>
      </c>
      <c r="N144" s="208">
        <f>28419+15898+4109+157+424+163+412</f>
        <v>49582</v>
      </c>
      <c r="O144" s="226">
        <f t="shared" si="7"/>
        <v>9.264632326247428</v>
      </c>
      <c r="P144" s="336">
        <v>1</v>
      </c>
    </row>
    <row r="145" spans="1:16" ht="15">
      <c r="A145" s="91">
        <v>142</v>
      </c>
      <c r="B145" s="57" t="s">
        <v>327</v>
      </c>
      <c r="C145" s="41">
        <v>39437</v>
      </c>
      <c r="D145" s="47" t="s">
        <v>57</v>
      </c>
      <c r="E145" s="47" t="s">
        <v>412</v>
      </c>
      <c r="F145" s="64" t="s">
        <v>328</v>
      </c>
      <c r="G145" s="64" t="s">
        <v>131</v>
      </c>
      <c r="H145" s="64" t="s">
        <v>319</v>
      </c>
      <c r="I145" s="85">
        <v>2441.5</v>
      </c>
      <c r="J145" s="93">
        <v>412</v>
      </c>
      <c r="K145" s="144">
        <f t="shared" si="5"/>
        <v>41.2</v>
      </c>
      <c r="L145" s="145">
        <f t="shared" si="6"/>
        <v>5.925970873786408</v>
      </c>
      <c r="M145" s="146">
        <v>76642.5</v>
      </c>
      <c r="N145" s="147">
        <v>7945</v>
      </c>
      <c r="O145" s="81">
        <f t="shared" si="7"/>
        <v>9.646633102580239</v>
      </c>
      <c r="P145" s="336"/>
    </row>
    <row r="146" spans="1:16" ht="15">
      <c r="A146" s="91">
        <v>143</v>
      </c>
      <c r="B146" s="56" t="s">
        <v>385</v>
      </c>
      <c r="C146" s="41">
        <v>38821</v>
      </c>
      <c r="D146" s="46" t="s">
        <v>262</v>
      </c>
      <c r="E146" s="46" t="s">
        <v>263</v>
      </c>
      <c r="F146" s="43">
        <v>118</v>
      </c>
      <c r="G146" s="43">
        <v>1</v>
      </c>
      <c r="H146" s="43">
        <v>40</v>
      </c>
      <c r="I146" s="195">
        <v>2409</v>
      </c>
      <c r="J146" s="196">
        <v>603</v>
      </c>
      <c r="K146" s="214">
        <f t="shared" si="5"/>
        <v>603</v>
      </c>
      <c r="L146" s="215">
        <f t="shared" si="6"/>
        <v>3.9950248756218905</v>
      </c>
      <c r="M146" s="199">
        <f>1908861+1583540+976953.5+606582.5+358386.5+257458.5+154619+107195+70567+37968.5+18157.5+11925.5+12529.5+11442+10137.5+11279.5+11047+23092+6089.5+13588+1331+1245+48+90+312+4271+1314+128+1008+10+610+1572+5035-409+4651.5+3349+2013.5+2852+91+2409</f>
        <v>6223350.5</v>
      </c>
      <c r="N146" s="197">
        <f>267837+226672+141343+93283+56706+48660+34140+24736+15604+6640+3341+2116+2223+1865+2002+2375+2554+5432+1329+3323+245+218+8+15+52+1073+314+16+252+116+261+1007-77+884+645+503+712+13+603</f>
        <v>949041</v>
      </c>
      <c r="O146" s="226">
        <f t="shared" si="7"/>
        <v>6.557514901885166</v>
      </c>
      <c r="P146" s="336"/>
    </row>
    <row r="147" spans="1:16" ht="15">
      <c r="A147" s="91">
        <v>144</v>
      </c>
      <c r="B147" s="56" t="s">
        <v>384</v>
      </c>
      <c r="C147" s="41">
        <v>39094</v>
      </c>
      <c r="D147" s="46" t="s">
        <v>262</v>
      </c>
      <c r="E147" s="46" t="s">
        <v>176</v>
      </c>
      <c r="F147" s="43">
        <v>226</v>
      </c>
      <c r="G147" s="43">
        <v>1</v>
      </c>
      <c r="H147" s="43">
        <v>35</v>
      </c>
      <c r="I147" s="195">
        <v>2409</v>
      </c>
      <c r="J147" s="196">
        <v>603</v>
      </c>
      <c r="K147" s="214">
        <f t="shared" si="5"/>
        <v>603</v>
      </c>
      <c r="L147" s="215">
        <f t="shared" si="6"/>
        <v>3.9950248756218905</v>
      </c>
      <c r="M147" s="199">
        <f>3142328+2138928+1454143+1085018.5-637+512497+119516+49072.5+21975.5+19023+9522+7521+6716.5+973+245+20+90+85+70+947+133+2189+149+3296.5+5376+1188+1551+2376+2376+1510.5+1510.5+2376+1510.5+2409</f>
        <v>8596005</v>
      </c>
      <c r="N147" s="197">
        <f>453903+300559+202455+152725+101+73889+22414+10560+4196+3829+2908+1791+1716+233+42+4+18+17+14+309+15+538+24+819+1343+297+388+594+594+378+378+594+378+603</f>
        <v>1238626</v>
      </c>
      <c r="O147" s="226">
        <f t="shared" si="7"/>
        <v>6.9399520113416</v>
      </c>
      <c r="P147" s="250">
        <v>1</v>
      </c>
    </row>
    <row r="148" spans="1:16" ht="15">
      <c r="A148" s="91">
        <v>145</v>
      </c>
      <c r="B148" s="56" t="s">
        <v>159</v>
      </c>
      <c r="C148" s="41">
        <v>39262</v>
      </c>
      <c r="D148" s="46" t="s">
        <v>262</v>
      </c>
      <c r="E148" s="46" t="s">
        <v>263</v>
      </c>
      <c r="F148" s="43">
        <v>78</v>
      </c>
      <c r="G148" s="43">
        <v>1</v>
      </c>
      <c r="H148" s="43">
        <v>20</v>
      </c>
      <c r="I148" s="195">
        <v>2409</v>
      </c>
      <c r="J148" s="196">
        <v>603</v>
      </c>
      <c r="K148" s="214">
        <f t="shared" si="5"/>
        <v>603</v>
      </c>
      <c r="L148" s="215">
        <f>+I148/J148</f>
        <v>3.9950248756218905</v>
      </c>
      <c r="M148" s="199">
        <f>739051+347868+263605+177344.5+97146+68797+30662+31663.5+3881.5+3316+4035+1380.5+2813.5+149+2357+5396.5+123+1188+2409+2409</f>
        <v>1785595</v>
      </c>
      <c r="N148" s="197">
        <f>88667+41947+31866+21736+14597+11279+5210+7064+821+613+870+310+686+24+561+1349+30+297+603+603</f>
        <v>229133</v>
      </c>
      <c r="O148" s="226">
        <f t="shared" si="7"/>
        <v>7.792832110608249</v>
      </c>
      <c r="P148" s="336"/>
    </row>
    <row r="149" spans="1:16" ht="15">
      <c r="A149" s="91">
        <v>146</v>
      </c>
      <c r="B149" s="56" t="s">
        <v>159</v>
      </c>
      <c r="C149" s="42">
        <v>39262</v>
      </c>
      <c r="D149" s="87" t="s">
        <v>262</v>
      </c>
      <c r="E149" s="46" t="s">
        <v>263</v>
      </c>
      <c r="F149" s="63">
        <v>78</v>
      </c>
      <c r="G149" s="43">
        <v>1</v>
      </c>
      <c r="H149" s="43">
        <v>19</v>
      </c>
      <c r="I149" s="195">
        <v>2409</v>
      </c>
      <c r="J149" s="196">
        <v>603</v>
      </c>
      <c r="K149" s="214">
        <f t="shared" si="5"/>
        <v>603</v>
      </c>
      <c r="L149" s="215">
        <f>I149/J149</f>
        <v>3.9950248756218905</v>
      </c>
      <c r="M149" s="199">
        <f>739051+347868+263605+177344.5+97146+68797+30662+31663.5+3881.5+3316+4035+1380.5+2813.5+149+2357+5396.5+123+1188+2409</f>
        <v>1783186</v>
      </c>
      <c r="N149" s="197">
        <f>88667+41947+31866+21736+14597+11279+5210+7064+821+613+870+310+686+24+561+1349+30+297+603</f>
        <v>228530</v>
      </c>
      <c r="O149" s="226">
        <f t="shared" si="7"/>
        <v>7.802853017109351</v>
      </c>
      <c r="P149" s="336"/>
    </row>
    <row r="150" spans="1:16" ht="15">
      <c r="A150" s="91">
        <v>147</v>
      </c>
      <c r="B150" s="56" t="s">
        <v>317</v>
      </c>
      <c r="C150" s="41">
        <v>39430</v>
      </c>
      <c r="D150" s="46" t="s">
        <v>262</v>
      </c>
      <c r="E150" s="46" t="s">
        <v>318</v>
      </c>
      <c r="F150" s="43">
        <v>43</v>
      </c>
      <c r="G150" s="43">
        <v>1</v>
      </c>
      <c r="H150" s="43">
        <v>13</v>
      </c>
      <c r="I150" s="195">
        <v>2409</v>
      </c>
      <c r="J150" s="196">
        <v>603</v>
      </c>
      <c r="K150" s="214">
        <f t="shared" si="5"/>
        <v>603</v>
      </c>
      <c r="L150" s="215">
        <f>+I150/J150</f>
        <v>3.9950248756218905</v>
      </c>
      <c r="M150" s="199">
        <f>43240+25728.5+5226.5+5207.5+50+1692+2247+3101.5+796+326+232.5+2409+2409</f>
        <v>92665.5</v>
      </c>
      <c r="N150" s="197">
        <f>5272+3593+870+1171+5+336+461+717+182+62+71+603+603</f>
        <v>13946</v>
      </c>
      <c r="O150" s="226">
        <f t="shared" si="7"/>
        <v>6.644593431808404</v>
      </c>
      <c r="P150" s="336"/>
    </row>
    <row r="151" spans="1:16" ht="15">
      <c r="A151" s="91">
        <v>148</v>
      </c>
      <c r="B151" s="56" t="s">
        <v>317</v>
      </c>
      <c r="C151" s="41">
        <v>39430</v>
      </c>
      <c r="D151" s="46" t="s">
        <v>262</v>
      </c>
      <c r="E151" s="46" t="s">
        <v>318</v>
      </c>
      <c r="F151" s="43">
        <v>43</v>
      </c>
      <c r="G151" s="43">
        <v>1</v>
      </c>
      <c r="H151" s="43">
        <v>12</v>
      </c>
      <c r="I151" s="195">
        <v>2409</v>
      </c>
      <c r="J151" s="196">
        <v>603</v>
      </c>
      <c r="K151" s="214">
        <f t="shared" si="5"/>
        <v>603</v>
      </c>
      <c r="L151" s="215">
        <f>I151/J151</f>
        <v>3.9950248756218905</v>
      </c>
      <c r="M151" s="199">
        <f>43240+25728.5+5226.5+5207.5+50+1692+2247+3101.5+796+326+232.5+2409</f>
        <v>90256.5</v>
      </c>
      <c r="N151" s="197">
        <f>5272+3593+870+1171+5+336+461+717+182+62+71+603</f>
        <v>13343</v>
      </c>
      <c r="O151" s="226">
        <f t="shared" si="7"/>
        <v>6.764333358315222</v>
      </c>
      <c r="P151" s="336">
        <v>1</v>
      </c>
    </row>
    <row r="152" spans="1:16" ht="15">
      <c r="A152" s="91">
        <v>149</v>
      </c>
      <c r="B152" s="56" t="s">
        <v>316</v>
      </c>
      <c r="C152" s="42">
        <v>39430</v>
      </c>
      <c r="D152" s="46" t="s">
        <v>262</v>
      </c>
      <c r="E152" s="46" t="s">
        <v>263</v>
      </c>
      <c r="F152" s="63">
        <v>64</v>
      </c>
      <c r="G152" s="43">
        <v>1</v>
      </c>
      <c r="H152" s="43">
        <v>13</v>
      </c>
      <c r="I152" s="86">
        <v>2408.5</v>
      </c>
      <c r="J152" s="95">
        <v>602</v>
      </c>
      <c r="K152" s="144">
        <f>IF(I152&lt;&gt;0,J152/G152,"")</f>
        <v>602</v>
      </c>
      <c r="L152" s="145">
        <f>IF(I152&lt;&gt;0,I152/J152,"")</f>
        <v>4.000830564784053</v>
      </c>
      <c r="M152" s="136">
        <f>183581+192120.5+67824+23763.5+5798.5+5467+22027+14042+2947+442+3097+2408.5</f>
        <v>523518</v>
      </c>
      <c r="N152" s="134">
        <f>20071+21989+8620+4128+850+1010+3719+2499+595+78+775+602</f>
        <v>64936</v>
      </c>
      <c r="O152" s="81">
        <f>IF(M152&lt;&gt;0,M152/N152,"")</f>
        <v>8.06206110632007</v>
      </c>
      <c r="P152" s="336"/>
    </row>
    <row r="153" spans="1:16" ht="15">
      <c r="A153" s="91">
        <v>150</v>
      </c>
      <c r="B153" s="269" t="s">
        <v>326</v>
      </c>
      <c r="C153" s="41">
        <v>39437</v>
      </c>
      <c r="D153" s="80" t="s">
        <v>267</v>
      </c>
      <c r="E153" s="48" t="s">
        <v>127</v>
      </c>
      <c r="F153" s="76">
        <v>17</v>
      </c>
      <c r="G153" s="76">
        <v>6</v>
      </c>
      <c r="H153" s="76">
        <v>7</v>
      </c>
      <c r="I153" s="217">
        <v>2395</v>
      </c>
      <c r="J153" s="218">
        <v>427</v>
      </c>
      <c r="K153" s="214">
        <f aca="true" t="shared" si="8" ref="K153:K176">J153/G153</f>
        <v>71.16666666666667</v>
      </c>
      <c r="L153" s="149">
        <f aca="true" t="shared" si="9" ref="L153:L164">I153/J153</f>
        <v>5.608899297423887</v>
      </c>
      <c r="M153" s="221">
        <v>278102</v>
      </c>
      <c r="N153" s="219">
        <v>26534</v>
      </c>
      <c r="O153" s="81">
        <f>+M153/N153</f>
        <v>10.480967814879023</v>
      </c>
      <c r="P153" s="336">
        <v>1</v>
      </c>
    </row>
    <row r="154" spans="1:16" ht="15">
      <c r="A154" s="91">
        <v>151</v>
      </c>
      <c r="B154" s="300" t="s">
        <v>334</v>
      </c>
      <c r="C154" s="42">
        <v>39395</v>
      </c>
      <c r="D154" s="47" t="s">
        <v>57</v>
      </c>
      <c r="E154" s="47" t="s">
        <v>219</v>
      </c>
      <c r="F154" s="64" t="s">
        <v>411</v>
      </c>
      <c r="G154" s="64" t="s">
        <v>125</v>
      </c>
      <c r="H154" s="64" t="s">
        <v>285</v>
      </c>
      <c r="I154" s="205">
        <v>2376.01</v>
      </c>
      <c r="J154" s="206">
        <v>476</v>
      </c>
      <c r="K154" s="214">
        <f t="shared" si="8"/>
        <v>476</v>
      </c>
      <c r="L154" s="145">
        <f t="shared" si="9"/>
        <v>4.991617647058824</v>
      </c>
      <c r="M154" s="207">
        <v>147270.96</v>
      </c>
      <c r="N154" s="208">
        <v>24197</v>
      </c>
      <c r="O154" s="81">
        <f>+M154/N154</f>
        <v>6.086331363392156</v>
      </c>
      <c r="P154" s="336"/>
    </row>
    <row r="155" spans="1:16" ht="15">
      <c r="A155" s="91">
        <v>152</v>
      </c>
      <c r="B155" s="56" t="s">
        <v>386</v>
      </c>
      <c r="C155" s="41">
        <v>39339</v>
      </c>
      <c r="D155" s="46" t="s">
        <v>267</v>
      </c>
      <c r="E155" s="46" t="s">
        <v>387</v>
      </c>
      <c r="F155" s="43">
        <v>25</v>
      </c>
      <c r="G155" s="43">
        <v>1</v>
      </c>
      <c r="H155" s="43">
        <v>11</v>
      </c>
      <c r="I155" s="195">
        <v>2372</v>
      </c>
      <c r="J155" s="196">
        <v>474</v>
      </c>
      <c r="K155" s="214">
        <f t="shared" si="8"/>
        <v>474</v>
      </c>
      <c r="L155" s="215">
        <f t="shared" si="9"/>
        <v>5.0042194092827</v>
      </c>
      <c r="M155" s="199">
        <v>280819</v>
      </c>
      <c r="N155" s="197">
        <v>29292</v>
      </c>
      <c r="O155" s="226">
        <f>M155/N155</f>
        <v>9.586883790796122</v>
      </c>
      <c r="P155" s="336">
        <v>1</v>
      </c>
    </row>
    <row r="156" spans="1:16" ht="15">
      <c r="A156" s="91">
        <v>153</v>
      </c>
      <c r="B156" s="56" t="s">
        <v>352</v>
      </c>
      <c r="C156" s="41">
        <v>39409</v>
      </c>
      <c r="D156" s="46" t="s">
        <v>267</v>
      </c>
      <c r="E156" s="46" t="s">
        <v>127</v>
      </c>
      <c r="F156" s="43">
        <v>13</v>
      </c>
      <c r="G156" s="43">
        <v>1</v>
      </c>
      <c r="H156" s="43">
        <v>7</v>
      </c>
      <c r="I156" s="195">
        <v>2372</v>
      </c>
      <c r="J156" s="196">
        <v>474</v>
      </c>
      <c r="K156" s="214">
        <f t="shared" si="8"/>
        <v>474</v>
      </c>
      <c r="L156" s="215">
        <f t="shared" si="9"/>
        <v>5.0042194092827</v>
      </c>
      <c r="M156" s="199">
        <v>55450</v>
      </c>
      <c r="N156" s="197">
        <v>5886</v>
      </c>
      <c r="O156" s="226">
        <f>M156/N156</f>
        <v>9.420659191301393</v>
      </c>
      <c r="P156" s="336"/>
    </row>
    <row r="157" spans="1:16" ht="15">
      <c r="A157" s="91">
        <v>154</v>
      </c>
      <c r="B157" s="57" t="s">
        <v>59</v>
      </c>
      <c r="C157" s="42">
        <v>39220</v>
      </c>
      <c r="D157" s="47" t="s">
        <v>126</v>
      </c>
      <c r="E157" s="47" t="s">
        <v>105</v>
      </c>
      <c r="F157" s="88">
        <v>88</v>
      </c>
      <c r="G157" s="89">
        <v>2</v>
      </c>
      <c r="H157" s="88">
        <v>34</v>
      </c>
      <c r="I157" s="205">
        <v>2371</v>
      </c>
      <c r="J157" s="206">
        <v>382</v>
      </c>
      <c r="K157" s="214">
        <f t="shared" si="8"/>
        <v>191</v>
      </c>
      <c r="L157" s="215">
        <f t="shared" si="9"/>
        <v>6.206806282722513</v>
      </c>
      <c r="M157" s="207">
        <v>589519</v>
      </c>
      <c r="N157" s="208">
        <v>87043</v>
      </c>
      <c r="O157" s="226">
        <f aca="true" t="shared" si="10" ref="O157:O162">+M157/N157</f>
        <v>6.772733017014579</v>
      </c>
      <c r="P157" s="336"/>
    </row>
    <row r="158" spans="1:15" ht="15">
      <c r="A158" s="91">
        <v>155</v>
      </c>
      <c r="B158" s="55" t="s">
        <v>207</v>
      </c>
      <c r="C158" s="41">
        <v>39402</v>
      </c>
      <c r="D158" s="45" t="s">
        <v>260</v>
      </c>
      <c r="E158" s="44" t="s">
        <v>107</v>
      </c>
      <c r="F158" s="63">
        <v>64</v>
      </c>
      <c r="G158" s="63">
        <v>1</v>
      </c>
      <c r="H158" s="63">
        <v>12</v>
      </c>
      <c r="I158" s="205">
        <v>2342</v>
      </c>
      <c r="J158" s="206">
        <v>456</v>
      </c>
      <c r="K158" s="214">
        <f t="shared" si="8"/>
        <v>456</v>
      </c>
      <c r="L158" s="215">
        <f t="shared" si="9"/>
        <v>5.135964912280702</v>
      </c>
      <c r="M158" s="207">
        <f>299858+213967+97347+22667+8568+16509+4053+3337+284+4988+2264+2342</f>
        <v>676184</v>
      </c>
      <c r="N158" s="208">
        <f>33225+24189+12517+4002+2479+2973+867+358+35+802+375+456</f>
        <v>82278</v>
      </c>
      <c r="O158" s="226">
        <f t="shared" si="10"/>
        <v>8.218284353046988</v>
      </c>
    </row>
    <row r="159" spans="1:16" ht="15">
      <c r="A159" s="91">
        <v>156</v>
      </c>
      <c r="B159" s="56" t="s">
        <v>444</v>
      </c>
      <c r="C159" s="41">
        <v>39416</v>
      </c>
      <c r="D159" s="46" t="s">
        <v>260</v>
      </c>
      <c r="E159" s="46" t="s">
        <v>144</v>
      </c>
      <c r="F159" s="43">
        <v>123</v>
      </c>
      <c r="G159" s="43">
        <v>1</v>
      </c>
      <c r="H159" s="43">
        <v>19</v>
      </c>
      <c r="I159" s="136">
        <v>2337</v>
      </c>
      <c r="J159" s="134">
        <v>221</v>
      </c>
      <c r="K159" s="144">
        <f t="shared" si="8"/>
        <v>221</v>
      </c>
      <c r="L159" s="145">
        <f t="shared" si="9"/>
        <v>10.574660633484163</v>
      </c>
      <c r="M159" s="136">
        <f>155416+1136619+622980+528056+225392+174199+84508+58425+34257+3403+1276+1707+633+682+568+405+2714+1817+1614+2337</f>
        <v>3037008</v>
      </c>
      <c r="N159" s="134">
        <f>12079+122083+66530+52286+18245+17821+7913+4333+2998+686+289+388+102+107+93+66+258+224+149+221</f>
        <v>306871</v>
      </c>
      <c r="O159" s="81">
        <f t="shared" si="10"/>
        <v>9.896692747115237</v>
      </c>
      <c r="P159" s="336"/>
    </row>
    <row r="160" spans="1:16" ht="15">
      <c r="A160" s="91">
        <v>157</v>
      </c>
      <c r="B160" s="55" t="s">
        <v>184</v>
      </c>
      <c r="C160" s="41">
        <v>39437</v>
      </c>
      <c r="D160" s="45" t="s">
        <v>260</v>
      </c>
      <c r="E160" s="44" t="s">
        <v>413</v>
      </c>
      <c r="F160" s="63">
        <v>49</v>
      </c>
      <c r="G160" s="63">
        <v>4</v>
      </c>
      <c r="H160" s="63">
        <v>5</v>
      </c>
      <c r="I160" s="205">
        <v>2313</v>
      </c>
      <c r="J160" s="206">
        <v>424</v>
      </c>
      <c r="K160" s="214">
        <f t="shared" si="8"/>
        <v>106</v>
      </c>
      <c r="L160" s="215">
        <f t="shared" si="9"/>
        <v>5.455188679245283</v>
      </c>
      <c r="M160" s="207">
        <f>265356+150950+36636+752+2313</f>
        <v>456007</v>
      </c>
      <c r="N160" s="208">
        <f>28419+15898+4109+157+424</f>
        <v>49007</v>
      </c>
      <c r="O160" s="226">
        <f t="shared" si="10"/>
        <v>9.3049360295468</v>
      </c>
      <c r="P160" s="336"/>
    </row>
    <row r="161" spans="1:16" ht="15">
      <c r="A161" s="91">
        <v>158</v>
      </c>
      <c r="B161" s="300" t="s">
        <v>311</v>
      </c>
      <c r="C161" s="42">
        <v>39430</v>
      </c>
      <c r="D161" s="294" t="s">
        <v>261</v>
      </c>
      <c r="E161" s="294" t="s">
        <v>177</v>
      </c>
      <c r="F161" s="43">
        <v>242</v>
      </c>
      <c r="G161" s="43">
        <v>4</v>
      </c>
      <c r="H161" s="43">
        <v>11</v>
      </c>
      <c r="I161" s="195">
        <v>2299</v>
      </c>
      <c r="J161" s="196">
        <v>378</v>
      </c>
      <c r="K161" s="214">
        <f t="shared" si="8"/>
        <v>94.5</v>
      </c>
      <c r="L161" s="215">
        <f t="shared" si="9"/>
        <v>6.082010582010582</v>
      </c>
      <c r="M161" s="199">
        <v>15272496</v>
      </c>
      <c r="N161" s="197">
        <v>1981955</v>
      </c>
      <c r="O161" s="226">
        <f t="shared" si="10"/>
        <v>7.705773339959787</v>
      </c>
      <c r="P161" s="251"/>
    </row>
    <row r="162" spans="1:16" ht="15">
      <c r="A162" s="91">
        <v>159</v>
      </c>
      <c r="B162" s="55" t="s">
        <v>207</v>
      </c>
      <c r="C162" s="41">
        <v>39402</v>
      </c>
      <c r="D162" s="45" t="s">
        <v>260</v>
      </c>
      <c r="E162" s="44" t="s">
        <v>107</v>
      </c>
      <c r="F162" s="63">
        <v>64</v>
      </c>
      <c r="G162" s="63">
        <v>4</v>
      </c>
      <c r="H162" s="63">
        <v>11</v>
      </c>
      <c r="I162" s="205">
        <v>2264</v>
      </c>
      <c r="J162" s="206">
        <v>375</v>
      </c>
      <c r="K162" s="214">
        <f t="shared" si="8"/>
        <v>93.75</v>
      </c>
      <c r="L162" s="215">
        <f t="shared" si="9"/>
        <v>6.037333333333334</v>
      </c>
      <c r="M162" s="207">
        <f>299858+213967+97347+22667+8568+16509+4053+3337+284+4988+2264</f>
        <v>673842</v>
      </c>
      <c r="N162" s="208">
        <f>33225+24189+12517+4002+2479+2973+867+358+35+802+375</f>
        <v>81822</v>
      </c>
      <c r="O162" s="226">
        <f t="shared" si="10"/>
        <v>8.235462345090562</v>
      </c>
      <c r="P162" s="250">
        <v>1</v>
      </c>
    </row>
    <row r="163" spans="1:16" ht="15">
      <c r="A163" s="91">
        <v>160</v>
      </c>
      <c r="B163" s="56" t="s">
        <v>317</v>
      </c>
      <c r="C163" s="42">
        <v>39430</v>
      </c>
      <c r="D163" s="46" t="s">
        <v>262</v>
      </c>
      <c r="E163" s="46" t="s">
        <v>318</v>
      </c>
      <c r="F163" s="43">
        <v>43</v>
      </c>
      <c r="G163" s="43">
        <v>8</v>
      </c>
      <c r="H163" s="43">
        <v>7</v>
      </c>
      <c r="I163" s="195">
        <v>2247</v>
      </c>
      <c r="J163" s="196">
        <v>461</v>
      </c>
      <c r="K163" s="214">
        <f t="shared" si="8"/>
        <v>57.625</v>
      </c>
      <c r="L163" s="215">
        <f t="shared" si="9"/>
        <v>4.874186550976138</v>
      </c>
      <c r="M163" s="199">
        <f>43240+25728.5+5226.5+5207.5+50+1692+2247</f>
        <v>83391.5</v>
      </c>
      <c r="N163" s="197">
        <f>5272+3593+870+1171+5+336+461</f>
        <v>11708</v>
      </c>
      <c r="O163" s="225">
        <f>M163/N163</f>
        <v>7.122608472839085</v>
      </c>
      <c r="P163" s="336"/>
    </row>
    <row r="164" spans="1:16" ht="15">
      <c r="A164" s="91">
        <v>161</v>
      </c>
      <c r="B164" s="56" t="s">
        <v>439</v>
      </c>
      <c r="C164" s="42">
        <v>39416</v>
      </c>
      <c r="D164" s="46" t="s">
        <v>262</v>
      </c>
      <c r="E164" s="46" t="s">
        <v>331</v>
      </c>
      <c r="F164" s="43">
        <v>20</v>
      </c>
      <c r="G164" s="43">
        <v>1</v>
      </c>
      <c r="H164" s="43">
        <v>9</v>
      </c>
      <c r="I164" s="195">
        <v>2244</v>
      </c>
      <c r="J164" s="196">
        <v>253</v>
      </c>
      <c r="K164" s="214">
        <f t="shared" si="8"/>
        <v>253</v>
      </c>
      <c r="L164" s="215">
        <f t="shared" si="9"/>
        <v>8.869565217391305</v>
      </c>
      <c r="M164" s="199">
        <f>75692.5+51302+12584.5+2036+2909.5+3347+4240.5+2626.5+2244</f>
        <v>156982.5</v>
      </c>
      <c r="N164" s="197">
        <f>7291+5230+1727+233+363+396+496+298+253</f>
        <v>16287</v>
      </c>
      <c r="O164" s="225">
        <f>M164/N164</f>
        <v>9.638515380364709</v>
      </c>
      <c r="P164" s="336">
        <v>1</v>
      </c>
    </row>
    <row r="165" spans="1:16" ht="15">
      <c r="A165" s="91">
        <v>162</v>
      </c>
      <c r="B165" s="56" t="s">
        <v>434</v>
      </c>
      <c r="C165" s="41">
        <v>39318</v>
      </c>
      <c r="D165" s="87" t="s">
        <v>261</v>
      </c>
      <c r="E165" s="87" t="s">
        <v>264</v>
      </c>
      <c r="F165" s="43">
        <v>116</v>
      </c>
      <c r="G165" s="43">
        <v>2</v>
      </c>
      <c r="H165" s="43">
        <v>24</v>
      </c>
      <c r="I165" s="195">
        <v>2191</v>
      </c>
      <c r="J165" s="196">
        <v>1050</v>
      </c>
      <c r="K165" s="197">
        <f t="shared" si="8"/>
        <v>525</v>
      </c>
      <c r="L165" s="198">
        <f>+I165/J165</f>
        <v>2.0866666666666664</v>
      </c>
      <c r="M165" s="199">
        <v>2647248</v>
      </c>
      <c r="N165" s="197">
        <v>332802</v>
      </c>
      <c r="O165" s="223">
        <f>+M165/N165</f>
        <v>7.954423350821209</v>
      </c>
      <c r="P165" s="336"/>
    </row>
    <row r="166" spans="1:16" ht="15">
      <c r="A166" s="91">
        <v>163</v>
      </c>
      <c r="B166" s="55" t="s">
        <v>333</v>
      </c>
      <c r="C166" s="41">
        <v>39381</v>
      </c>
      <c r="D166" s="44" t="s">
        <v>256</v>
      </c>
      <c r="E166" s="44" t="s">
        <v>147</v>
      </c>
      <c r="F166" s="63">
        <v>91</v>
      </c>
      <c r="G166" s="63">
        <v>3</v>
      </c>
      <c r="H166" s="63">
        <v>15</v>
      </c>
      <c r="I166" s="200">
        <v>2182</v>
      </c>
      <c r="J166" s="201">
        <v>498</v>
      </c>
      <c r="K166" s="214">
        <f t="shared" si="8"/>
        <v>166</v>
      </c>
      <c r="L166" s="215">
        <f>I166/J166</f>
        <v>4.381526104417671</v>
      </c>
      <c r="M166" s="204">
        <f>964543+666618+447582+156310.5+90863+70894+37352.5+3350+1874+714.5+4126+4390+3896+3214+2182</f>
        <v>2457909.5</v>
      </c>
      <c r="N166" s="197">
        <f>104009+73251+49929+20007+15751+12767+7228+691+416+233+781+895+779+690+498</f>
        <v>287925</v>
      </c>
      <c r="O166" s="224">
        <f>IF(M166&lt;&gt;0,M166/N166,"")</f>
        <v>8.536631067118174</v>
      </c>
      <c r="P166" s="336"/>
    </row>
    <row r="167" spans="1:16" ht="15">
      <c r="A167" s="91">
        <v>164</v>
      </c>
      <c r="B167" s="56" t="s">
        <v>371</v>
      </c>
      <c r="C167" s="41">
        <v>39409</v>
      </c>
      <c r="D167" s="46" t="s">
        <v>126</v>
      </c>
      <c r="E167" s="46" t="s">
        <v>372</v>
      </c>
      <c r="F167" s="43">
        <v>1</v>
      </c>
      <c r="G167" s="43">
        <v>1</v>
      </c>
      <c r="H167" s="43">
        <v>9</v>
      </c>
      <c r="I167" s="86">
        <v>2164</v>
      </c>
      <c r="J167" s="196">
        <v>541</v>
      </c>
      <c r="K167" s="214">
        <f t="shared" si="8"/>
        <v>541</v>
      </c>
      <c r="L167" s="215">
        <f>I167/J167</f>
        <v>4</v>
      </c>
      <c r="M167" s="136">
        <v>15695.5</v>
      </c>
      <c r="N167" s="197">
        <v>2767</v>
      </c>
      <c r="O167" s="226">
        <f aca="true" t="shared" si="11" ref="O167:O176">+M167/N167</f>
        <v>5.6723888688109865</v>
      </c>
      <c r="P167" s="336"/>
    </row>
    <row r="168" spans="1:16" ht="15">
      <c r="A168" s="91">
        <v>165</v>
      </c>
      <c r="B168" s="56" t="s">
        <v>201</v>
      </c>
      <c r="C168" s="41">
        <v>39416</v>
      </c>
      <c r="D168" s="46" t="s">
        <v>126</v>
      </c>
      <c r="E168" s="46" t="s">
        <v>408</v>
      </c>
      <c r="F168" s="43">
        <v>4</v>
      </c>
      <c r="G168" s="43">
        <v>1</v>
      </c>
      <c r="H168" s="43">
        <v>9</v>
      </c>
      <c r="I168" s="86">
        <v>2164</v>
      </c>
      <c r="J168" s="196">
        <v>541</v>
      </c>
      <c r="K168" s="214">
        <f t="shared" si="8"/>
        <v>541</v>
      </c>
      <c r="L168" s="215">
        <f>I168/J168</f>
        <v>4</v>
      </c>
      <c r="M168" s="136">
        <v>46324</v>
      </c>
      <c r="N168" s="197">
        <v>5338</v>
      </c>
      <c r="O168" s="226">
        <f t="shared" si="11"/>
        <v>8.678156612963656</v>
      </c>
      <c r="P168" s="336"/>
    </row>
    <row r="169" spans="1:16" ht="15">
      <c r="A169" s="91">
        <v>166</v>
      </c>
      <c r="B169" s="56" t="s">
        <v>325</v>
      </c>
      <c r="C169" s="41">
        <v>39437</v>
      </c>
      <c r="D169" s="87" t="s">
        <v>261</v>
      </c>
      <c r="E169" s="87" t="s">
        <v>264</v>
      </c>
      <c r="F169" s="43">
        <v>105</v>
      </c>
      <c r="G169" s="43">
        <v>3</v>
      </c>
      <c r="H169" s="43">
        <v>6</v>
      </c>
      <c r="I169" s="195">
        <v>2159</v>
      </c>
      <c r="J169" s="196">
        <v>392</v>
      </c>
      <c r="K169" s="197">
        <f t="shared" si="8"/>
        <v>130.66666666666666</v>
      </c>
      <c r="L169" s="198">
        <f>+I169/J169</f>
        <v>5.50765306122449</v>
      </c>
      <c r="M169" s="199">
        <v>711477</v>
      </c>
      <c r="N169" s="197">
        <v>81646</v>
      </c>
      <c r="O169" s="226">
        <f t="shared" si="11"/>
        <v>8.714168483452955</v>
      </c>
      <c r="P169" s="251"/>
    </row>
    <row r="170" spans="1:16" ht="15">
      <c r="A170" s="91">
        <v>167</v>
      </c>
      <c r="B170" s="56" t="s">
        <v>211</v>
      </c>
      <c r="C170" s="41">
        <v>39437</v>
      </c>
      <c r="D170" s="46" t="s">
        <v>126</v>
      </c>
      <c r="E170" s="46" t="s">
        <v>250</v>
      </c>
      <c r="F170" s="43">
        <v>1</v>
      </c>
      <c r="G170" s="43">
        <v>1</v>
      </c>
      <c r="H170" s="43">
        <v>7</v>
      </c>
      <c r="I170" s="368">
        <v>2140</v>
      </c>
      <c r="J170" s="369">
        <v>535</v>
      </c>
      <c r="K170" s="214">
        <f t="shared" si="8"/>
        <v>535</v>
      </c>
      <c r="L170" s="215">
        <f aca="true" t="shared" si="12" ref="L170:L175">I170/J170</f>
        <v>4</v>
      </c>
      <c r="M170" s="199">
        <v>28861.5</v>
      </c>
      <c r="N170" s="197">
        <v>4744</v>
      </c>
      <c r="O170" s="226">
        <f t="shared" si="11"/>
        <v>6.08379005059022</v>
      </c>
      <c r="P170" s="336">
        <v>1</v>
      </c>
    </row>
    <row r="171" spans="1:16" ht="15">
      <c r="A171" s="91">
        <v>168</v>
      </c>
      <c r="B171" s="56" t="s">
        <v>46</v>
      </c>
      <c r="C171" s="41">
        <v>39087</v>
      </c>
      <c r="D171" s="46" t="s">
        <v>260</v>
      </c>
      <c r="E171" s="46" t="s">
        <v>265</v>
      </c>
      <c r="F171" s="43">
        <v>80</v>
      </c>
      <c r="G171" s="43">
        <v>2</v>
      </c>
      <c r="H171" s="43">
        <v>34</v>
      </c>
      <c r="I171" s="195">
        <v>1977</v>
      </c>
      <c r="J171" s="196">
        <v>312</v>
      </c>
      <c r="K171" s="214">
        <f t="shared" si="8"/>
        <v>156</v>
      </c>
      <c r="L171" s="215">
        <f t="shared" si="12"/>
        <v>6.336538461538462</v>
      </c>
      <c r="M171" s="199">
        <f>1367+686114+384405+247619+146119+85619+63759-1+18934+11869+10791+11315+6907+8812+6730+2628+1465+749+1063+756+276+1198+612+510+45+1062+592+1782+205+893+893+2490+691+2542+60+12+1977</f>
        <v>1712860</v>
      </c>
      <c r="N171" s="197">
        <f>80773+116+46317+29887+17891+10484+7685+2801+1917+1334+1333+755+1517+932+417+307+136+369+126+23+122+85+45+5+126+49+510+33+296+296+415+68+356+20+4+312</f>
        <v>207862</v>
      </c>
      <c r="O171" s="226">
        <f t="shared" si="11"/>
        <v>8.240371015385207</v>
      </c>
      <c r="P171" s="336"/>
    </row>
    <row r="172" spans="1:16" ht="18">
      <c r="A172" s="91">
        <v>169</v>
      </c>
      <c r="B172" s="57" t="s">
        <v>314</v>
      </c>
      <c r="C172" s="41">
        <v>39430</v>
      </c>
      <c r="D172" s="47" t="s">
        <v>133</v>
      </c>
      <c r="E172" s="47" t="s">
        <v>216</v>
      </c>
      <c r="F172" s="64" t="s">
        <v>315</v>
      </c>
      <c r="G172" s="64" t="s">
        <v>129</v>
      </c>
      <c r="H172" s="64" t="s">
        <v>181</v>
      </c>
      <c r="I172" s="205">
        <v>1974</v>
      </c>
      <c r="J172" s="206">
        <v>390</v>
      </c>
      <c r="K172" s="214">
        <f t="shared" si="8"/>
        <v>78</v>
      </c>
      <c r="L172" s="215">
        <f t="shared" si="12"/>
        <v>5.061538461538461</v>
      </c>
      <c r="M172" s="207">
        <v>1227657.44</v>
      </c>
      <c r="N172" s="208">
        <v>156725</v>
      </c>
      <c r="O172" s="226">
        <f t="shared" si="11"/>
        <v>7.833194704099537</v>
      </c>
      <c r="P172" s="360">
        <v>1</v>
      </c>
    </row>
    <row r="173" spans="1:16" ht="15">
      <c r="A173" s="91">
        <v>170</v>
      </c>
      <c r="B173" s="57" t="s">
        <v>225</v>
      </c>
      <c r="C173" s="42">
        <v>39437</v>
      </c>
      <c r="D173" s="47" t="s">
        <v>126</v>
      </c>
      <c r="E173" s="47" t="s">
        <v>329</v>
      </c>
      <c r="F173" s="88">
        <v>7</v>
      </c>
      <c r="G173" s="89">
        <v>3</v>
      </c>
      <c r="H173" s="88">
        <v>6</v>
      </c>
      <c r="I173" s="205">
        <v>1941.2</v>
      </c>
      <c r="J173" s="206">
        <v>428</v>
      </c>
      <c r="K173" s="214">
        <f t="shared" si="8"/>
        <v>142.66666666666666</v>
      </c>
      <c r="L173" s="215">
        <f t="shared" si="12"/>
        <v>4.535514018691589</v>
      </c>
      <c r="M173" s="207">
        <v>42374.2</v>
      </c>
      <c r="N173" s="208">
        <v>5683</v>
      </c>
      <c r="O173" s="226">
        <f t="shared" si="11"/>
        <v>7.456308287876121</v>
      </c>
      <c r="P173" s="336"/>
    </row>
    <row r="174" spans="1:16" ht="15">
      <c r="A174" s="91">
        <v>171</v>
      </c>
      <c r="B174" s="57" t="s">
        <v>217</v>
      </c>
      <c r="C174" s="41">
        <v>39444</v>
      </c>
      <c r="D174" s="47" t="s">
        <v>133</v>
      </c>
      <c r="E174" s="47" t="s">
        <v>168</v>
      </c>
      <c r="F174" s="64" t="s">
        <v>212</v>
      </c>
      <c r="G174" s="64" t="s">
        <v>181</v>
      </c>
      <c r="H174" s="64" t="s">
        <v>319</v>
      </c>
      <c r="I174" s="205">
        <v>1935</v>
      </c>
      <c r="J174" s="206">
        <v>355</v>
      </c>
      <c r="K174" s="214">
        <f t="shared" si="8"/>
        <v>50.714285714285715</v>
      </c>
      <c r="L174" s="215">
        <f t="shared" si="12"/>
        <v>5.450704225352113</v>
      </c>
      <c r="M174" s="207">
        <v>20292.5</v>
      </c>
      <c r="N174" s="208">
        <v>2605</v>
      </c>
      <c r="O174" s="226">
        <f t="shared" si="11"/>
        <v>7.789827255278311</v>
      </c>
      <c r="P174" s="336">
        <v>1</v>
      </c>
    </row>
    <row r="175" spans="1:16" ht="15">
      <c r="A175" s="91">
        <v>172</v>
      </c>
      <c r="B175" s="56" t="s">
        <v>224</v>
      </c>
      <c r="C175" s="42">
        <v>39395</v>
      </c>
      <c r="D175" s="46" t="s">
        <v>262</v>
      </c>
      <c r="E175" s="46" t="s">
        <v>263</v>
      </c>
      <c r="F175" s="43">
        <v>35</v>
      </c>
      <c r="G175" s="43">
        <v>1</v>
      </c>
      <c r="H175" s="43">
        <v>10</v>
      </c>
      <c r="I175" s="195">
        <v>1934</v>
      </c>
      <c r="J175" s="196">
        <v>683</v>
      </c>
      <c r="K175" s="214">
        <f t="shared" si="8"/>
        <v>683</v>
      </c>
      <c r="L175" s="215">
        <f t="shared" si="12"/>
        <v>2.831625183016105</v>
      </c>
      <c r="M175" s="199">
        <f>310876.5+189449.5+81911+30301+17300.5+2478+1808+1661.5+1269+1934</f>
        <v>638989</v>
      </c>
      <c r="N175" s="197">
        <f>27485+16830+7465+3781+3026+485+290+393+249+683</f>
        <v>60687</v>
      </c>
      <c r="O175" s="226">
        <f t="shared" si="11"/>
        <v>10.529256677706922</v>
      </c>
      <c r="P175" s="336"/>
    </row>
    <row r="176" spans="1:16" ht="15">
      <c r="A176" s="91">
        <v>173</v>
      </c>
      <c r="B176" s="56" t="s">
        <v>325</v>
      </c>
      <c r="C176" s="41">
        <v>39437</v>
      </c>
      <c r="D176" s="87" t="s">
        <v>261</v>
      </c>
      <c r="E176" s="87" t="s">
        <v>264</v>
      </c>
      <c r="F176" s="43">
        <v>105</v>
      </c>
      <c r="G176" s="43">
        <v>105</v>
      </c>
      <c r="H176" s="43">
        <v>5</v>
      </c>
      <c r="I176" s="195">
        <v>1899</v>
      </c>
      <c r="J176" s="196">
        <v>350</v>
      </c>
      <c r="K176" s="197">
        <f t="shared" si="8"/>
        <v>3.3333333333333335</v>
      </c>
      <c r="L176" s="198">
        <f>+I176/J176</f>
        <v>5.425714285714286</v>
      </c>
      <c r="M176" s="199">
        <v>709318</v>
      </c>
      <c r="N176" s="197">
        <v>81254</v>
      </c>
      <c r="O176" s="223">
        <f t="shared" si="11"/>
        <v>8.729637925517514</v>
      </c>
      <c r="P176" s="251"/>
    </row>
    <row r="177" spans="1:16" ht="15">
      <c r="A177" s="91">
        <v>174</v>
      </c>
      <c r="B177" s="56" t="s">
        <v>169</v>
      </c>
      <c r="C177" s="42">
        <v>39444</v>
      </c>
      <c r="D177" s="46" t="s">
        <v>262</v>
      </c>
      <c r="E177" s="46" t="s">
        <v>218</v>
      </c>
      <c r="F177" s="63">
        <v>10</v>
      </c>
      <c r="G177" s="43">
        <v>8</v>
      </c>
      <c r="H177" s="43">
        <v>2</v>
      </c>
      <c r="I177" s="86">
        <v>1895</v>
      </c>
      <c r="J177" s="95">
        <v>200</v>
      </c>
      <c r="K177" s="137">
        <f>IF(I177&lt;&gt;0,J177/G177,"")</f>
        <v>25</v>
      </c>
      <c r="L177" s="138">
        <f>IF(I177&lt;&gt;0,I177/J177,"")</f>
        <v>9.475</v>
      </c>
      <c r="M177" s="136">
        <f>8804+1895</f>
        <v>10699</v>
      </c>
      <c r="N177" s="134">
        <f>970+200</f>
        <v>1170</v>
      </c>
      <c r="O177" s="159">
        <f>IF(M177&lt;&gt;0,M177/N177,"")</f>
        <v>9.144444444444444</v>
      </c>
      <c r="P177" s="336"/>
    </row>
    <row r="178" spans="1:16" ht="15">
      <c r="A178" s="91">
        <v>175</v>
      </c>
      <c r="B178" s="55" t="s">
        <v>443</v>
      </c>
      <c r="C178" s="41">
        <v>39409</v>
      </c>
      <c r="D178" s="45" t="s">
        <v>260</v>
      </c>
      <c r="E178" s="44" t="s">
        <v>107</v>
      </c>
      <c r="F178" s="63">
        <v>69</v>
      </c>
      <c r="G178" s="63">
        <v>2</v>
      </c>
      <c r="H178" s="63">
        <v>13</v>
      </c>
      <c r="I178" s="205">
        <v>1865</v>
      </c>
      <c r="J178" s="206">
        <v>308</v>
      </c>
      <c r="K178" s="214">
        <f aca="true" t="shared" si="13" ref="K178:K186">J178/G178</f>
        <v>154</v>
      </c>
      <c r="L178" s="145">
        <f>I178/J178</f>
        <v>6.055194805194805</v>
      </c>
      <c r="M178" s="207">
        <f>387069+277494+166747+4993+4045+7291+3613+313+916+831+3535+1708+1865</f>
        <v>860420</v>
      </c>
      <c r="N178" s="208">
        <f>37017+27892+17708+698+855+1523+696+56+479+146+552+282+308</f>
        <v>88212</v>
      </c>
      <c r="O178" s="81">
        <f aca="true" t="shared" si="14" ref="O178:O186">+M178/N178</f>
        <v>9.75400172312157</v>
      </c>
      <c r="P178" s="336">
        <v>1</v>
      </c>
    </row>
    <row r="179" spans="1:16" ht="15">
      <c r="A179" s="91">
        <v>176</v>
      </c>
      <c r="B179" s="56" t="s">
        <v>335</v>
      </c>
      <c r="C179" s="41">
        <v>39402</v>
      </c>
      <c r="D179" s="46" t="s">
        <v>260</v>
      </c>
      <c r="E179" s="46" t="s">
        <v>144</v>
      </c>
      <c r="F179" s="43">
        <v>20</v>
      </c>
      <c r="G179" s="43">
        <v>1</v>
      </c>
      <c r="H179" s="43">
        <v>12</v>
      </c>
      <c r="I179" s="195">
        <v>1861</v>
      </c>
      <c r="J179" s="196">
        <v>334</v>
      </c>
      <c r="K179" s="214">
        <f t="shared" si="13"/>
        <v>334</v>
      </c>
      <c r="L179" s="215">
        <f>I179/J179</f>
        <v>5.57185628742515</v>
      </c>
      <c r="M179" s="199">
        <f>8296+141704+66729+20126+11859+581+2076+3662+3777+6557+1754+64+1861</f>
        <v>269046</v>
      </c>
      <c r="N179" s="197">
        <f>702+12499+6089+1727+1871+101+444+549+663+1089+276+16+334</f>
        <v>26360</v>
      </c>
      <c r="O179" s="226">
        <f t="shared" si="14"/>
        <v>10.20660091047041</v>
      </c>
      <c r="P179" s="336"/>
    </row>
    <row r="180" spans="1:16" ht="15">
      <c r="A180" s="91">
        <v>177</v>
      </c>
      <c r="B180" s="56" t="s">
        <v>313</v>
      </c>
      <c r="C180" s="41">
        <v>39430</v>
      </c>
      <c r="D180" s="46" t="s">
        <v>261</v>
      </c>
      <c r="E180" s="46" t="s">
        <v>104</v>
      </c>
      <c r="F180" s="43">
        <v>137</v>
      </c>
      <c r="G180" s="43">
        <v>1</v>
      </c>
      <c r="H180" s="43">
        <v>17</v>
      </c>
      <c r="I180" s="195">
        <v>1846</v>
      </c>
      <c r="J180" s="196">
        <v>494</v>
      </c>
      <c r="K180" s="214">
        <f t="shared" si="13"/>
        <v>494</v>
      </c>
      <c r="L180" s="215">
        <f>I180/J180</f>
        <v>3.736842105263158</v>
      </c>
      <c r="M180" s="199">
        <v>3564929</v>
      </c>
      <c r="N180" s="197">
        <v>462893</v>
      </c>
      <c r="O180" s="226">
        <f t="shared" si="14"/>
        <v>7.701410477151307</v>
      </c>
      <c r="P180" s="336"/>
    </row>
    <row r="181" spans="1:16" ht="15">
      <c r="A181" s="91">
        <v>178</v>
      </c>
      <c r="B181" s="56" t="s">
        <v>313</v>
      </c>
      <c r="C181" s="41">
        <v>39430</v>
      </c>
      <c r="D181" s="46" t="s">
        <v>261</v>
      </c>
      <c r="E181" s="46" t="s">
        <v>104</v>
      </c>
      <c r="F181" s="43">
        <v>137</v>
      </c>
      <c r="G181" s="43">
        <v>5</v>
      </c>
      <c r="H181" s="43">
        <v>16</v>
      </c>
      <c r="I181" s="195">
        <v>1829</v>
      </c>
      <c r="J181" s="196">
        <v>598</v>
      </c>
      <c r="K181" s="214">
        <f t="shared" si="13"/>
        <v>119.6</v>
      </c>
      <c r="L181" s="215">
        <f>+I181/J181</f>
        <v>3.0585284280936453</v>
      </c>
      <c r="M181" s="199">
        <v>3555927</v>
      </c>
      <c r="N181" s="197">
        <v>460638</v>
      </c>
      <c r="O181" s="226">
        <f t="shared" si="14"/>
        <v>7.719569379860107</v>
      </c>
      <c r="P181" s="336"/>
    </row>
    <row r="182" spans="1:16" ht="15">
      <c r="A182" s="91">
        <v>179</v>
      </c>
      <c r="B182" s="56" t="s">
        <v>225</v>
      </c>
      <c r="C182" s="42">
        <v>39437</v>
      </c>
      <c r="D182" s="47" t="s">
        <v>126</v>
      </c>
      <c r="E182" s="47" t="s">
        <v>329</v>
      </c>
      <c r="F182" s="88">
        <v>7</v>
      </c>
      <c r="G182" s="89">
        <v>2</v>
      </c>
      <c r="H182" s="88">
        <v>5</v>
      </c>
      <c r="I182" s="205">
        <v>1827</v>
      </c>
      <c r="J182" s="206">
        <v>312</v>
      </c>
      <c r="K182" s="214">
        <f t="shared" si="13"/>
        <v>156</v>
      </c>
      <c r="L182" s="215">
        <f>I182/J182</f>
        <v>5.855769230769231</v>
      </c>
      <c r="M182" s="207">
        <v>40433</v>
      </c>
      <c r="N182" s="208">
        <v>5255</v>
      </c>
      <c r="O182" s="226">
        <f t="shared" si="14"/>
        <v>7.694196003805899</v>
      </c>
      <c r="P182" s="336">
        <v>1</v>
      </c>
    </row>
    <row r="183" spans="1:16" ht="18">
      <c r="A183" s="91">
        <v>180</v>
      </c>
      <c r="B183" s="56" t="s">
        <v>443</v>
      </c>
      <c r="C183" s="41">
        <v>39409</v>
      </c>
      <c r="D183" s="46" t="s">
        <v>260</v>
      </c>
      <c r="E183" s="46" t="s">
        <v>107</v>
      </c>
      <c r="F183" s="43">
        <v>69</v>
      </c>
      <c r="G183" s="43">
        <v>1</v>
      </c>
      <c r="H183" s="43">
        <v>14</v>
      </c>
      <c r="I183" s="195">
        <v>1824</v>
      </c>
      <c r="J183" s="196">
        <v>387</v>
      </c>
      <c r="K183" s="214">
        <f t="shared" si="13"/>
        <v>387</v>
      </c>
      <c r="L183" s="215">
        <f>I183/J183</f>
        <v>4.713178294573644</v>
      </c>
      <c r="M183" s="199">
        <f>387069+277494+166747+4993+4045+7291+3613+313+916+831+3535+1708+1865+1824</f>
        <v>862244</v>
      </c>
      <c r="N183" s="197">
        <f>37017+27892+17708+698+855+1523+696+56+479+146+552+282+308+387</f>
        <v>88599</v>
      </c>
      <c r="O183" s="226">
        <f t="shared" si="14"/>
        <v>9.731983430964233</v>
      </c>
      <c r="P183" s="360"/>
    </row>
    <row r="184" spans="1:16" ht="15">
      <c r="A184" s="91">
        <v>181</v>
      </c>
      <c r="B184" s="56" t="s">
        <v>444</v>
      </c>
      <c r="C184" s="41">
        <v>39416</v>
      </c>
      <c r="D184" s="46" t="s">
        <v>260</v>
      </c>
      <c r="E184" s="46" t="s">
        <v>144</v>
      </c>
      <c r="F184" s="43">
        <v>123</v>
      </c>
      <c r="G184" s="43">
        <v>2</v>
      </c>
      <c r="H184" s="43">
        <v>17</v>
      </c>
      <c r="I184" s="195">
        <v>1817</v>
      </c>
      <c r="J184" s="196">
        <v>224</v>
      </c>
      <c r="K184" s="214">
        <f t="shared" si="13"/>
        <v>112</v>
      </c>
      <c r="L184" s="215">
        <f>I184/J184</f>
        <v>8.111607142857142</v>
      </c>
      <c r="M184" s="199">
        <f>155416+1136619+622980+528056+225392+174199+84508+58425+34257+3403+1276+1707+633+682+568+405+2714+1817</f>
        <v>3033057</v>
      </c>
      <c r="N184" s="197">
        <f>12079+122083+66530+52286+18245+17821+7913+4333+2998+686+289+388+102+107+93+66+258+224</f>
        <v>306501</v>
      </c>
      <c r="O184" s="226">
        <f t="shared" si="14"/>
        <v>9.89574911664236</v>
      </c>
      <c r="P184" s="336"/>
    </row>
    <row r="185" spans="1:16" ht="15">
      <c r="A185" s="91">
        <v>182</v>
      </c>
      <c r="B185" s="56" t="s">
        <v>189</v>
      </c>
      <c r="C185" s="41">
        <v>39206</v>
      </c>
      <c r="D185" s="46" t="s">
        <v>60</v>
      </c>
      <c r="E185" s="46" t="s">
        <v>190</v>
      </c>
      <c r="F185" s="43">
        <v>81</v>
      </c>
      <c r="G185" s="43">
        <v>1</v>
      </c>
      <c r="H185" s="43">
        <v>30</v>
      </c>
      <c r="I185" s="195">
        <v>1812.5</v>
      </c>
      <c r="J185" s="196">
        <v>604</v>
      </c>
      <c r="K185" s="214">
        <f t="shared" si="13"/>
        <v>604</v>
      </c>
      <c r="L185" s="215">
        <f>I185/J185</f>
        <v>3.0008278145695364</v>
      </c>
      <c r="M185" s="199">
        <v>317650</v>
      </c>
      <c r="N185" s="197">
        <v>53631.666666666664</v>
      </c>
      <c r="O185" s="226">
        <f t="shared" si="14"/>
        <v>5.92280679946549</v>
      </c>
      <c r="P185" s="251"/>
    </row>
    <row r="186" spans="1:16" ht="15">
      <c r="A186" s="91">
        <v>183</v>
      </c>
      <c r="B186" s="56" t="s">
        <v>187</v>
      </c>
      <c r="C186" s="41">
        <v>39234</v>
      </c>
      <c r="D186" s="46" t="s">
        <v>126</v>
      </c>
      <c r="E186" s="46" t="s">
        <v>188</v>
      </c>
      <c r="F186" s="43">
        <v>15</v>
      </c>
      <c r="G186" s="43">
        <v>1</v>
      </c>
      <c r="H186" s="43">
        <v>14</v>
      </c>
      <c r="I186" s="195">
        <v>1784</v>
      </c>
      <c r="J186" s="196">
        <v>446</v>
      </c>
      <c r="K186" s="214">
        <f t="shared" si="13"/>
        <v>446</v>
      </c>
      <c r="L186" s="215">
        <f>I186/J186</f>
        <v>4</v>
      </c>
      <c r="M186" s="199">
        <v>31088</v>
      </c>
      <c r="N186" s="197">
        <v>4664</v>
      </c>
      <c r="O186" s="226">
        <f t="shared" si="14"/>
        <v>6.665523156089193</v>
      </c>
      <c r="P186" s="336">
        <v>1</v>
      </c>
    </row>
    <row r="187" spans="1:16" ht="15">
      <c r="A187" s="91">
        <v>184</v>
      </c>
      <c r="B187" s="56" t="s">
        <v>8</v>
      </c>
      <c r="C187" s="41">
        <v>39038</v>
      </c>
      <c r="D187" s="46" t="s">
        <v>256</v>
      </c>
      <c r="E187" s="46" t="s">
        <v>9</v>
      </c>
      <c r="F187" s="43">
        <v>109</v>
      </c>
      <c r="G187" s="43">
        <v>1</v>
      </c>
      <c r="H187" s="43">
        <v>20</v>
      </c>
      <c r="I187" s="195">
        <v>1782</v>
      </c>
      <c r="J187" s="196">
        <v>356</v>
      </c>
      <c r="K187" s="214">
        <f>IF(I187&lt;&gt;0,J187/G187,"")</f>
        <v>356</v>
      </c>
      <c r="L187" s="215">
        <f>IF(I187&lt;&gt;0,I187/J187,"")</f>
        <v>5.00561797752809</v>
      </c>
      <c r="M187" s="199">
        <f>2003085+0</f>
        <v>2003085</v>
      </c>
      <c r="N187" s="197">
        <f>267905+0</f>
        <v>267905</v>
      </c>
      <c r="O187" s="226">
        <f>IF(M187&lt;&gt;0,M187/N187,"")</f>
        <v>7.476848136466285</v>
      </c>
      <c r="P187" s="336"/>
    </row>
    <row r="188" spans="1:16" ht="15">
      <c r="A188" s="91">
        <v>185</v>
      </c>
      <c r="B188" s="56" t="s">
        <v>232</v>
      </c>
      <c r="C188" s="41">
        <v>39360</v>
      </c>
      <c r="D188" s="46" t="s">
        <v>256</v>
      </c>
      <c r="E188" s="46" t="s">
        <v>251</v>
      </c>
      <c r="F188" s="43">
        <v>116</v>
      </c>
      <c r="G188" s="43">
        <v>1</v>
      </c>
      <c r="H188" s="43">
        <v>13</v>
      </c>
      <c r="I188" s="195">
        <v>1782</v>
      </c>
      <c r="J188" s="196">
        <v>356</v>
      </c>
      <c r="K188" s="214">
        <f>IF(I188&lt;&gt;0,J188/G188,"")</f>
        <v>356</v>
      </c>
      <c r="L188" s="215">
        <f>IF(I188&lt;&gt;0,I188/J188,"")</f>
        <v>5.00561797752809</v>
      </c>
      <c r="M188" s="199">
        <f>373787+510358+125428+40861+10428.5+13276.5+5911.5+4646+1596+1340+255+1782+1782</f>
        <v>1091451.5</v>
      </c>
      <c r="N188" s="197">
        <f>44941+63729+16985+6326+1619+2580+1358+1474+355+295+77+356+356</f>
        <v>140451</v>
      </c>
      <c r="O188" s="226">
        <f>IF(M188&lt;&gt;0,M188/N188,"")</f>
        <v>7.771048265943283</v>
      </c>
      <c r="P188" s="336"/>
    </row>
    <row r="189" spans="1:16" ht="15">
      <c r="A189" s="91">
        <v>186</v>
      </c>
      <c r="B189" s="55" t="s">
        <v>335</v>
      </c>
      <c r="C189" s="41">
        <v>39402</v>
      </c>
      <c r="D189" s="45" t="s">
        <v>260</v>
      </c>
      <c r="E189" s="44" t="s">
        <v>144</v>
      </c>
      <c r="F189" s="63">
        <v>20</v>
      </c>
      <c r="G189" s="63">
        <v>3</v>
      </c>
      <c r="H189" s="63">
        <v>10</v>
      </c>
      <c r="I189" s="205">
        <v>1754</v>
      </c>
      <c r="J189" s="206">
        <v>276</v>
      </c>
      <c r="K189" s="214">
        <f>J189/G189</f>
        <v>92</v>
      </c>
      <c r="L189" s="215">
        <f>I189/J189</f>
        <v>6.355072463768116</v>
      </c>
      <c r="M189" s="207">
        <f>8296+141704+66729+20126+11859+581+2076+3662+3777+6557+1754</f>
        <v>267121</v>
      </c>
      <c r="N189" s="208">
        <f>702+12499+6089+1727+1871+101+444+549+663+1089+276</f>
        <v>26010</v>
      </c>
      <c r="O189" s="226">
        <f>+M189/N189</f>
        <v>10.269934640522877</v>
      </c>
      <c r="P189" s="251"/>
    </row>
    <row r="190" spans="1:15" ht="15">
      <c r="A190" s="91">
        <v>187</v>
      </c>
      <c r="B190" s="56" t="s">
        <v>311</v>
      </c>
      <c r="C190" s="41">
        <v>39430</v>
      </c>
      <c r="D190" s="46" t="s">
        <v>261</v>
      </c>
      <c r="E190" s="46" t="s">
        <v>177</v>
      </c>
      <c r="F190" s="43">
        <v>242</v>
      </c>
      <c r="G190" s="43">
        <v>1</v>
      </c>
      <c r="H190" s="43">
        <v>14</v>
      </c>
      <c r="I190" s="86">
        <v>1750</v>
      </c>
      <c r="J190" s="196">
        <v>525</v>
      </c>
      <c r="K190" s="214">
        <f>J190/G190</f>
        <v>525</v>
      </c>
      <c r="L190" s="215">
        <f>I190/J190</f>
        <v>3.3333333333333335</v>
      </c>
      <c r="M190" s="136">
        <v>15275842</v>
      </c>
      <c r="N190" s="197">
        <v>1983180</v>
      </c>
      <c r="O190" s="226">
        <f>+M190/N190</f>
        <v>7.7027007129962985</v>
      </c>
    </row>
    <row r="191" spans="1:16" ht="15">
      <c r="A191" s="91">
        <v>188</v>
      </c>
      <c r="B191" s="77" t="s">
        <v>253</v>
      </c>
      <c r="C191" s="61">
        <v>39339</v>
      </c>
      <c r="D191" s="80" t="s">
        <v>60</v>
      </c>
      <c r="E191" s="80" t="s">
        <v>254</v>
      </c>
      <c r="F191" s="78">
        <v>79</v>
      </c>
      <c r="G191" s="79">
        <v>3</v>
      </c>
      <c r="H191" s="79">
        <v>22</v>
      </c>
      <c r="I191" s="118">
        <v>1740</v>
      </c>
      <c r="J191" s="140">
        <v>226</v>
      </c>
      <c r="K191" s="141">
        <v>7.333333333333333</v>
      </c>
      <c r="L191" s="212">
        <v>6.363636363636363</v>
      </c>
      <c r="M191" s="143">
        <v>311346</v>
      </c>
      <c r="N191" s="144">
        <v>49113</v>
      </c>
      <c r="O191" s="224">
        <f>+M191/N191</f>
        <v>6.339380612057908</v>
      </c>
      <c r="P191" s="336">
        <v>1</v>
      </c>
    </row>
    <row r="192" spans="1:16" ht="15">
      <c r="A192" s="91">
        <v>189</v>
      </c>
      <c r="B192" s="77" t="s">
        <v>438</v>
      </c>
      <c r="C192" s="61">
        <v>39416</v>
      </c>
      <c r="D192" s="80" t="s">
        <v>60</v>
      </c>
      <c r="E192" s="80" t="s">
        <v>254</v>
      </c>
      <c r="F192" s="78">
        <v>45</v>
      </c>
      <c r="G192" s="79">
        <v>5</v>
      </c>
      <c r="H192" s="79">
        <v>9</v>
      </c>
      <c r="I192" s="209">
        <v>1728</v>
      </c>
      <c r="J192" s="210">
        <v>347</v>
      </c>
      <c r="K192" s="214">
        <f>J192/G192</f>
        <v>69.4</v>
      </c>
      <c r="L192" s="215">
        <f>I192/J192</f>
        <v>4.979827089337176</v>
      </c>
      <c r="M192" s="213">
        <v>174465.5</v>
      </c>
      <c r="N192" s="222">
        <v>25491</v>
      </c>
      <c r="O192" s="225">
        <f>M192/N192</f>
        <v>6.84419991369503</v>
      </c>
      <c r="P192" s="251"/>
    </row>
    <row r="193" spans="1:15" ht="15">
      <c r="A193" s="91">
        <v>190</v>
      </c>
      <c r="B193" s="55" t="s">
        <v>443</v>
      </c>
      <c r="C193" s="41">
        <v>39409</v>
      </c>
      <c r="D193" s="45" t="s">
        <v>260</v>
      </c>
      <c r="E193" s="44" t="s">
        <v>107</v>
      </c>
      <c r="F193" s="63">
        <v>69</v>
      </c>
      <c r="G193" s="63">
        <v>3</v>
      </c>
      <c r="H193" s="63">
        <v>12</v>
      </c>
      <c r="I193" s="85">
        <v>1708</v>
      </c>
      <c r="J193" s="93">
        <v>282</v>
      </c>
      <c r="K193" s="144">
        <f>J193/G193</f>
        <v>94</v>
      </c>
      <c r="L193" s="215">
        <f>I193/J193</f>
        <v>6.056737588652482</v>
      </c>
      <c r="M193" s="146">
        <f>387069+277494+166747+4993+4045+7291+3613+313+916+831+3535+1708</f>
        <v>858555</v>
      </c>
      <c r="N193" s="147">
        <f>37017+27892+17708+698+855+1523+696+56+479+146+552+282</f>
        <v>87904</v>
      </c>
      <c r="O193" s="226">
        <f aca="true" t="shared" si="15" ref="O193:O208">+M193/N193</f>
        <v>9.766961685475064</v>
      </c>
    </row>
    <row r="194" spans="1:16" ht="18">
      <c r="A194" s="91">
        <v>191</v>
      </c>
      <c r="B194" s="55" t="s">
        <v>444</v>
      </c>
      <c r="C194" s="41">
        <v>39416</v>
      </c>
      <c r="D194" s="45" t="s">
        <v>260</v>
      </c>
      <c r="E194" s="44" t="s">
        <v>144</v>
      </c>
      <c r="F194" s="63">
        <v>123</v>
      </c>
      <c r="G194" s="63">
        <v>4</v>
      </c>
      <c r="H194" s="63">
        <v>11</v>
      </c>
      <c r="I194" s="85">
        <v>1707</v>
      </c>
      <c r="J194" s="93">
        <v>388</v>
      </c>
      <c r="K194" s="144">
        <f>J194/G194</f>
        <v>97</v>
      </c>
      <c r="L194" s="215">
        <f>I194/J194</f>
        <v>4.399484536082475</v>
      </c>
      <c r="M194" s="146">
        <f>155416+1136619+622980+528056+225392+174199+84508+58425+34257+3403+1276+1707</f>
        <v>3026238</v>
      </c>
      <c r="N194" s="147">
        <f>12079+122083+66530+52286+18245+17821+7913+4333+2998+686+289+388</f>
        <v>305651</v>
      </c>
      <c r="O194" s="226">
        <f t="shared" si="15"/>
        <v>9.900958936826642</v>
      </c>
      <c r="P194" s="360">
        <v>1</v>
      </c>
    </row>
    <row r="195" spans="1:16" ht="15">
      <c r="A195" s="91">
        <v>192</v>
      </c>
      <c r="B195" s="57" t="s">
        <v>215</v>
      </c>
      <c r="C195" s="41">
        <v>39444</v>
      </c>
      <c r="D195" s="47" t="s">
        <v>309</v>
      </c>
      <c r="E195" s="47" t="s">
        <v>309</v>
      </c>
      <c r="F195" s="58">
        <v>14</v>
      </c>
      <c r="G195" s="58">
        <v>3</v>
      </c>
      <c r="H195" s="58">
        <v>7</v>
      </c>
      <c r="I195" s="85">
        <v>1707</v>
      </c>
      <c r="J195" s="93">
        <v>359</v>
      </c>
      <c r="K195" s="137">
        <f>+J195/G195</f>
        <v>119.66666666666667</v>
      </c>
      <c r="L195" s="203">
        <f>+I195/J195</f>
        <v>4.754874651810585</v>
      </c>
      <c r="M195" s="146">
        <v>235731</v>
      </c>
      <c r="N195" s="148">
        <v>23460</v>
      </c>
      <c r="O195" s="224">
        <f t="shared" si="15"/>
        <v>10.048209718670076</v>
      </c>
      <c r="P195" s="336"/>
    </row>
    <row r="196" spans="1:16" ht="15">
      <c r="A196" s="91">
        <v>193</v>
      </c>
      <c r="B196" s="56" t="s">
        <v>317</v>
      </c>
      <c r="C196" s="42">
        <v>39430</v>
      </c>
      <c r="D196" s="46" t="s">
        <v>262</v>
      </c>
      <c r="E196" s="46" t="s">
        <v>318</v>
      </c>
      <c r="F196" s="43">
        <v>43</v>
      </c>
      <c r="G196" s="43">
        <v>7</v>
      </c>
      <c r="H196" s="43">
        <v>6</v>
      </c>
      <c r="I196" s="195">
        <v>1692</v>
      </c>
      <c r="J196" s="196">
        <v>336</v>
      </c>
      <c r="K196" s="214">
        <f aca="true" t="shared" si="16" ref="K196:K209">J196/G196</f>
        <v>48</v>
      </c>
      <c r="L196" s="215">
        <f aca="true" t="shared" si="17" ref="L196:L201">I196/J196</f>
        <v>5.035714285714286</v>
      </c>
      <c r="M196" s="199">
        <f>43240+25728.5+5226.5+5207.5+50+1692</f>
        <v>81144.5</v>
      </c>
      <c r="N196" s="197">
        <f>5272+3593+870+1171+5+336</f>
        <v>11247</v>
      </c>
      <c r="O196" s="226">
        <f t="shared" si="15"/>
        <v>7.214768382679826</v>
      </c>
      <c r="P196" s="336"/>
    </row>
    <row r="197" spans="1:16" ht="15">
      <c r="A197" s="91">
        <v>194</v>
      </c>
      <c r="B197" s="56" t="s">
        <v>287</v>
      </c>
      <c r="C197" s="41">
        <v>39388</v>
      </c>
      <c r="D197" s="46" t="s">
        <v>260</v>
      </c>
      <c r="E197" s="46" t="s">
        <v>265</v>
      </c>
      <c r="F197" s="43">
        <v>4</v>
      </c>
      <c r="G197" s="43">
        <v>1</v>
      </c>
      <c r="H197" s="43">
        <v>6</v>
      </c>
      <c r="I197" s="368">
        <v>1667</v>
      </c>
      <c r="J197" s="369">
        <v>556</v>
      </c>
      <c r="K197" s="214">
        <f t="shared" si="16"/>
        <v>556</v>
      </c>
      <c r="L197" s="215">
        <f t="shared" si="17"/>
        <v>2.9982014388489207</v>
      </c>
      <c r="M197" s="199">
        <f>2870+17781+10585+2582+1127+468+1181+1667</f>
        <v>38261</v>
      </c>
      <c r="N197" s="197">
        <f>287+1390+821+373+155+85+210+556</f>
        <v>3877</v>
      </c>
      <c r="O197" s="226">
        <f t="shared" si="15"/>
        <v>9.868712922362652</v>
      </c>
      <c r="P197" s="336">
        <v>1</v>
      </c>
    </row>
    <row r="198" spans="1:16" ht="15">
      <c r="A198" s="91">
        <v>195</v>
      </c>
      <c r="B198" s="56" t="s">
        <v>225</v>
      </c>
      <c r="C198" s="41">
        <v>39437</v>
      </c>
      <c r="D198" s="46" t="s">
        <v>126</v>
      </c>
      <c r="E198" s="46" t="s">
        <v>250</v>
      </c>
      <c r="F198" s="43">
        <v>7</v>
      </c>
      <c r="G198" s="43">
        <v>3</v>
      </c>
      <c r="H198" s="43">
        <v>10</v>
      </c>
      <c r="I198" s="86">
        <v>1652.5</v>
      </c>
      <c r="J198" s="95">
        <v>216</v>
      </c>
      <c r="K198" s="144">
        <f t="shared" si="16"/>
        <v>72</v>
      </c>
      <c r="L198" s="145">
        <f t="shared" si="17"/>
        <v>7.650462962962963</v>
      </c>
      <c r="M198" s="136">
        <v>45619.7</v>
      </c>
      <c r="N198" s="134">
        <v>6187</v>
      </c>
      <c r="O198" s="81">
        <f t="shared" si="15"/>
        <v>7.373476644577339</v>
      </c>
      <c r="P198" s="251"/>
    </row>
    <row r="199" spans="1:16" ht="18">
      <c r="A199" s="91">
        <v>196</v>
      </c>
      <c r="B199" s="56" t="s">
        <v>444</v>
      </c>
      <c r="C199" s="41">
        <v>39416</v>
      </c>
      <c r="D199" s="46" t="s">
        <v>260</v>
      </c>
      <c r="E199" s="46" t="s">
        <v>144</v>
      </c>
      <c r="F199" s="43">
        <v>123</v>
      </c>
      <c r="G199" s="43">
        <v>1</v>
      </c>
      <c r="H199" s="43">
        <v>18</v>
      </c>
      <c r="I199" s="86">
        <v>1614</v>
      </c>
      <c r="J199" s="95">
        <v>149</v>
      </c>
      <c r="K199" s="144">
        <f t="shared" si="16"/>
        <v>149</v>
      </c>
      <c r="L199" s="145">
        <f t="shared" si="17"/>
        <v>10.832214765100671</v>
      </c>
      <c r="M199" s="136">
        <f>155416+1136619+622980+528056+225392+174199+84508+58425+34257+3403+1276+1707+633+682+568+405+2714+1817+1614</f>
        <v>3034671</v>
      </c>
      <c r="N199" s="134">
        <f>12079+122083+66530+52286+18245+17821+7913+4333+2998+686+289+388+102+107+93+66+258+224+149</f>
        <v>306650</v>
      </c>
      <c r="O199" s="81">
        <f t="shared" si="15"/>
        <v>9.89620414152943</v>
      </c>
      <c r="P199" s="360"/>
    </row>
    <row r="200" spans="1:16" ht="15">
      <c r="A200" s="91">
        <v>197</v>
      </c>
      <c r="B200" s="57" t="s">
        <v>409</v>
      </c>
      <c r="C200" s="42">
        <v>39094</v>
      </c>
      <c r="D200" s="47" t="s">
        <v>126</v>
      </c>
      <c r="E200" s="47" t="s">
        <v>105</v>
      </c>
      <c r="F200" s="88">
        <v>42</v>
      </c>
      <c r="G200" s="89">
        <v>2</v>
      </c>
      <c r="H200" s="88">
        <v>38</v>
      </c>
      <c r="I200" s="205">
        <v>1604</v>
      </c>
      <c r="J200" s="206">
        <v>401</v>
      </c>
      <c r="K200" s="214">
        <f t="shared" si="16"/>
        <v>200.5</v>
      </c>
      <c r="L200" s="215">
        <f t="shared" si="17"/>
        <v>4</v>
      </c>
      <c r="M200" s="207">
        <v>452032.5</v>
      </c>
      <c r="N200" s="208">
        <v>69711</v>
      </c>
      <c r="O200" s="226">
        <f t="shared" si="15"/>
        <v>6.484378362094935</v>
      </c>
      <c r="P200" s="336"/>
    </row>
    <row r="201" spans="1:16" ht="15">
      <c r="A201" s="91">
        <v>198</v>
      </c>
      <c r="B201" s="55" t="s">
        <v>332</v>
      </c>
      <c r="C201" s="41">
        <v>39395</v>
      </c>
      <c r="D201" s="45" t="s">
        <v>260</v>
      </c>
      <c r="E201" s="44" t="s">
        <v>265</v>
      </c>
      <c r="F201" s="63">
        <v>56</v>
      </c>
      <c r="G201" s="63">
        <v>2</v>
      </c>
      <c r="H201" s="63">
        <v>7</v>
      </c>
      <c r="I201" s="205">
        <v>1598</v>
      </c>
      <c r="J201" s="206">
        <v>667</v>
      </c>
      <c r="K201" s="214">
        <f t="shared" si="16"/>
        <v>333.5</v>
      </c>
      <c r="L201" s="215">
        <f t="shared" si="17"/>
        <v>2.395802098950525</v>
      </c>
      <c r="M201" s="207">
        <f>1295+255300+147780+51761+8278+8834+918+1598</f>
        <v>475764</v>
      </c>
      <c r="N201" s="208">
        <f>119+28097+15891+6021+1461+2448+162+667</f>
        <v>54866</v>
      </c>
      <c r="O201" s="226">
        <f t="shared" si="15"/>
        <v>8.671381183246455</v>
      </c>
      <c r="P201" s="336">
        <v>1</v>
      </c>
    </row>
    <row r="202" spans="1:16" ht="15">
      <c r="A202" s="91">
        <v>199</v>
      </c>
      <c r="B202" s="56" t="s">
        <v>311</v>
      </c>
      <c r="C202" s="41">
        <v>39430</v>
      </c>
      <c r="D202" s="46" t="s">
        <v>261</v>
      </c>
      <c r="E202" s="46" t="s">
        <v>177</v>
      </c>
      <c r="F202" s="43">
        <v>242</v>
      </c>
      <c r="G202" s="43">
        <v>2</v>
      </c>
      <c r="H202" s="43">
        <v>13</v>
      </c>
      <c r="I202" s="195">
        <v>1596</v>
      </c>
      <c r="J202" s="196">
        <v>700</v>
      </c>
      <c r="K202" s="214">
        <f t="shared" si="16"/>
        <v>350</v>
      </c>
      <c r="L202" s="215">
        <f>+I202/J202</f>
        <v>2.28</v>
      </c>
      <c r="M202" s="199">
        <v>15274092</v>
      </c>
      <c r="N202" s="197">
        <v>1982655</v>
      </c>
      <c r="O202" s="226">
        <f t="shared" si="15"/>
        <v>7.703857705954894</v>
      </c>
      <c r="P202" s="336"/>
    </row>
    <row r="203" spans="1:16" ht="15">
      <c r="A203" s="91">
        <v>200</v>
      </c>
      <c r="B203" s="56" t="s">
        <v>428</v>
      </c>
      <c r="C203" s="41">
        <v>39136</v>
      </c>
      <c r="D203" s="46" t="s">
        <v>126</v>
      </c>
      <c r="E203" s="46" t="s">
        <v>105</v>
      </c>
      <c r="F203" s="43">
        <v>24</v>
      </c>
      <c r="G203" s="43">
        <v>1</v>
      </c>
      <c r="H203" s="43">
        <v>19</v>
      </c>
      <c r="I203" s="86">
        <v>1544</v>
      </c>
      <c r="J203" s="95">
        <v>386</v>
      </c>
      <c r="K203" s="144">
        <f t="shared" si="16"/>
        <v>386</v>
      </c>
      <c r="L203" s="145">
        <f>I203/J203</f>
        <v>4</v>
      </c>
      <c r="M203" s="136">
        <v>569217.5</v>
      </c>
      <c r="N203" s="134">
        <v>59395</v>
      </c>
      <c r="O203" s="81">
        <f t="shared" si="15"/>
        <v>9.583592895024834</v>
      </c>
      <c r="P203" s="336"/>
    </row>
    <row r="204" spans="1:16" ht="15">
      <c r="A204" s="91">
        <v>201</v>
      </c>
      <c r="B204" s="56" t="s">
        <v>370</v>
      </c>
      <c r="C204" s="41">
        <v>39332</v>
      </c>
      <c r="D204" s="46" t="s">
        <v>126</v>
      </c>
      <c r="E204" s="46" t="s">
        <v>105</v>
      </c>
      <c r="F204" s="43">
        <v>23</v>
      </c>
      <c r="G204" s="43">
        <v>1</v>
      </c>
      <c r="H204" s="43">
        <v>15</v>
      </c>
      <c r="I204" s="86">
        <v>1544</v>
      </c>
      <c r="J204" s="95">
        <v>386</v>
      </c>
      <c r="K204" s="144">
        <f t="shared" si="16"/>
        <v>386</v>
      </c>
      <c r="L204" s="145">
        <f>I204/J204</f>
        <v>4</v>
      </c>
      <c r="M204" s="136">
        <v>239034.5</v>
      </c>
      <c r="N204" s="134">
        <v>27480</v>
      </c>
      <c r="O204" s="81">
        <f t="shared" si="15"/>
        <v>8.69848981077147</v>
      </c>
      <c r="P204" s="336"/>
    </row>
    <row r="205" spans="1:16" ht="15">
      <c r="A205" s="91">
        <v>202</v>
      </c>
      <c r="B205" s="56" t="s">
        <v>185</v>
      </c>
      <c r="C205" s="41">
        <v>39395</v>
      </c>
      <c r="D205" s="46" t="s">
        <v>126</v>
      </c>
      <c r="E205" s="46" t="s">
        <v>186</v>
      </c>
      <c r="F205" s="43">
        <v>5</v>
      </c>
      <c r="G205" s="43">
        <v>1</v>
      </c>
      <c r="H205" s="43">
        <v>10</v>
      </c>
      <c r="I205" s="195">
        <v>1544</v>
      </c>
      <c r="J205" s="196">
        <v>386</v>
      </c>
      <c r="K205" s="214">
        <f t="shared" si="16"/>
        <v>386</v>
      </c>
      <c r="L205" s="215">
        <f>I205/J205</f>
        <v>4</v>
      </c>
      <c r="M205" s="199">
        <v>5134.5</v>
      </c>
      <c r="N205" s="197">
        <v>1027</v>
      </c>
      <c r="O205" s="226">
        <f t="shared" si="15"/>
        <v>4.999513145082766</v>
      </c>
      <c r="P205" s="336">
        <v>1</v>
      </c>
    </row>
    <row r="206" spans="1:16" ht="15">
      <c r="A206" s="91">
        <v>203</v>
      </c>
      <c r="B206" s="57" t="s">
        <v>436</v>
      </c>
      <c r="C206" s="41">
        <v>39416</v>
      </c>
      <c r="D206" s="47" t="s">
        <v>57</v>
      </c>
      <c r="E206" s="47" t="s">
        <v>412</v>
      </c>
      <c r="F206" s="64" t="s">
        <v>437</v>
      </c>
      <c r="G206" s="64" t="s">
        <v>319</v>
      </c>
      <c r="H206" s="64" t="s">
        <v>213</v>
      </c>
      <c r="I206" s="85">
        <v>1534</v>
      </c>
      <c r="J206" s="93">
        <v>239</v>
      </c>
      <c r="K206" s="144">
        <f t="shared" si="16"/>
        <v>79.66666666666667</v>
      </c>
      <c r="L206" s="145">
        <f>I206/J206</f>
        <v>6.418410041841004</v>
      </c>
      <c r="M206" s="146">
        <v>258757</v>
      </c>
      <c r="N206" s="147">
        <v>27577</v>
      </c>
      <c r="O206" s="81">
        <f t="shared" si="15"/>
        <v>9.383072850563876</v>
      </c>
      <c r="P206" s="336"/>
    </row>
    <row r="207" spans="1:16" ht="15">
      <c r="A207" s="91">
        <v>204</v>
      </c>
      <c r="B207" s="56" t="s">
        <v>439</v>
      </c>
      <c r="C207" s="41">
        <v>39416</v>
      </c>
      <c r="D207" s="46" t="s">
        <v>262</v>
      </c>
      <c r="E207" s="46" t="s">
        <v>331</v>
      </c>
      <c r="F207" s="43">
        <v>20</v>
      </c>
      <c r="G207" s="43">
        <v>1</v>
      </c>
      <c r="H207" s="43">
        <v>12</v>
      </c>
      <c r="I207" s="195">
        <v>1531</v>
      </c>
      <c r="J207" s="196">
        <v>383</v>
      </c>
      <c r="K207" s="214">
        <f t="shared" si="16"/>
        <v>383</v>
      </c>
      <c r="L207" s="215">
        <f>+I207/J207</f>
        <v>3.9973890339425586</v>
      </c>
      <c r="M207" s="199">
        <f>75692.5+51302+12584.5+2036+2909.5+3347+4240.5+2626.5+2244+1250+1247+1531</f>
        <v>161010.5</v>
      </c>
      <c r="N207" s="197">
        <f>7291+5230+1727+233+363+396+496+298+253+140+140+383</f>
        <v>16950</v>
      </c>
      <c r="O207" s="226">
        <f t="shared" si="15"/>
        <v>9.49914454277286</v>
      </c>
      <c r="P207" s="336">
        <v>1</v>
      </c>
    </row>
    <row r="208" spans="1:16" ht="15">
      <c r="A208" s="91">
        <v>205</v>
      </c>
      <c r="B208" s="56" t="s">
        <v>225</v>
      </c>
      <c r="C208" s="41">
        <v>39437</v>
      </c>
      <c r="D208" s="46" t="s">
        <v>126</v>
      </c>
      <c r="E208" s="46" t="s">
        <v>250</v>
      </c>
      <c r="F208" s="43">
        <v>7</v>
      </c>
      <c r="G208" s="43">
        <v>4</v>
      </c>
      <c r="H208" s="43">
        <v>12</v>
      </c>
      <c r="I208" s="86">
        <v>1530</v>
      </c>
      <c r="J208" s="95">
        <v>280</v>
      </c>
      <c r="K208" s="144">
        <f t="shared" si="16"/>
        <v>70</v>
      </c>
      <c r="L208" s="145">
        <f>I208/J208</f>
        <v>5.464285714285714</v>
      </c>
      <c r="M208" s="136">
        <v>48426.7</v>
      </c>
      <c r="N208" s="134">
        <v>6661</v>
      </c>
      <c r="O208" s="81">
        <f t="shared" si="15"/>
        <v>7.270184656958414</v>
      </c>
      <c r="P208" s="336"/>
    </row>
    <row r="209" spans="1:16" ht="18">
      <c r="A209" s="91">
        <v>206</v>
      </c>
      <c r="B209" s="56" t="s">
        <v>189</v>
      </c>
      <c r="C209" s="41">
        <v>39206</v>
      </c>
      <c r="D209" s="46" t="s">
        <v>60</v>
      </c>
      <c r="E209" s="46" t="s">
        <v>190</v>
      </c>
      <c r="F209" s="43">
        <v>81</v>
      </c>
      <c r="G209" s="43">
        <v>1</v>
      </c>
      <c r="H209" s="43">
        <v>27</v>
      </c>
      <c r="I209" s="195">
        <v>1510</v>
      </c>
      <c r="J209" s="196">
        <v>500</v>
      </c>
      <c r="K209" s="214">
        <f t="shared" si="16"/>
        <v>500</v>
      </c>
      <c r="L209" s="215">
        <f>I209/J209</f>
        <v>3.02</v>
      </c>
      <c r="M209" s="199">
        <v>312961.5</v>
      </c>
      <c r="N209" s="197">
        <v>52067.666666666664</v>
      </c>
      <c r="O209" s="226">
        <f>M209/N209</f>
        <v>6.010668809177801</v>
      </c>
      <c r="P209" s="360"/>
    </row>
    <row r="210" spans="1:16" ht="15">
      <c r="A210" s="91">
        <v>207</v>
      </c>
      <c r="B210" s="57" t="s">
        <v>160</v>
      </c>
      <c r="C210" s="41">
        <v>39423</v>
      </c>
      <c r="D210" s="47" t="s">
        <v>309</v>
      </c>
      <c r="E210" s="47" t="s">
        <v>309</v>
      </c>
      <c r="F210" s="58">
        <v>1</v>
      </c>
      <c r="G210" s="58">
        <v>1</v>
      </c>
      <c r="H210" s="58">
        <v>7</v>
      </c>
      <c r="I210" s="205">
        <v>1495</v>
      </c>
      <c r="J210" s="206">
        <v>168</v>
      </c>
      <c r="K210" s="202">
        <f>+J210/G210</f>
        <v>168</v>
      </c>
      <c r="L210" s="203">
        <f>+I210/J210</f>
        <v>8.898809523809524</v>
      </c>
      <c r="M210" s="207">
        <v>26797</v>
      </c>
      <c r="N210" s="208">
        <v>2415</v>
      </c>
      <c r="O210" s="224">
        <f>+M210/N210</f>
        <v>11.096066252587992</v>
      </c>
      <c r="P210" s="336"/>
    </row>
    <row r="211" spans="1:15" ht="15">
      <c r="A211" s="91">
        <v>208</v>
      </c>
      <c r="B211" s="55" t="s">
        <v>207</v>
      </c>
      <c r="C211" s="41">
        <v>39402</v>
      </c>
      <c r="D211" s="45" t="s">
        <v>260</v>
      </c>
      <c r="E211" s="44" t="s">
        <v>107</v>
      </c>
      <c r="F211" s="63">
        <v>64</v>
      </c>
      <c r="G211" s="63">
        <v>1</v>
      </c>
      <c r="H211" s="63">
        <v>13</v>
      </c>
      <c r="I211" s="85">
        <v>1487</v>
      </c>
      <c r="J211" s="93">
        <v>362</v>
      </c>
      <c r="K211" s="144">
        <f>J211/G211</f>
        <v>362</v>
      </c>
      <c r="L211" s="215">
        <f>I211/J211</f>
        <v>4.107734806629834</v>
      </c>
      <c r="M211" s="146">
        <f>299858+213967+97347+22667+8568+16509+4053+3337+284+4988+2264+2342+1487</f>
        <v>677671</v>
      </c>
      <c r="N211" s="147">
        <f>33225+24189+12517+4002+2479+2973+867+358+35+802+375+456+362</f>
        <v>82640</v>
      </c>
      <c r="O211" s="226">
        <f>+M211/N211</f>
        <v>8.200278315585672</v>
      </c>
    </row>
    <row r="212" spans="1:16" ht="15">
      <c r="A212" s="91">
        <v>209</v>
      </c>
      <c r="B212" s="56" t="s">
        <v>252</v>
      </c>
      <c r="C212" s="42">
        <v>39325</v>
      </c>
      <c r="D212" s="46" t="s">
        <v>62</v>
      </c>
      <c r="E212" s="46" t="s">
        <v>62</v>
      </c>
      <c r="F212" s="43">
        <v>41</v>
      </c>
      <c r="G212" s="43">
        <v>1</v>
      </c>
      <c r="H212" s="43">
        <v>14</v>
      </c>
      <c r="I212" s="86">
        <v>1464</v>
      </c>
      <c r="J212" s="95">
        <v>222</v>
      </c>
      <c r="K212" s="137">
        <f>IF(I212&lt;&gt;0,J212/G212,"")</f>
        <v>222</v>
      </c>
      <c r="L212" s="138">
        <f>IF(I212&lt;&gt;0,I212/J212,"")</f>
        <v>6.594594594594595</v>
      </c>
      <c r="M212" s="136">
        <f>134878+121098+57423.5+36002.5+21899.5+24766+21116+4712+2484+2133+1303+125+2376+1464</f>
        <v>431780.5</v>
      </c>
      <c r="N212" s="134">
        <f>16294+14776+7255+5972+3786+4702+3853+904+447+385+312+25+594+222</f>
        <v>59527</v>
      </c>
      <c r="O212" s="159">
        <f>IF(M212&lt;&gt;0,M212/N212,"")</f>
        <v>7.253523611134443</v>
      </c>
      <c r="P212" s="336"/>
    </row>
    <row r="213" spans="1:16" ht="15">
      <c r="A213" s="91">
        <v>210</v>
      </c>
      <c r="B213" s="57" t="s">
        <v>211</v>
      </c>
      <c r="C213" s="42">
        <v>39437</v>
      </c>
      <c r="D213" s="47" t="s">
        <v>126</v>
      </c>
      <c r="E213" s="47" t="s">
        <v>250</v>
      </c>
      <c r="F213" s="88">
        <v>1</v>
      </c>
      <c r="G213" s="89">
        <v>1</v>
      </c>
      <c r="H213" s="88">
        <v>3</v>
      </c>
      <c r="I213" s="85">
        <v>1464</v>
      </c>
      <c r="J213" s="93">
        <v>173</v>
      </c>
      <c r="K213" s="144">
        <f aca="true" t="shared" si="18" ref="K213:K220">J213/G213</f>
        <v>173</v>
      </c>
      <c r="L213" s="145">
        <f aca="true" t="shared" si="19" ref="L213:L220">I213/J213</f>
        <v>8.46242774566474</v>
      </c>
      <c r="M213" s="146">
        <v>22500.2</v>
      </c>
      <c r="N213" s="147">
        <v>3129</v>
      </c>
      <c r="O213" s="81">
        <f>+M213/N213</f>
        <v>7.190859699584532</v>
      </c>
      <c r="P213" s="336"/>
    </row>
    <row r="214" spans="1:16" ht="15">
      <c r="A214" s="91">
        <v>211</v>
      </c>
      <c r="B214" s="56" t="s">
        <v>323</v>
      </c>
      <c r="C214" s="41">
        <v>39437</v>
      </c>
      <c r="D214" s="46" t="s">
        <v>262</v>
      </c>
      <c r="E214" s="46" t="s">
        <v>324</v>
      </c>
      <c r="F214" s="43">
        <v>156</v>
      </c>
      <c r="G214" s="43">
        <v>6</v>
      </c>
      <c r="H214" s="43">
        <v>11</v>
      </c>
      <c r="I214" s="86">
        <v>1455</v>
      </c>
      <c r="J214" s="95">
        <v>337</v>
      </c>
      <c r="K214" s="144">
        <f t="shared" si="18"/>
        <v>56.166666666666664</v>
      </c>
      <c r="L214" s="215">
        <f t="shared" si="19"/>
        <v>4.317507418397626</v>
      </c>
      <c r="M214" s="136">
        <f>1780127+1212579.5+721829.5+404706.5+230406+56484.5+45824+18497.5+10529+9795.5+1455</f>
        <v>4492234</v>
      </c>
      <c r="N214" s="134">
        <f>240776+165120+97288+55998+35394+10296+9476+3143+2091+2258+337</f>
        <v>622177</v>
      </c>
      <c r="O214" s="226">
        <f>+M214/N214</f>
        <v>7.220186538557356</v>
      </c>
      <c r="P214" s="336"/>
    </row>
    <row r="215" spans="1:16" ht="15">
      <c r="A215" s="91">
        <v>212</v>
      </c>
      <c r="B215" s="55" t="s">
        <v>332</v>
      </c>
      <c r="C215" s="41">
        <v>39395</v>
      </c>
      <c r="D215" s="45" t="s">
        <v>260</v>
      </c>
      <c r="E215" s="44" t="s">
        <v>265</v>
      </c>
      <c r="F215" s="63">
        <v>56</v>
      </c>
      <c r="G215" s="63">
        <v>2</v>
      </c>
      <c r="H215" s="63">
        <v>9</v>
      </c>
      <c r="I215" s="205">
        <v>1455</v>
      </c>
      <c r="J215" s="206">
        <v>291</v>
      </c>
      <c r="K215" s="214">
        <f t="shared" si="18"/>
        <v>145.5</v>
      </c>
      <c r="L215" s="215">
        <f t="shared" si="19"/>
        <v>5</v>
      </c>
      <c r="M215" s="207">
        <f>1295+255300+147780+51761+8278+8834+918+1598+1039+1455</f>
        <v>478258</v>
      </c>
      <c r="N215" s="208">
        <f>119+28097+15891+6021+1461+2448+162+667+158+291</f>
        <v>55315</v>
      </c>
      <c r="O215" s="226">
        <f>+M215/N215</f>
        <v>8.646081533038055</v>
      </c>
      <c r="P215" s="336"/>
    </row>
    <row r="216" spans="1:16" ht="15">
      <c r="A216" s="91">
        <v>213</v>
      </c>
      <c r="B216" s="56" t="s">
        <v>191</v>
      </c>
      <c r="C216" s="41">
        <v>39297</v>
      </c>
      <c r="D216" s="46" t="s">
        <v>57</v>
      </c>
      <c r="E216" s="46" t="s">
        <v>412</v>
      </c>
      <c r="F216" s="43" t="s">
        <v>129</v>
      </c>
      <c r="G216" s="43" t="s">
        <v>125</v>
      </c>
      <c r="H216" s="43" t="s">
        <v>16</v>
      </c>
      <c r="I216" s="195">
        <v>1450</v>
      </c>
      <c r="J216" s="196">
        <v>168</v>
      </c>
      <c r="K216" s="214">
        <f t="shared" si="18"/>
        <v>168</v>
      </c>
      <c r="L216" s="215">
        <f t="shared" si="19"/>
        <v>8.630952380952381</v>
      </c>
      <c r="M216" s="199">
        <v>163791.57</v>
      </c>
      <c r="N216" s="197">
        <v>16608</v>
      </c>
      <c r="O216" s="226">
        <f>+M216/N216</f>
        <v>9.862209176300578</v>
      </c>
      <c r="P216" s="336"/>
    </row>
    <row r="217" spans="1:16" ht="15">
      <c r="A217" s="91">
        <v>214</v>
      </c>
      <c r="B217" s="56" t="s">
        <v>323</v>
      </c>
      <c r="C217" s="41">
        <v>39437</v>
      </c>
      <c r="D217" s="46" t="s">
        <v>262</v>
      </c>
      <c r="E217" s="46" t="s">
        <v>324</v>
      </c>
      <c r="F217" s="43">
        <v>156</v>
      </c>
      <c r="G217" s="43">
        <v>4</v>
      </c>
      <c r="H217" s="43">
        <v>13</v>
      </c>
      <c r="I217" s="86">
        <v>1447</v>
      </c>
      <c r="J217" s="196">
        <v>436</v>
      </c>
      <c r="K217" s="214">
        <f t="shared" si="18"/>
        <v>109</v>
      </c>
      <c r="L217" s="215">
        <f t="shared" si="19"/>
        <v>3.3188073394495414</v>
      </c>
      <c r="M217" s="136">
        <f>1780127+1212579.5+721829.5+404706.5+230406+56484.5+45824+18497.5+10529+9795.5+1455+3484+1447</f>
        <v>4497165</v>
      </c>
      <c r="N217" s="197">
        <f>240776+165120+97288+55998+35394+10296+9476+3143+2091+2258+337+991+436</f>
        <v>623604</v>
      </c>
      <c r="O217" s="226">
        <f>+M217/N217</f>
        <v>7.211571766698097</v>
      </c>
      <c r="P217" s="336">
        <v>1</v>
      </c>
    </row>
    <row r="218" spans="1:16" ht="15">
      <c r="A218" s="91">
        <v>215</v>
      </c>
      <c r="B218" s="56" t="s">
        <v>189</v>
      </c>
      <c r="C218" s="41">
        <v>39206</v>
      </c>
      <c r="D218" s="46" t="s">
        <v>60</v>
      </c>
      <c r="E218" s="46" t="s">
        <v>190</v>
      </c>
      <c r="F218" s="43">
        <v>81</v>
      </c>
      <c r="G218" s="43">
        <v>1</v>
      </c>
      <c r="H218" s="43">
        <v>28</v>
      </c>
      <c r="I218" s="195">
        <v>1438</v>
      </c>
      <c r="J218" s="196">
        <v>481</v>
      </c>
      <c r="K218" s="214">
        <f t="shared" si="18"/>
        <v>481</v>
      </c>
      <c r="L218" s="215">
        <f t="shared" si="19"/>
        <v>2.9896049896049894</v>
      </c>
      <c r="M218" s="199">
        <v>314399.5</v>
      </c>
      <c r="N218" s="197">
        <v>52548.666666666664</v>
      </c>
      <c r="O218" s="226">
        <f>M218/N218</f>
        <v>5.983015744135595</v>
      </c>
      <c r="P218" s="336"/>
    </row>
    <row r="219" spans="1:16" ht="15">
      <c r="A219" s="91">
        <v>216</v>
      </c>
      <c r="B219" s="56" t="s">
        <v>189</v>
      </c>
      <c r="C219" s="41">
        <v>39206</v>
      </c>
      <c r="D219" s="46" t="s">
        <v>60</v>
      </c>
      <c r="E219" s="46" t="s">
        <v>190</v>
      </c>
      <c r="F219" s="43">
        <v>81</v>
      </c>
      <c r="G219" s="43">
        <v>1</v>
      </c>
      <c r="H219" s="43">
        <v>29</v>
      </c>
      <c r="I219" s="86">
        <v>1438</v>
      </c>
      <c r="J219" s="95">
        <v>479</v>
      </c>
      <c r="K219" s="144">
        <f t="shared" si="18"/>
        <v>479</v>
      </c>
      <c r="L219" s="145">
        <f t="shared" si="19"/>
        <v>3.002087682672234</v>
      </c>
      <c r="M219" s="136">
        <v>315837.5</v>
      </c>
      <c r="N219" s="134">
        <v>53027.666666666664</v>
      </c>
      <c r="O219" s="81">
        <f>M219/N219</f>
        <v>5.956088959851147</v>
      </c>
      <c r="P219" s="336">
        <v>1</v>
      </c>
    </row>
    <row r="220" spans="1:16" ht="15">
      <c r="A220" s="91">
        <v>217</v>
      </c>
      <c r="B220" s="57" t="s">
        <v>350</v>
      </c>
      <c r="C220" s="41">
        <v>39220</v>
      </c>
      <c r="D220" s="47" t="s">
        <v>57</v>
      </c>
      <c r="E220" s="47" t="s">
        <v>412</v>
      </c>
      <c r="F220" s="64" t="s">
        <v>411</v>
      </c>
      <c r="G220" s="64" t="s">
        <v>125</v>
      </c>
      <c r="H220" s="64" t="s">
        <v>351</v>
      </c>
      <c r="I220" s="205">
        <v>1425.61</v>
      </c>
      <c r="J220" s="206">
        <v>285</v>
      </c>
      <c r="K220" s="214">
        <f t="shared" si="18"/>
        <v>285</v>
      </c>
      <c r="L220" s="215">
        <f t="shared" si="19"/>
        <v>5.002140350877193</v>
      </c>
      <c r="M220" s="207">
        <v>703551.61</v>
      </c>
      <c r="N220" s="208">
        <v>83859</v>
      </c>
      <c r="O220" s="226">
        <f>+M220/N220</f>
        <v>8.38969711062617</v>
      </c>
      <c r="P220" s="336"/>
    </row>
    <row r="221" spans="1:16" ht="15">
      <c r="A221" s="91">
        <v>218</v>
      </c>
      <c r="B221" s="56" t="s">
        <v>333</v>
      </c>
      <c r="C221" s="41">
        <v>39381</v>
      </c>
      <c r="D221" s="46" t="s">
        <v>256</v>
      </c>
      <c r="E221" s="46" t="s">
        <v>147</v>
      </c>
      <c r="F221" s="43">
        <v>91</v>
      </c>
      <c r="G221" s="43">
        <v>1</v>
      </c>
      <c r="H221" s="43">
        <v>17</v>
      </c>
      <c r="I221" s="86">
        <v>1425</v>
      </c>
      <c r="J221" s="95">
        <v>475</v>
      </c>
      <c r="K221" s="144">
        <f>IF(I221&lt;&gt;0,J221/G221,"")</f>
        <v>475</v>
      </c>
      <c r="L221" s="145">
        <f>IF(I221&lt;&gt;0,I221/J221,"")</f>
        <v>3</v>
      </c>
      <c r="M221" s="136">
        <f>2459549.5+0</f>
        <v>2459549.5</v>
      </c>
      <c r="N221" s="134">
        <f>288443+0</f>
        <v>288443</v>
      </c>
      <c r="O221" s="81">
        <f>IF(M221&lt;&gt;0,M221/N221,"")</f>
        <v>8.5269862676508</v>
      </c>
      <c r="P221" s="336">
        <v>1</v>
      </c>
    </row>
    <row r="222" spans="1:16" ht="15">
      <c r="A222" s="91">
        <v>219</v>
      </c>
      <c r="B222" s="62" t="s">
        <v>215</v>
      </c>
      <c r="C222" s="41">
        <v>39423</v>
      </c>
      <c r="D222" s="47" t="s">
        <v>309</v>
      </c>
      <c r="E222" s="47" t="s">
        <v>309</v>
      </c>
      <c r="F222" s="58">
        <v>14</v>
      </c>
      <c r="G222" s="58">
        <v>3</v>
      </c>
      <c r="H222" s="58">
        <v>10</v>
      </c>
      <c r="I222" s="205">
        <v>1419</v>
      </c>
      <c r="J222" s="206">
        <v>221</v>
      </c>
      <c r="K222" s="214">
        <f>J222/G222</f>
        <v>73.66666666666667</v>
      </c>
      <c r="L222" s="215">
        <f>I222/J222</f>
        <v>6.420814479638009</v>
      </c>
      <c r="M222" s="207">
        <v>237150</v>
      </c>
      <c r="N222" s="208">
        <v>23681</v>
      </c>
      <c r="O222" s="226">
        <f>+M222/N222</f>
        <v>10.014357501794688</v>
      </c>
      <c r="P222" s="336"/>
    </row>
    <row r="223" spans="1:16" ht="15">
      <c r="A223" s="91">
        <v>220</v>
      </c>
      <c r="B223" s="56" t="s">
        <v>225</v>
      </c>
      <c r="C223" s="42">
        <v>39437</v>
      </c>
      <c r="D223" s="47" t="s">
        <v>126</v>
      </c>
      <c r="E223" s="47" t="s">
        <v>329</v>
      </c>
      <c r="F223" s="88">
        <v>7</v>
      </c>
      <c r="G223" s="89">
        <v>2</v>
      </c>
      <c r="H223" s="88">
        <v>3</v>
      </c>
      <c r="I223" s="85">
        <v>1415</v>
      </c>
      <c r="J223" s="93">
        <v>283</v>
      </c>
      <c r="K223" s="144">
        <f>J223/G223</f>
        <v>141.5</v>
      </c>
      <c r="L223" s="145">
        <f>I223/J223</f>
        <v>5</v>
      </c>
      <c r="M223" s="146">
        <v>38426</v>
      </c>
      <c r="N223" s="147">
        <v>4907</v>
      </c>
      <c r="O223" s="81">
        <f>+M223/N223</f>
        <v>7.830853882209089</v>
      </c>
      <c r="P223" s="336"/>
    </row>
    <row r="224" spans="1:16" ht="15">
      <c r="A224" s="91">
        <v>221</v>
      </c>
      <c r="B224" s="269" t="s">
        <v>326</v>
      </c>
      <c r="C224" s="41">
        <v>39437</v>
      </c>
      <c r="D224" s="48" t="s">
        <v>267</v>
      </c>
      <c r="E224" s="48" t="s">
        <v>127</v>
      </c>
      <c r="F224" s="76">
        <v>17</v>
      </c>
      <c r="G224" s="76">
        <v>3</v>
      </c>
      <c r="H224" s="76">
        <v>6</v>
      </c>
      <c r="I224" s="217">
        <v>1396</v>
      </c>
      <c r="J224" s="218">
        <v>274</v>
      </c>
      <c r="K224" s="214">
        <f>J224/G224</f>
        <v>91.33333333333333</v>
      </c>
      <c r="L224" s="215">
        <f>I224/J224</f>
        <v>5.094890510948905</v>
      </c>
      <c r="M224" s="221">
        <v>275144</v>
      </c>
      <c r="N224" s="219">
        <v>26020</v>
      </c>
      <c r="O224" s="227">
        <f>M224/N224</f>
        <v>10.574327440430437</v>
      </c>
      <c r="P224" s="251"/>
    </row>
    <row r="225" spans="1:16" ht="15">
      <c r="A225" s="91">
        <v>222</v>
      </c>
      <c r="B225" s="282" t="s">
        <v>325</v>
      </c>
      <c r="C225" s="42">
        <v>39437</v>
      </c>
      <c r="D225" s="274" t="s">
        <v>261</v>
      </c>
      <c r="E225" s="274" t="s">
        <v>223</v>
      </c>
      <c r="F225" s="275">
        <v>105</v>
      </c>
      <c r="G225" s="275">
        <v>2</v>
      </c>
      <c r="H225" s="275">
        <v>8</v>
      </c>
      <c r="I225" s="195">
        <v>1370</v>
      </c>
      <c r="J225" s="196">
        <v>234</v>
      </c>
      <c r="K225" s="197">
        <f>J225/G225</f>
        <v>117</v>
      </c>
      <c r="L225" s="198">
        <f>+I225/J225</f>
        <v>5.854700854700854</v>
      </c>
      <c r="M225" s="199">
        <v>716311</v>
      </c>
      <c r="N225" s="197">
        <v>82463</v>
      </c>
      <c r="O225" s="223">
        <f>+M225/N225</f>
        <v>8.686453318457975</v>
      </c>
      <c r="P225" s="336">
        <v>1</v>
      </c>
    </row>
    <row r="226" spans="1:16" ht="15">
      <c r="A226" s="91">
        <v>223</v>
      </c>
      <c r="B226" s="55" t="s">
        <v>130</v>
      </c>
      <c r="C226" s="41">
        <v>39164</v>
      </c>
      <c r="D226" s="44" t="s">
        <v>256</v>
      </c>
      <c r="E226" s="44" t="s">
        <v>106</v>
      </c>
      <c r="F226" s="63">
        <v>119</v>
      </c>
      <c r="G226" s="63">
        <v>2</v>
      </c>
      <c r="H226" s="63">
        <v>27</v>
      </c>
      <c r="I226" s="94">
        <v>1363</v>
      </c>
      <c r="J226" s="117">
        <v>284</v>
      </c>
      <c r="K226" s="137">
        <f>IF(I226&lt;&gt;0,J226/G226,"")</f>
        <v>142</v>
      </c>
      <c r="L226" s="138">
        <f>IF(I226&lt;&gt;0,I226/J226,"")</f>
        <v>4.799295774647887</v>
      </c>
      <c r="M226" s="139">
        <f>1463503.5+1774+208+20289+1136+123+3728+1281+565+311+129+80+136+123+1928+7469+133+1363</f>
        <v>1504279.5</v>
      </c>
      <c r="N226" s="134">
        <f>193429+337+32+3321+216+18+619+252+110+56+19+12+21+18+377+1489+25+284</f>
        <v>200635</v>
      </c>
      <c r="O226" s="159">
        <f>IF(M226&lt;&gt;0,M226/N226,"")</f>
        <v>7.497592643357341</v>
      </c>
      <c r="P226" s="336">
        <v>1</v>
      </c>
    </row>
    <row r="227" spans="1:16" ht="15">
      <c r="A227" s="91">
        <v>224</v>
      </c>
      <c r="B227" s="56" t="s">
        <v>353</v>
      </c>
      <c r="C227" s="41">
        <v>39297</v>
      </c>
      <c r="D227" s="46" t="s">
        <v>57</v>
      </c>
      <c r="E227" s="46" t="s">
        <v>219</v>
      </c>
      <c r="F227" s="43" t="s">
        <v>411</v>
      </c>
      <c r="G227" s="43" t="s">
        <v>132</v>
      </c>
      <c r="H227" s="43" t="s">
        <v>30</v>
      </c>
      <c r="I227" s="195">
        <v>1337.99</v>
      </c>
      <c r="J227" s="196">
        <v>268</v>
      </c>
      <c r="K227" s="214">
        <f aca="true" t="shared" si="20" ref="K227:K234">J227/G227</f>
        <v>134</v>
      </c>
      <c r="L227" s="215">
        <f>I227/J227</f>
        <v>4.9925</v>
      </c>
      <c r="M227" s="199">
        <v>154357.54</v>
      </c>
      <c r="N227" s="197">
        <v>25594</v>
      </c>
      <c r="O227" s="226">
        <f>+M227/N227</f>
        <v>6.031004923028835</v>
      </c>
      <c r="P227" s="336"/>
    </row>
    <row r="228" spans="1:16" ht="15">
      <c r="A228" s="91">
        <v>225</v>
      </c>
      <c r="B228" s="57" t="s">
        <v>352</v>
      </c>
      <c r="C228" s="41">
        <v>39409</v>
      </c>
      <c r="D228" s="48" t="s">
        <v>267</v>
      </c>
      <c r="E228" s="48" t="s">
        <v>127</v>
      </c>
      <c r="F228" s="76">
        <v>13</v>
      </c>
      <c r="G228" s="76">
        <v>1</v>
      </c>
      <c r="H228" s="76">
        <v>7</v>
      </c>
      <c r="I228" s="86">
        <v>1305</v>
      </c>
      <c r="J228" s="95">
        <v>261</v>
      </c>
      <c r="K228" s="144">
        <f t="shared" si="20"/>
        <v>261</v>
      </c>
      <c r="L228" s="215">
        <f>I228/J228</f>
        <v>5</v>
      </c>
      <c r="M228" s="136">
        <v>53078</v>
      </c>
      <c r="N228" s="134">
        <v>5412</v>
      </c>
      <c r="O228" s="226">
        <f>+M228/N228</f>
        <v>9.807464892830746</v>
      </c>
      <c r="P228" s="336"/>
    </row>
    <row r="229" spans="1:16" ht="15">
      <c r="A229" s="91">
        <v>226</v>
      </c>
      <c r="B229" s="57" t="s">
        <v>436</v>
      </c>
      <c r="C229" s="41">
        <v>39416</v>
      </c>
      <c r="D229" s="47" t="s">
        <v>57</v>
      </c>
      <c r="E229" s="47" t="s">
        <v>412</v>
      </c>
      <c r="F229" s="64" t="s">
        <v>437</v>
      </c>
      <c r="G229" s="64" t="s">
        <v>132</v>
      </c>
      <c r="H229" s="64" t="s">
        <v>410</v>
      </c>
      <c r="I229" s="205">
        <v>1304.99</v>
      </c>
      <c r="J229" s="206">
        <v>185</v>
      </c>
      <c r="K229" s="214">
        <f t="shared" si="20"/>
        <v>92.5</v>
      </c>
      <c r="L229" s="215">
        <f>I229/J229</f>
        <v>7.054</v>
      </c>
      <c r="M229" s="207">
        <v>260173.99</v>
      </c>
      <c r="N229" s="208">
        <v>27784</v>
      </c>
      <c r="O229" s="226">
        <v>9.38</v>
      </c>
      <c r="P229" s="251">
        <v>1</v>
      </c>
    </row>
    <row r="230" spans="1:16" ht="15">
      <c r="A230" s="91">
        <v>227</v>
      </c>
      <c r="B230" s="56" t="s">
        <v>73</v>
      </c>
      <c r="C230" s="41">
        <v>39395</v>
      </c>
      <c r="D230" s="46" t="s">
        <v>133</v>
      </c>
      <c r="E230" s="46" t="s">
        <v>74</v>
      </c>
      <c r="F230" s="43" t="s">
        <v>75</v>
      </c>
      <c r="G230" s="43" t="s">
        <v>181</v>
      </c>
      <c r="H230" s="43" t="s">
        <v>131</v>
      </c>
      <c r="I230" s="86">
        <v>1303</v>
      </c>
      <c r="J230" s="95">
        <v>206</v>
      </c>
      <c r="K230" s="144">
        <f t="shared" si="20"/>
        <v>29.428571428571427</v>
      </c>
      <c r="L230" s="145">
        <f>I230/J230</f>
        <v>6.325242718446602</v>
      </c>
      <c r="M230" s="136">
        <v>277720</v>
      </c>
      <c r="N230" s="134">
        <v>34835</v>
      </c>
      <c r="O230" s="81">
        <f>+M230/N230</f>
        <v>7.972441509975599</v>
      </c>
      <c r="P230" s="336"/>
    </row>
    <row r="231" spans="1:16" ht="15">
      <c r="A231" s="91">
        <v>228</v>
      </c>
      <c r="B231" s="56" t="s">
        <v>434</v>
      </c>
      <c r="C231" s="42">
        <v>39318</v>
      </c>
      <c r="D231" s="87" t="s">
        <v>261</v>
      </c>
      <c r="E231" s="87" t="s">
        <v>264</v>
      </c>
      <c r="F231" s="43">
        <v>116</v>
      </c>
      <c r="G231" s="43">
        <v>1</v>
      </c>
      <c r="H231" s="43">
        <v>22</v>
      </c>
      <c r="I231" s="195">
        <v>1297</v>
      </c>
      <c r="J231" s="196">
        <v>206</v>
      </c>
      <c r="K231" s="197">
        <f t="shared" si="20"/>
        <v>206</v>
      </c>
      <c r="L231" s="198">
        <f>+I231/J231</f>
        <v>6.296116504854369</v>
      </c>
      <c r="M231" s="199">
        <v>2645057</v>
      </c>
      <c r="N231" s="197">
        <v>331752</v>
      </c>
      <c r="O231" s="223">
        <f>+M231/N231</f>
        <v>7.972994887747474</v>
      </c>
      <c r="P231" s="336">
        <v>1</v>
      </c>
    </row>
    <row r="232" spans="1:16" ht="15">
      <c r="A232" s="91">
        <v>229</v>
      </c>
      <c r="B232" s="57" t="s">
        <v>314</v>
      </c>
      <c r="C232" s="41">
        <v>39430</v>
      </c>
      <c r="D232" s="47" t="s">
        <v>133</v>
      </c>
      <c r="E232" s="47" t="s">
        <v>216</v>
      </c>
      <c r="F232" s="64" t="s">
        <v>315</v>
      </c>
      <c r="G232" s="64" t="s">
        <v>132</v>
      </c>
      <c r="H232" s="64" t="s">
        <v>410</v>
      </c>
      <c r="I232" s="205">
        <v>1282</v>
      </c>
      <c r="J232" s="206">
        <v>217</v>
      </c>
      <c r="K232" s="214">
        <f t="shared" si="20"/>
        <v>108.5</v>
      </c>
      <c r="L232" s="215">
        <f>I232/J232</f>
        <v>5.907834101382488</v>
      </c>
      <c r="M232" s="207">
        <v>1228939.44</v>
      </c>
      <c r="N232" s="208">
        <v>156942</v>
      </c>
      <c r="O232" s="226">
        <f>+M232/N232</f>
        <v>7.83053255342738</v>
      </c>
      <c r="P232" s="336">
        <v>1</v>
      </c>
    </row>
    <row r="233" spans="1:16" ht="15">
      <c r="A233" s="91">
        <v>230</v>
      </c>
      <c r="B233" s="56" t="s">
        <v>225</v>
      </c>
      <c r="C233" s="41">
        <v>39437</v>
      </c>
      <c r="D233" s="46" t="s">
        <v>126</v>
      </c>
      <c r="E233" s="46" t="s">
        <v>250</v>
      </c>
      <c r="F233" s="43">
        <v>7</v>
      </c>
      <c r="G233" s="43">
        <v>3</v>
      </c>
      <c r="H233" s="43">
        <v>11</v>
      </c>
      <c r="I233" s="195">
        <v>1277</v>
      </c>
      <c r="J233" s="196">
        <v>194</v>
      </c>
      <c r="K233" s="214">
        <f t="shared" si="20"/>
        <v>64.66666666666667</v>
      </c>
      <c r="L233" s="215">
        <f>I233/J233</f>
        <v>6.582474226804123</v>
      </c>
      <c r="M233" s="199">
        <v>46896.7</v>
      </c>
      <c r="N233" s="197">
        <v>6381</v>
      </c>
      <c r="O233" s="226">
        <f>+M233/N233</f>
        <v>7.349427989343362</v>
      </c>
      <c r="P233" s="251">
        <v>1</v>
      </c>
    </row>
    <row r="234" spans="1:16" ht="15">
      <c r="A234" s="91">
        <v>231</v>
      </c>
      <c r="B234" s="55" t="s">
        <v>444</v>
      </c>
      <c r="C234" s="41">
        <v>39416</v>
      </c>
      <c r="D234" s="45" t="s">
        <v>260</v>
      </c>
      <c r="E234" s="44" t="s">
        <v>144</v>
      </c>
      <c r="F234" s="63">
        <v>123</v>
      </c>
      <c r="G234" s="63">
        <v>5</v>
      </c>
      <c r="H234" s="63">
        <v>10</v>
      </c>
      <c r="I234" s="205">
        <v>1276</v>
      </c>
      <c r="J234" s="206">
        <v>289</v>
      </c>
      <c r="K234" s="214">
        <f t="shared" si="20"/>
        <v>57.8</v>
      </c>
      <c r="L234" s="215">
        <f>I234/J234</f>
        <v>4.41522491349481</v>
      </c>
      <c r="M234" s="207">
        <f>155416+1136619+622980+528056+225392+174199+84508+58425+34257+3403+1276</f>
        <v>3024531</v>
      </c>
      <c r="N234" s="208">
        <f>12079+122083+66530+52286+18245+17821+7913+4333+2998+686+289</f>
        <v>305263</v>
      </c>
      <c r="O234" s="226">
        <f>+M234/N234</f>
        <v>9.907951504112846</v>
      </c>
      <c r="P234" s="336"/>
    </row>
    <row r="235" spans="1:16" ht="15">
      <c r="A235" s="91">
        <v>232</v>
      </c>
      <c r="B235" s="56" t="s">
        <v>224</v>
      </c>
      <c r="C235" s="42">
        <v>39395</v>
      </c>
      <c r="D235" s="46" t="s">
        <v>262</v>
      </c>
      <c r="E235" s="46" t="s">
        <v>263</v>
      </c>
      <c r="F235" s="43">
        <v>35</v>
      </c>
      <c r="G235" s="43">
        <v>1</v>
      </c>
      <c r="H235" s="43">
        <v>9</v>
      </c>
      <c r="I235" s="86">
        <v>1269</v>
      </c>
      <c r="J235" s="95">
        <v>249</v>
      </c>
      <c r="K235" s="137">
        <f>IF(I235&lt;&gt;0,J235/G235,"")</f>
        <v>249</v>
      </c>
      <c r="L235" s="138">
        <f>IF(I235&lt;&gt;0,I235/J235,"")</f>
        <v>5.096385542168675</v>
      </c>
      <c r="M235" s="136">
        <f>310876.5+189449.5+81911+30301+17300.5+2478+1808+1661.5+1269</f>
        <v>637055</v>
      </c>
      <c r="N235" s="134">
        <f>27485+16830+7465+3781+3026+485+290+393+249</f>
        <v>60004</v>
      </c>
      <c r="O235" s="159">
        <f>IF(M235&lt;&gt;0,M235/N235,"")</f>
        <v>10.616875541630558</v>
      </c>
      <c r="P235" s="336"/>
    </row>
    <row r="236" spans="1:16" ht="15">
      <c r="A236" s="91">
        <v>233</v>
      </c>
      <c r="B236" s="56" t="s">
        <v>47</v>
      </c>
      <c r="C236" s="41">
        <v>39444</v>
      </c>
      <c r="D236" s="46" t="s">
        <v>126</v>
      </c>
      <c r="E236" s="46" t="s">
        <v>210</v>
      </c>
      <c r="F236" s="43">
        <v>25</v>
      </c>
      <c r="G236" s="43">
        <v>2</v>
      </c>
      <c r="H236" s="43">
        <v>9</v>
      </c>
      <c r="I236" s="195">
        <v>1253</v>
      </c>
      <c r="J236" s="196">
        <v>310</v>
      </c>
      <c r="K236" s="214">
        <f>J236/G236</f>
        <v>155</v>
      </c>
      <c r="L236" s="215">
        <f>I236/J236</f>
        <v>4.041935483870968</v>
      </c>
      <c r="M236" s="199">
        <v>263105.25</v>
      </c>
      <c r="N236" s="197">
        <v>27313</v>
      </c>
      <c r="O236" s="226">
        <f>+M236/N236</f>
        <v>9.632967817522792</v>
      </c>
      <c r="P236" s="336"/>
    </row>
    <row r="237" spans="1:16" ht="15">
      <c r="A237" s="91">
        <v>234</v>
      </c>
      <c r="B237" s="56" t="s">
        <v>313</v>
      </c>
      <c r="C237" s="41">
        <v>39430</v>
      </c>
      <c r="D237" s="46" t="s">
        <v>261</v>
      </c>
      <c r="E237" s="46" t="s">
        <v>104</v>
      </c>
      <c r="F237" s="43">
        <v>137</v>
      </c>
      <c r="G237" s="43">
        <v>5</v>
      </c>
      <c r="H237" s="43">
        <v>17</v>
      </c>
      <c r="I237" s="86">
        <v>1250</v>
      </c>
      <c r="J237" s="196">
        <v>507</v>
      </c>
      <c r="K237" s="214">
        <f>J237/G237</f>
        <v>101.4</v>
      </c>
      <c r="L237" s="215">
        <f>I237/J237</f>
        <v>2.465483234714004</v>
      </c>
      <c r="M237" s="136">
        <v>3557177</v>
      </c>
      <c r="N237" s="197">
        <v>461145</v>
      </c>
      <c r="O237" s="226">
        <f>+M237/N237</f>
        <v>7.713792841730909</v>
      </c>
      <c r="P237" s="336"/>
    </row>
    <row r="238" spans="1:16" ht="15">
      <c r="A238" s="91">
        <v>235</v>
      </c>
      <c r="B238" s="56" t="s">
        <v>439</v>
      </c>
      <c r="C238" s="42">
        <v>39416</v>
      </c>
      <c r="D238" s="46" t="s">
        <v>262</v>
      </c>
      <c r="E238" s="46" t="s">
        <v>331</v>
      </c>
      <c r="F238" s="43">
        <v>20</v>
      </c>
      <c r="G238" s="43">
        <v>1</v>
      </c>
      <c r="H238" s="43">
        <v>10</v>
      </c>
      <c r="I238" s="195">
        <v>1250</v>
      </c>
      <c r="J238" s="196">
        <v>140</v>
      </c>
      <c r="K238" s="214">
        <f>J238/G238</f>
        <v>140</v>
      </c>
      <c r="L238" s="215">
        <f>I238/J238</f>
        <v>8.928571428571429</v>
      </c>
      <c r="M238" s="199">
        <f>75692.5+51302+12584.5+2036+2909.5+3347+4240.5+2626.5+2244+1250</f>
        <v>158232.5</v>
      </c>
      <c r="N238" s="197">
        <f>7291+5230+1727+233+363+396+496+298+253+140</f>
        <v>16427</v>
      </c>
      <c r="O238" s="225">
        <f>M238/N238</f>
        <v>9.632464844463383</v>
      </c>
      <c r="P238" s="336">
        <v>1</v>
      </c>
    </row>
    <row r="239" spans="1:16" ht="15">
      <c r="A239" s="91">
        <v>236</v>
      </c>
      <c r="B239" s="56" t="s">
        <v>310</v>
      </c>
      <c r="C239" s="41">
        <v>39423</v>
      </c>
      <c r="D239" s="46" t="s">
        <v>256</v>
      </c>
      <c r="E239" s="46" t="s">
        <v>251</v>
      </c>
      <c r="F239" s="43">
        <v>164</v>
      </c>
      <c r="G239" s="43">
        <v>1</v>
      </c>
      <c r="H239" s="43">
        <v>16</v>
      </c>
      <c r="I239" s="195">
        <v>1248</v>
      </c>
      <c r="J239" s="196">
        <v>454</v>
      </c>
      <c r="K239" s="214">
        <f>IF(I239&lt;&gt;0,J239/G239,"")</f>
        <v>454</v>
      </c>
      <c r="L239" s="215">
        <f>IF(I239&lt;&gt;0,I239/J239,"")</f>
        <v>2.748898678414097</v>
      </c>
      <c r="M239" s="199">
        <f>1455428+896564.5+785700+295594.5+45815.5+11311.5+13282+11389+10839+9534+2826+2532+168+361+11641+1248</f>
        <v>3554234</v>
      </c>
      <c r="N239" s="197">
        <f>172176+105411+97548+39201+8243+2114+2845+2112+2384+1888+598+623+42+63+2323+454</f>
        <v>438025</v>
      </c>
      <c r="O239" s="226">
        <f>IF(M239&lt;&gt;0,M239/N239,"")</f>
        <v>8.114226356943098</v>
      </c>
      <c r="P239" s="251">
        <v>1</v>
      </c>
    </row>
    <row r="240" spans="1:16" ht="15">
      <c r="A240" s="91">
        <v>237</v>
      </c>
      <c r="B240" s="56" t="s">
        <v>353</v>
      </c>
      <c r="C240" s="41">
        <v>39297</v>
      </c>
      <c r="D240" s="46" t="s">
        <v>57</v>
      </c>
      <c r="E240" s="46" t="s">
        <v>219</v>
      </c>
      <c r="F240" s="43" t="s">
        <v>411</v>
      </c>
      <c r="G240" s="43" t="s">
        <v>125</v>
      </c>
      <c r="H240" s="43" t="s">
        <v>429</v>
      </c>
      <c r="I240" s="86">
        <v>1247.4</v>
      </c>
      <c r="J240" s="95">
        <v>252</v>
      </c>
      <c r="K240" s="144">
        <f>J240/G240</f>
        <v>252</v>
      </c>
      <c r="L240" s="145">
        <f>I240/J240</f>
        <v>4.95</v>
      </c>
      <c r="M240" s="136">
        <v>153019.55</v>
      </c>
      <c r="N240" s="134">
        <v>25326</v>
      </c>
      <c r="O240" s="81">
        <f>+M240/N240</f>
        <v>6.041994393113796</v>
      </c>
      <c r="P240" s="251">
        <v>1</v>
      </c>
    </row>
    <row r="241" spans="1:16" ht="15">
      <c r="A241" s="91">
        <v>238</v>
      </c>
      <c r="B241" s="56" t="s">
        <v>439</v>
      </c>
      <c r="C241" s="42">
        <v>39416</v>
      </c>
      <c r="D241" s="46" t="s">
        <v>262</v>
      </c>
      <c r="E241" s="46" t="s">
        <v>331</v>
      </c>
      <c r="F241" s="43">
        <v>20</v>
      </c>
      <c r="G241" s="43">
        <v>1</v>
      </c>
      <c r="H241" s="43">
        <v>11</v>
      </c>
      <c r="I241" s="86">
        <v>1247</v>
      </c>
      <c r="J241" s="95">
        <v>140</v>
      </c>
      <c r="K241" s="137">
        <f>IF(I241&lt;&gt;0,J241/G241,"")</f>
        <v>140</v>
      </c>
      <c r="L241" s="203">
        <f>IF(I241&lt;&gt;0,I241/J241,"")</f>
        <v>8.907142857142857</v>
      </c>
      <c r="M241" s="136">
        <f>75692.5+51302+12584.5+2036+2909.5+3347+4240.5+2626.5+2244+1250+1247</f>
        <v>159479.5</v>
      </c>
      <c r="N241" s="134">
        <f>7291+5230+1727+233+363+396+496+298+253+140+140</f>
        <v>16567</v>
      </c>
      <c r="O241" s="224">
        <f>IF(M241&lt;&gt;0,M241/N241,"")</f>
        <v>9.626335486207521</v>
      </c>
      <c r="P241" s="251"/>
    </row>
    <row r="242" spans="1:16" ht="15">
      <c r="A242" s="91">
        <v>239</v>
      </c>
      <c r="B242" s="56" t="s">
        <v>398</v>
      </c>
      <c r="C242" s="41">
        <v>39437</v>
      </c>
      <c r="D242" s="46" t="s">
        <v>260</v>
      </c>
      <c r="E242" s="46" t="s">
        <v>413</v>
      </c>
      <c r="F242" s="43">
        <v>49</v>
      </c>
      <c r="G242" s="43">
        <v>2</v>
      </c>
      <c r="H242" s="43">
        <v>14</v>
      </c>
      <c r="I242" s="86">
        <v>1242</v>
      </c>
      <c r="J242" s="95">
        <v>211</v>
      </c>
      <c r="K242" s="144">
        <f>J242/G242</f>
        <v>105.5</v>
      </c>
      <c r="L242" s="145">
        <f>I242/J242</f>
        <v>5.886255924170616</v>
      </c>
      <c r="M242" s="136">
        <f>265356+150950+36636+752+2313+871+2481+84+743+187+110+488+748+1242</f>
        <v>462961</v>
      </c>
      <c r="N242" s="134">
        <f>28419+15898+4109+157+424+163+412+14+140+31+21+106+161+211</f>
        <v>50266</v>
      </c>
      <c r="O242" s="81">
        <f>+M242/N242</f>
        <v>9.210221620976405</v>
      </c>
      <c r="P242" s="336"/>
    </row>
    <row r="243" spans="1:16" ht="15">
      <c r="A243" s="91">
        <v>240</v>
      </c>
      <c r="B243" s="77" t="s">
        <v>438</v>
      </c>
      <c r="C243" s="61">
        <v>39416</v>
      </c>
      <c r="D243" s="80" t="s">
        <v>60</v>
      </c>
      <c r="E243" s="80" t="s">
        <v>286</v>
      </c>
      <c r="F243" s="63">
        <v>45</v>
      </c>
      <c r="G243" s="63">
        <v>3</v>
      </c>
      <c r="H243" s="63">
        <v>12</v>
      </c>
      <c r="I243" s="295">
        <v>1235</v>
      </c>
      <c r="J243" s="296">
        <v>351</v>
      </c>
      <c r="K243" s="214">
        <f>J243/G243</f>
        <v>117</v>
      </c>
      <c r="L243" s="297">
        <v>5.06</v>
      </c>
      <c r="M243" s="298">
        <v>183249</v>
      </c>
      <c r="N243" s="299">
        <v>27456</v>
      </c>
      <c r="O243" s="81">
        <f>+M243/N243</f>
        <v>6.674278846153846</v>
      </c>
      <c r="P243" s="336">
        <v>1</v>
      </c>
    </row>
    <row r="244" spans="1:16" ht="18">
      <c r="A244" s="91">
        <v>241</v>
      </c>
      <c r="B244" s="56" t="s">
        <v>441</v>
      </c>
      <c r="C244" s="41">
        <v>39416</v>
      </c>
      <c r="D244" s="46" t="s">
        <v>126</v>
      </c>
      <c r="E244" s="46" t="s">
        <v>408</v>
      </c>
      <c r="F244" s="43">
        <v>4</v>
      </c>
      <c r="G244" s="43">
        <v>2</v>
      </c>
      <c r="H244" s="43">
        <v>10</v>
      </c>
      <c r="I244" s="195">
        <v>1215</v>
      </c>
      <c r="J244" s="196">
        <v>279</v>
      </c>
      <c r="K244" s="214">
        <f>J244/G244</f>
        <v>139.5</v>
      </c>
      <c r="L244" s="215">
        <f>I244/J244</f>
        <v>4.354838709677419</v>
      </c>
      <c r="M244" s="199">
        <v>47539</v>
      </c>
      <c r="N244" s="197">
        <v>5617</v>
      </c>
      <c r="O244" s="226">
        <f>+M244/N244</f>
        <v>8.463414634146341</v>
      </c>
      <c r="P244" s="360"/>
    </row>
    <row r="245" spans="1:16" ht="15">
      <c r="A245" s="91">
        <v>242</v>
      </c>
      <c r="B245" s="55" t="s">
        <v>72</v>
      </c>
      <c r="C245" s="41">
        <v>39374</v>
      </c>
      <c r="D245" s="44" t="s">
        <v>256</v>
      </c>
      <c r="E245" s="44" t="s">
        <v>106</v>
      </c>
      <c r="F245" s="63">
        <v>86</v>
      </c>
      <c r="G245" s="63">
        <v>2</v>
      </c>
      <c r="H245" s="63">
        <v>10</v>
      </c>
      <c r="I245" s="200">
        <v>1210</v>
      </c>
      <c r="J245" s="201">
        <v>272</v>
      </c>
      <c r="K245" s="202">
        <f>IF(I245&lt;&gt;0,J245/G245,"")</f>
        <v>136</v>
      </c>
      <c r="L245" s="203">
        <f>IF(I245&lt;&gt;0,I245/J245,"")</f>
        <v>4.448529411764706</v>
      </c>
      <c r="M245" s="204">
        <v>333964</v>
      </c>
      <c r="N245" s="197">
        <v>46724</v>
      </c>
      <c r="O245" s="224">
        <f>IF(M245&lt;&gt;0,M245/N245,"")</f>
        <v>7.147590103587022</v>
      </c>
      <c r="P245" s="336">
        <v>1</v>
      </c>
    </row>
    <row r="246" spans="1:16" ht="15">
      <c r="A246" s="91">
        <v>243</v>
      </c>
      <c r="B246" s="56" t="s">
        <v>398</v>
      </c>
      <c r="C246" s="41">
        <v>39437</v>
      </c>
      <c r="D246" s="46" t="s">
        <v>260</v>
      </c>
      <c r="E246" s="46" t="s">
        <v>413</v>
      </c>
      <c r="F246" s="43">
        <v>49</v>
      </c>
      <c r="G246" s="43">
        <v>1</v>
      </c>
      <c r="H246" s="43">
        <v>17</v>
      </c>
      <c r="I246" s="195">
        <v>1190</v>
      </c>
      <c r="J246" s="196">
        <v>119</v>
      </c>
      <c r="K246" s="214">
        <f>J246/G246</f>
        <v>119</v>
      </c>
      <c r="L246" s="215">
        <f>I246/J246</f>
        <v>10</v>
      </c>
      <c r="M246" s="199">
        <f>265356+150950+36636+752+2313+871+2481+84+743+187+110+488+748+1242+50+240+1190</f>
        <v>464441</v>
      </c>
      <c r="N246" s="197">
        <f>28419+15898+4109+157+424+163+412+14+140+31+21+106+161+211+8+46+119</f>
        <v>50439</v>
      </c>
      <c r="O246" s="226">
        <f>+M246/N246</f>
        <v>9.207973988382006</v>
      </c>
      <c r="P246" s="336">
        <v>1</v>
      </c>
    </row>
    <row r="247" spans="1:16" ht="15">
      <c r="A247" s="91">
        <v>244</v>
      </c>
      <c r="B247" s="56" t="s">
        <v>334</v>
      </c>
      <c r="C247" s="41">
        <v>39395</v>
      </c>
      <c r="D247" s="46" t="s">
        <v>57</v>
      </c>
      <c r="E247" s="46" t="s">
        <v>161</v>
      </c>
      <c r="F247" s="43" t="s">
        <v>411</v>
      </c>
      <c r="G247" s="43" t="s">
        <v>125</v>
      </c>
      <c r="H247" s="43" t="s">
        <v>351</v>
      </c>
      <c r="I247" s="86">
        <v>1188.01</v>
      </c>
      <c r="J247" s="196">
        <v>238</v>
      </c>
      <c r="K247" s="214">
        <f>J247/G247</f>
        <v>238</v>
      </c>
      <c r="L247" s="215">
        <f>I247/J247</f>
        <v>4.991638655462185</v>
      </c>
      <c r="M247" s="136">
        <v>148920.97</v>
      </c>
      <c r="N247" s="197">
        <v>24501</v>
      </c>
      <c r="O247" s="226">
        <f>+M247/N247</f>
        <v>6.078158850659157</v>
      </c>
      <c r="P247" s="336"/>
    </row>
    <row r="248" spans="1:16" ht="15">
      <c r="A248" s="91">
        <v>245</v>
      </c>
      <c r="B248" s="56" t="s">
        <v>253</v>
      </c>
      <c r="C248" s="41">
        <v>39339</v>
      </c>
      <c r="D248" s="46" t="s">
        <v>60</v>
      </c>
      <c r="E248" s="46" t="s">
        <v>254</v>
      </c>
      <c r="F248" s="43">
        <v>79</v>
      </c>
      <c r="G248" s="43">
        <v>1</v>
      </c>
      <c r="H248" s="43">
        <v>23</v>
      </c>
      <c r="I248" s="86">
        <v>1188</v>
      </c>
      <c r="J248" s="95">
        <v>396</v>
      </c>
      <c r="K248" s="144">
        <v>7.333333333333333</v>
      </c>
      <c r="L248" s="145">
        <v>6.363636363636363</v>
      </c>
      <c r="M248" s="136">
        <v>312534</v>
      </c>
      <c r="N248" s="134">
        <v>49509</v>
      </c>
      <c r="O248" s="81">
        <f>M248/N248</f>
        <v>6.312670423559353</v>
      </c>
      <c r="P248" s="336"/>
    </row>
    <row r="249" spans="1:16" ht="15">
      <c r="A249" s="91">
        <v>246</v>
      </c>
      <c r="B249" s="57" t="s">
        <v>73</v>
      </c>
      <c r="C249" s="41">
        <v>39395</v>
      </c>
      <c r="D249" s="47" t="s">
        <v>133</v>
      </c>
      <c r="E249" s="47" t="s">
        <v>74</v>
      </c>
      <c r="F249" s="64" t="s">
        <v>75</v>
      </c>
      <c r="G249" s="64" t="s">
        <v>125</v>
      </c>
      <c r="H249" s="64" t="s">
        <v>410</v>
      </c>
      <c r="I249" s="205">
        <v>1188</v>
      </c>
      <c r="J249" s="206">
        <v>396</v>
      </c>
      <c r="K249" s="214">
        <f>J249/G249</f>
        <v>396</v>
      </c>
      <c r="L249" s="215">
        <f>I249/J249</f>
        <v>3</v>
      </c>
      <c r="M249" s="207">
        <v>271632</v>
      </c>
      <c r="N249" s="208">
        <v>34018</v>
      </c>
      <c r="O249" s="226">
        <f>+M249/N249</f>
        <v>7.984949144570521</v>
      </c>
      <c r="P249" s="336"/>
    </row>
    <row r="250" spans="1:16" ht="15">
      <c r="A250" s="91">
        <v>247</v>
      </c>
      <c r="B250" s="57" t="s">
        <v>314</v>
      </c>
      <c r="C250" s="41">
        <v>39430</v>
      </c>
      <c r="D250" s="47" t="s">
        <v>133</v>
      </c>
      <c r="E250" s="48" t="s">
        <v>216</v>
      </c>
      <c r="F250" s="64" t="s">
        <v>315</v>
      </c>
      <c r="G250" s="64" t="s">
        <v>125</v>
      </c>
      <c r="H250" s="64" t="s">
        <v>212</v>
      </c>
      <c r="I250" s="205">
        <v>1188</v>
      </c>
      <c r="J250" s="206">
        <v>396</v>
      </c>
      <c r="K250" s="214">
        <f>J250/G250</f>
        <v>396</v>
      </c>
      <c r="L250" s="145">
        <f>I250/J250</f>
        <v>3</v>
      </c>
      <c r="M250" s="207">
        <v>1230127.44</v>
      </c>
      <c r="N250" s="208">
        <v>157338</v>
      </c>
      <c r="O250" s="81">
        <f>+M250/N250</f>
        <v>7.818374709224726</v>
      </c>
      <c r="P250" s="336"/>
    </row>
    <row r="251" spans="1:16" ht="15">
      <c r="A251" s="91">
        <v>248</v>
      </c>
      <c r="B251" s="56" t="s">
        <v>233</v>
      </c>
      <c r="C251" s="41">
        <v>37337</v>
      </c>
      <c r="D251" s="46" t="s">
        <v>234</v>
      </c>
      <c r="E251" s="46" t="s">
        <v>235</v>
      </c>
      <c r="F251" s="43">
        <v>13</v>
      </c>
      <c r="G251" s="43">
        <v>1</v>
      </c>
      <c r="H251" s="43">
        <v>50</v>
      </c>
      <c r="I251" s="195">
        <v>1188</v>
      </c>
      <c r="J251" s="196">
        <v>297</v>
      </c>
      <c r="K251" s="214">
        <f>J251/G251</f>
        <v>297</v>
      </c>
      <c r="L251" s="215">
        <f>I251/J251</f>
        <v>4</v>
      </c>
      <c r="M251" s="199">
        <v>227148</v>
      </c>
      <c r="N251" s="197">
        <v>55543</v>
      </c>
      <c r="O251" s="226">
        <f>+M251/N251</f>
        <v>4.089588246943809</v>
      </c>
      <c r="P251" s="336"/>
    </row>
    <row r="252" spans="1:16" ht="15">
      <c r="A252" s="91">
        <v>249</v>
      </c>
      <c r="B252" s="57" t="s">
        <v>220</v>
      </c>
      <c r="C252" s="42">
        <v>39444</v>
      </c>
      <c r="D252" s="47" t="s">
        <v>126</v>
      </c>
      <c r="E252" s="47" t="s">
        <v>210</v>
      </c>
      <c r="F252" s="88">
        <v>25</v>
      </c>
      <c r="G252" s="89">
        <v>23</v>
      </c>
      <c r="H252" s="88">
        <v>2</v>
      </c>
      <c r="I252" s="205">
        <v>1188</v>
      </c>
      <c r="J252" s="206">
        <v>297</v>
      </c>
      <c r="K252" s="214">
        <f>J252/G252</f>
        <v>12.91304347826087</v>
      </c>
      <c r="L252" s="215">
        <f>I252/J252</f>
        <v>4</v>
      </c>
      <c r="M252" s="207">
        <v>256575.75</v>
      </c>
      <c r="N252" s="208">
        <v>25827</v>
      </c>
      <c r="O252" s="226">
        <f>+M252/N252</f>
        <v>9.934400046463004</v>
      </c>
      <c r="P252" s="336"/>
    </row>
    <row r="253" spans="1:16" ht="15">
      <c r="A253" s="91">
        <v>250</v>
      </c>
      <c r="B253" s="56" t="s">
        <v>238</v>
      </c>
      <c r="C253" s="41">
        <v>38800</v>
      </c>
      <c r="D253" s="46" t="s">
        <v>256</v>
      </c>
      <c r="E253" s="46" t="s">
        <v>106</v>
      </c>
      <c r="F253" s="43">
        <v>58</v>
      </c>
      <c r="G253" s="43">
        <v>1</v>
      </c>
      <c r="H253" s="43">
        <v>34</v>
      </c>
      <c r="I253" s="195">
        <v>1188</v>
      </c>
      <c r="J253" s="196">
        <v>238</v>
      </c>
      <c r="K253" s="214">
        <f>IF(I253&lt;&gt;0,J253/G253,"")</f>
        <v>238</v>
      </c>
      <c r="L253" s="215">
        <f>IF(I253&lt;&gt;0,I253/J253,"")</f>
        <v>4.991596638655462</v>
      </c>
      <c r="M253" s="199">
        <f>881739.4+0+1188</f>
        <v>882927.4</v>
      </c>
      <c r="N253" s="197">
        <f>135272+0+238</f>
        <v>135510</v>
      </c>
      <c r="O253" s="226">
        <f>IF(M253&lt;&gt;0,M253/N253,"")</f>
        <v>6.515588517452587</v>
      </c>
      <c r="P253" s="336">
        <v>1</v>
      </c>
    </row>
    <row r="254" spans="1:16" ht="15">
      <c r="A254" s="91">
        <v>251</v>
      </c>
      <c r="B254" s="55" t="s">
        <v>8</v>
      </c>
      <c r="C254" s="41">
        <v>39038</v>
      </c>
      <c r="D254" s="44" t="s">
        <v>256</v>
      </c>
      <c r="E254" s="44" t="s">
        <v>9</v>
      </c>
      <c r="F254" s="63">
        <v>109</v>
      </c>
      <c r="G254" s="63">
        <v>1</v>
      </c>
      <c r="H254" s="63">
        <v>19</v>
      </c>
      <c r="I254" s="200">
        <v>1188</v>
      </c>
      <c r="J254" s="201">
        <v>238</v>
      </c>
      <c r="K254" s="214">
        <f>J254/G254</f>
        <v>238</v>
      </c>
      <c r="L254" s="215">
        <f>I254/J254</f>
        <v>4.991596638655462</v>
      </c>
      <c r="M254" s="204">
        <f>2001303+0</f>
        <v>2001303</v>
      </c>
      <c r="N254" s="197">
        <f>267549+0</f>
        <v>267549</v>
      </c>
      <c r="O254" s="224">
        <f>IF(M254&lt;&gt;0,M254/N254,"")</f>
        <v>7.480136348855724</v>
      </c>
      <c r="P254" s="336">
        <v>1</v>
      </c>
    </row>
    <row r="255" spans="1:16" ht="15">
      <c r="A255" s="91">
        <v>252</v>
      </c>
      <c r="B255" s="55" t="s">
        <v>10</v>
      </c>
      <c r="C255" s="41">
        <v>39073</v>
      </c>
      <c r="D255" s="44" t="s">
        <v>256</v>
      </c>
      <c r="E255" s="44" t="s">
        <v>11</v>
      </c>
      <c r="F255" s="63">
        <v>112</v>
      </c>
      <c r="G255" s="63">
        <v>1</v>
      </c>
      <c r="H255" s="63">
        <v>28</v>
      </c>
      <c r="I255" s="200">
        <v>1188</v>
      </c>
      <c r="J255" s="201">
        <v>238</v>
      </c>
      <c r="K255" s="214">
        <f>J255/G255</f>
        <v>238</v>
      </c>
      <c r="L255" s="215">
        <f>I255/J255</f>
        <v>4.991596638655462</v>
      </c>
      <c r="M255" s="204">
        <f>2775675+0</f>
        <v>2775675</v>
      </c>
      <c r="N255" s="197">
        <f>383155+0</f>
        <v>383155</v>
      </c>
      <c r="O255" s="224">
        <f>IF(M255&lt;&gt;0,M255/N255,"")</f>
        <v>7.2442614607665305</v>
      </c>
      <c r="P255" s="336">
        <v>1</v>
      </c>
    </row>
    <row r="256" spans="1:16" ht="15">
      <c r="A256" s="91">
        <v>253</v>
      </c>
      <c r="B256" s="56" t="s">
        <v>236</v>
      </c>
      <c r="C256" s="41">
        <v>39129</v>
      </c>
      <c r="D256" s="46" t="s">
        <v>256</v>
      </c>
      <c r="E256" s="46" t="s">
        <v>237</v>
      </c>
      <c r="F256" s="43">
        <v>113</v>
      </c>
      <c r="G256" s="43">
        <v>1</v>
      </c>
      <c r="H256" s="43">
        <v>19</v>
      </c>
      <c r="I256" s="195">
        <v>1188</v>
      </c>
      <c r="J256" s="196">
        <v>238</v>
      </c>
      <c r="K256" s="214">
        <f>IF(I256&lt;&gt;0,J256/G256,"")</f>
        <v>238</v>
      </c>
      <c r="L256" s="215">
        <f>IF(I256&lt;&gt;0,I256/J256,"")</f>
        <v>4.991596638655462</v>
      </c>
      <c r="M256" s="199">
        <f>1551334+0+1188</f>
        <v>1552522</v>
      </c>
      <c r="N256" s="197">
        <f>207370+0+238</f>
        <v>207608</v>
      </c>
      <c r="O256" s="226">
        <f>IF(M256&lt;&gt;0,M256/N256,"")</f>
        <v>7.478141497437479</v>
      </c>
      <c r="P256" s="336"/>
    </row>
    <row r="257" spans="1:16" ht="15">
      <c r="A257" s="91">
        <v>254</v>
      </c>
      <c r="B257" s="56" t="s">
        <v>191</v>
      </c>
      <c r="C257" s="41">
        <v>39297</v>
      </c>
      <c r="D257" s="339" t="s">
        <v>57</v>
      </c>
      <c r="E257" s="339" t="s">
        <v>412</v>
      </c>
      <c r="F257" s="43" t="s">
        <v>129</v>
      </c>
      <c r="G257" s="43" t="s">
        <v>125</v>
      </c>
      <c r="H257" s="43" t="s">
        <v>354</v>
      </c>
      <c r="I257" s="195">
        <v>1188</v>
      </c>
      <c r="J257" s="196">
        <v>238</v>
      </c>
      <c r="K257" s="214">
        <f>J257/G257</f>
        <v>238</v>
      </c>
      <c r="L257" s="215">
        <f>I257/J257</f>
        <v>4.991596638655462</v>
      </c>
      <c r="M257" s="199">
        <v>173713.57</v>
      </c>
      <c r="N257" s="197">
        <v>17720</v>
      </c>
      <c r="O257" s="226">
        <f>+M257/N257</f>
        <v>9.803248871331828</v>
      </c>
      <c r="P257" s="251"/>
    </row>
    <row r="258" spans="1:16" ht="15">
      <c r="A258" s="91">
        <v>255</v>
      </c>
      <c r="B258" s="57" t="s">
        <v>334</v>
      </c>
      <c r="C258" s="41">
        <v>39395</v>
      </c>
      <c r="D258" s="47" t="s">
        <v>57</v>
      </c>
      <c r="E258" s="47" t="s">
        <v>161</v>
      </c>
      <c r="F258" s="64" t="s">
        <v>411</v>
      </c>
      <c r="G258" s="64" t="s">
        <v>125</v>
      </c>
      <c r="H258" s="64" t="s">
        <v>162</v>
      </c>
      <c r="I258" s="205">
        <v>1187.99</v>
      </c>
      <c r="J258" s="206">
        <v>238</v>
      </c>
      <c r="K258" s="214">
        <f>J258/G258</f>
        <v>238</v>
      </c>
      <c r="L258" s="215">
        <f>I258/J258</f>
        <v>4.991554621848739</v>
      </c>
      <c r="M258" s="207">
        <v>140618.16</v>
      </c>
      <c r="N258" s="208">
        <v>22867</v>
      </c>
      <c r="O258" s="226">
        <f>+M258/N258</f>
        <v>6.149392574452268</v>
      </c>
      <c r="P258" s="336">
        <v>1</v>
      </c>
    </row>
    <row r="259" spans="1:16" ht="15">
      <c r="A259" s="91">
        <v>256</v>
      </c>
      <c r="B259" s="56" t="s">
        <v>352</v>
      </c>
      <c r="C259" s="41">
        <v>39409</v>
      </c>
      <c r="D259" s="46" t="s">
        <v>267</v>
      </c>
      <c r="E259" s="46" t="s">
        <v>127</v>
      </c>
      <c r="F259" s="43">
        <v>13</v>
      </c>
      <c r="G259" s="43">
        <v>1</v>
      </c>
      <c r="H259" s="43">
        <v>9</v>
      </c>
      <c r="I259" s="195">
        <v>1186</v>
      </c>
      <c r="J259" s="196">
        <v>237</v>
      </c>
      <c r="K259" s="214">
        <f>J259/G259</f>
        <v>237</v>
      </c>
      <c r="L259" s="215">
        <f>I259/J259</f>
        <v>5.0042194092827</v>
      </c>
      <c r="M259" s="199">
        <v>56636</v>
      </c>
      <c r="N259" s="197">
        <v>6123</v>
      </c>
      <c r="O259" s="226">
        <f>+M259/N259</f>
        <v>9.249714192389352</v>
      </c>
      <c r="P259" s="336">
        <v>1</v>
      </c>
    </row>
    <row r="260" spans="1:16" ht="15">
      <c r="A260" s="91">
        <v>257</v>
      </c>
      <c r="B260" s="56" t="s">
        <v>287</v>
      </c>
      <c r="C260" s="41">
        <v>39388</v>
      </c>
      <c r="D260" s="46" t="s">
        <v>260</v>
      </c>
      <c r="E260" s="46" t="s">
        <v>265</v>
      </c>
      <c r="F260" s="43">
        <v>4</v>
      </c>
      <c r="G260" s="43">
        <v>1</v>
      </c>
      <c r="H260" s="43">
        <v>5</v>
      </c>
      <c r="I260" s="195">
        <v>1181</v>
      </c>
      <c r="J260" s="196">
        <v>210</v>
      </c>
      <c r="K260" s="214">
        <f>J260/G260</f>
        <v>210</v>
      </c>
      <c r="L260" s="215">
        <f>I260/J260</f>
        <v>5.623809523809523</v>
      </c>
      <c r="M260" s="199">
        <f>2870+17781+10585+2582+1127+468+1181</f>
        <v>36594</v>
      </c>
      <c r="N260" s="197">
        <f>287+1390+821+373+155+85+210</f>
        <v>3321</v>
      </c>
      <c r="O260" s="226">
        <f>+M260/N260</f>
        <v>11.018970189701896</v>
      </c>
      <c r="P260" s="336"/>
    </row>
    <row r="261" spans="1:16" ht="15">
      <c r="A261" s="91">
        <v>258</v>
      </c>
      <c r="B261" s="56" t="s">
        <v>46</v>
      </c>
      <c r="C261" s="41">
        <v>39087</v>
      </c>
      <c r="D261" s="46" t="s">
        <v>260</v>
      </c>
      <c r="E261" s="46" t="s">
        <v>265</v>
      </c>
      <c r="F261" s="43">
        <v>80</v>
      </c>
      <c r="G261" s="43">
        <v>2</v>
      </c>
      <c r="H261" s="43">
        <v>35</v>
      </c>
      <c r="I261" s="86">
        <v>1181</v>
      </c>
      <c r="J261" s="95">
        <v>121</v>
      </c>
      <c r="K261" s="144">
        <f>J261/G261</f>
        <v>60.5</v>
      </c>
      <c r="L261" s="145">
        <f>I261/J261</f>
        <v>9.760330578512397</v>
      </c>
      <c r="M261" s="136">
        <f>1367+686114+384405+247619+146119+85619+63759-1+18934+11869+10791+11315+6907+8812+6730+2628+1465+749+1063+756+276+1198+612+510+45+1062+592+1782+205+893+893+2490+691+2542+60+12+1977+1181</f>
        <v>1714041</v>
      </c>
      <c r="N261" s="134">
        <f>80773+116+46317+29887+17891+10484+7685+2801+1917+1334+1333+755+1517+932+417+307+136+369+126+23+122+85+45+5+126+49+510+33+296+296+415+68+356+20+4+312+121</f>
        <v>207983</v>
      </c>
      <c r="O261" s="81">
        <f>+M261/N261</f>
        <v>8.24125529490391</v>
      </c>
      <c r="P261" s="336"/>
    </row>
    <row r="262" spans="1:16" ht="15">
      <c r="A262" s="91">
        <v>259</v>
      </c>
      <c r="B262" s="56" t="s">
        <v>310</v>
      </c>
      <c r="C262" s="41">
        <v>39423</v>
      </c>
      <c r="D262" s="339" t="s">
        <v>256</v>
      </c>
      <c r="E262" s="339" t="s">
        <v>251</v>
      </c>
      <c r="F262" s="43">
        <v>164</v>
      </c>
      <c r="G262" s="43">
        <v>1</v>
      </c>
      <c r="H262" s="43">
        <v>17</v>
      </c>
      <c r="I262" s="195">
        <v>1125</v>
      </c>
      <c r="J262" s="196">
        <v>410</v>
      </c>
      <c r="K262" s="214">
        <f>IF(I262&lt;&gt;0,J262/G262,"")</f>
        <v>410</v>
      </c>
      <c r="L262" s="215">
        <f>IF(I262&lt;&gt;0,I262/J262,"")</f>
        <v>2.7439024390243905</v>
      </c>
      <c r="M262" s="199">
        <f>1455428+896564.5+785700+295594.5+45815.5+11311.5+13282+11389+10839+9534+2826+2532+168+361+11641+1248+1125</f>
        <v>3555359</v>
      </c>
      <c r="N262" s="197">
        <f>172176+105411+97548+39201+8243+2114+2845+2112+2384+1888+598+623+42+63+2323+454+410</f>
        <v>438435</v>
      </c>
      <c r="O262" s="226">
        <f>IF(M262&lt;&gt;0,M262/N262,"")</f>
        <v>8.10920432903395</v>
      </c>
      <c r="P262" s="336">
        <v>1</v>
      </c>
    </row>
    <row r="263" spans="1:16" ht="15">
      <c r="A263" s="91">
        <v>260</v>
      </c>
      <c r="B263" s="56" t="s">
        <v>225</v>
      </c>
      <c r="C263" s="41">
        <v>39437</v>
      </c>
      <c r="D263" s="46" t="s">
        <v>126</v>
      </c>
      <c r="E263" s="46" t="s">
        <v>250</v>
      </c>
      <c r="F263" s="43">
        <v>7</v>
      </c>
      <c r="G263" s="43">
        <v>4</v>
      </c>
      <c r="H263" s="43">
        <v>13</v>
      </c>
      <c r="I263" s="136">
        <v>1118</v>
      </c>
      <c r="J263" s="134">
        <v>217</v>
      </c>
      <c r="K263" s="144">
        <f>J263/G263</f>
        <v>54.25</v>
      </c>
      <c r="L263" s="145">
        <f>I263/J263</f>
        <v>5.152073732718894</v>
      </c>
      <c r="M263" s="136">
        <v>49918.7</v>
      </c>
      <c r="N263" s="134">
        <v>6951</v>
      </c>
      <c r="O263" s="81">
        <f>+M263/N263</f>
        <v>7.181513451301971</v>
      </c>
      <c r="P263" s="336"/>
    </row>
    <row r="264" spans="1:16" ht="15">
      <c r="A264" s="91">
        <v>261</v>
      </c>
      <c r="B264" s="56" t="s">
        <v>307</v>
      </c>
      <c r="C264" s="42">
        <v>39423</v>
      </c>
      <c r="D264" s="46" t="s">
        <v>262</v>
      </c>
      <c r="E264" s="46" t="s">
        <v>263</v>
      </c>
      <c r="F264" s="43">
        <v>40</v>
      </c>
      <c r="G264" s="43">
        <v>2</v>
      </c>
      <c r="H264" s="43">
        <v>8</v>
      </c>
      <c r="I264" s="195">
        <v>1105</v>
      </c>
      <c r="J264" s="196">
        <v>221</v>
      </c>
      <c r="K264" s="214">
        <f>J264/G264</f>
        <v>110.5</v>
      </c>
      <c r="L264" s="215">
        <f>I264/J264</f>
        <v>5</v>
      </c>
      <c r="M264" s="199">
        <f>337397.5+246059+95618.5+43492.5+31631.5+2705+4609+1105</f>
        <v>762618</v>
      </c>
      <c r="N264" s="197">
        <f>35596+24953+11024+7059+5745+543+908+221</f>
        <v>86049</v>
      </c>
      <c r="O264" s="225">
        <f>M264/N264</f>
        <v>8.862601540982464</v>
      </c>
      <c r="P264" s="336"/>
    </row>
    <row r="265" spans="1:16" ht="15">
      <c r="A265" s="91">
        <v>262</v>
      </c>
      <c r="B265" s="57" t="s">
        <v>163</v>
      </c>
      <c r="C265" s="42">
        <v>39381</v>
      </c>
      <c r="D265" s="47" t="s">
        <v>126</v>
      </c>
      <c r="E265" s="47" t="s">
        <v>250</v>
      </c>
      <c r="F265" s="88">
        <v>2</v>
      </c>
      <c r="G265" s="89">
        <v>1</v>
      </c>
      <c r="H265" s="88">
        <v>10</v>
      </c>
      <c r="I265" s="205">
        <v>1080</v>
      </c>
      <c r="J265" s="206">
        <v>216</v>
      </c>
      <c r="K265" s="214">
        <f>J265/G265</f>
        <v>216</v>
      </c>
      <c r="L265" s="215">
        <f>I265/J265</f>
        <v>5</v>
      </c>
      <c r="M265" s="207">
        <v>36278.5</v>
      </c>
      <c r="N265" s="208">
        <v>5687</v>
      </c>
      <c r="O265" s="226">
        <f>+M265/N265</f>
        <v>6.379198171267804</v>
      </c>
      <c r="P265" s="250">
        <v>1</v>
      </c>
    </row>
    <row r="266" spans="1:16" ht="15">
      <c r="A266" s="91">
        <v>263</v>
      </c>
      <c r="B266" s="57" t="s">
        <v>334</v>
      </c>
      <c r="C266" s="41">
        <v>39395</v>
      </c>
      <c r="D266" s="47" t="s">
        <v>57</v>
      </c>
      <c r="E266" s="47" t="s">
        <v>219</v>
      </c>
      <c r="F266" s="64" t="s">
        <v>411</v>
      </c>
      <c r="G266" s="64" t="s">
        <v>125</v>
      </c>
      <c r="H266" s="64" t="s">
        <v>131</v>
      </c>
      <c r="I266" s="205">
        <v>1069.19</v>
      </c>
      <c r="J266" s="206">
        <v>217</v>
      </c>
      <c r="K266" s="214">
        <f>J266/G266</f>
        <v>217</v>
      </c>
      <c r="L266" s="215">
        <f>I266/J266</f>
        <v>4.927142857142857</v>
      </c>
      <c r="M266" s="207">
        <v>139430.17</v>
      </c>
      <c r="N266" s="208">
        <v>22629</v>
      </c>
      <c r="O266" s="226">
        <f>+M266/N266</f>
        <v>6.161570109151974</v>
      </c>
      <c r="P266" s="336"/>
    </row>
    <row r="267" spans="1:16" ht="15">
      <c r="A267" s="91">
        <v>264</v>
      </c>
      <c r="B267" s="57" t="s">
        <v>211</v>
      </c>
      <c r="C267" s="42">
        <v>39409</v>
      </c>
      <c r="D267" s="47" t="s">
        <v>126</v>
      </c>
      <c r="E267" s="47" t="s">
        <v>250</v>
      </c>
      <c r="F267" s="88">
        <v>1</v>
      </c>
      <c r="G267" s="89">
        <v>1</v>
      </c>
      <c r="H267" s="88">
        <v>4</v>
      </c>
      <c r="I267" s="205">
        <v>1069</v>
      </c>
      <c r="J267" s="206">
        <v>267</v>
      </c>
      <c r="K267" s="214">
        <f>J267/G267</f>
        <v>267</v>
      </c>
      <c r="L267" s="215">
        <f>I267/J267</f>
        <v>4.00374531835206</v>
      </c>
      <c r="M267" s="207">
        <v>23569.2</v>
      </c>
      <c r="N267" s="208">
        <v>3396</v>
      </c>
      <c r="O267" s="226">
        <f>+M267/N267</f>
        <v>6.940282685512368</v>
      </c>
      <c r="P267" s="250">
        <v>1</v>
      </c>
    </row>
    <row r="268" spans="1:16" ht="15">
      <c r="A268" s="91">
        <v>265</v>
      </c>
      <c r="B268" s="56" t="s">
        <v>336</v>
      </c>
      <c r="C268" s="41">
        <v>39402</v>
      </c>
      <c r="D268" s="46" t="s">
        <v>256</v>
      </c>
      <c r="E268" s="46" t="s">
        <v>337</v>
      </c>
      <c r="F268" s="43">
        <v>165</v>
      </c>
      <c r="G268" s="43">
        <v>3</v>
      </c>
      <c r="H268" s="43">
        <v>19</v>
      </c>
      <c r="I268" s="195">
        <v>1068</v>
      </c>
      <c r="J268" s="196">
        <v>334</v>
      </c>
      <c r="K268" s="214">
        <f>IF(I268&lt;&gt;0,J268/G268,"")</f>
        <v>111.33333333333333</v>
      </c>
      <c r="L268" s="215">
        <f>IF(I268&lt;&gt;0,I268/J268,"")</f>
        <v>3.197604790419162</v>
      </c>
      <c r="M268" s="199">
        <f>12736195.5+635116+336718.5+243017+121597.5+87378+27897.5+22169+10074+11918+6458+34768+1068</f>
        <v>14274375</v>
      </c>
      <c r="N268" s="197">
        <f>271934+322135+339926+262189+150199+208899+146862+92002+47008+33955+17959+14849+4943+4284+1914+2027+1272+7140+334</f>
        <v>1929831</v>
      </c>
      <c r="O268" s="226">
        <f>IF(M268&lt;&gt;0,M268/N268,"")</f>
        <v>7.396696912838482</v>
      </c>
      <c r="P268" s="336"/>
    </row>
    <row r="269" spans="1:16" ht="15">
      <c r="A269" s="91">
        <v>266</v>
      </c>
      <c r="B269" s="56" t="s">
        <v>394</v>
      </c>
      <c r="C269" s="41">
        <v>39381</v>
      </c>
      <c r="D269" s="46" t="s">
        <v>126</v>
      </c>
      <c r="E269" s="46" t="s">
        <v>250</v>
      </c>
      <c r="F269" s="43">
        <v>2</v>
      </c>
      <c r="G269" s="43">
        <v>1</v>
      </c>
      <c r="H269" s="43">
        <v>11</v>
      </c>
      <c r="I269" s="195">
        <v>1068</v>
      </c>
      <c r="J269" s="196">
        <v>132</v>
      </c>
      <c r="K269" s="214">
        <f>J269/G269</f>
        <v>132</v>
      </c>
      <c r="L269" s="215">
        <f>I269/J269</f>
        <v>8.090909090909092</v>
      </c>
      <c r="M269" s="199">
        <v>37346.5</v>
      </c>
      <c r="N269" s="197">
        <v>5819</v>
      </c>
      <c r="O269" s="226">
        <f>M269/N269</f>
        <v>6.418027152431689</v>
      </c>
      <c r="P269" s="336"/>
    </row>
    <row r="270" spans="1:16" ht="15">
      <c r="A270" s="91">
        <v>267</v>
      </c>
      <c r="B270" s="56" t="s">
        <v>316</v>
      </c>
      <c r="C270" s="41">
        <v>39430</v>
      </c>
      <c r="D270" s="46" t="s">
        <v>262</v>
      </c>
      <c r="E270" s="46" t="s">
        <v>263</v>
      </c>
      <c r="F270" s="43">
        <v>64</v>
      </c>
      <c r="G270" s="43">
        <v>2</v>
      </c>
      <c r="H270" s="43">
        <v>15</v>
      </c>
      <c r="I270" s="195">
        <v>1060</v>
      </c>
      <c r="J270" s="196">
        <v>192</v>
      </c>
      <c r="K270" s="214">
        <f>+J270/G270</f>
        <v>96</v>
      </c>
      <c r="L270" s="215">
        <f>+I270/J270</f>
        <v>5.520833333333333</v>
      </c>
      <c r="M270" s="199">
        <f>183581+192120.5+67824+23763.5+5798.5+5467+22027+14042+2947+442+3097+2408.5+78+12+1060</f>
        <v>524668</v>
      </c>
      <c r="N270" s="197">
        <f>20071+21989+8620+4128+850+1010+3719+2499+595+78+775+602+26+4+192</f>
        <v>65158</v>
      </c>
      <c r="O270" s="226">
        <f>+M270/N270</f>
        <v>8.052242241934989</v>
      </c>
      <c r="P270" s="336"/>
    </row>
    <row r="271" spans="1:16" ht="15">
      <c r="A271" s="91">
        <v>268</v>
      </c>
      <c r="B271" s="56" t="s">
        <v>443</v>
      </c>
      <c r="C271" s="41">
        <v>39409</v>
      </c>
      <c r="D271" s="46" t="s">
        <v>260</v>
      </c>
      <c r="E271" s="46" t="s">
        <v>50</v>
      </c>
      <c r="F271" s="43">
        <v>69</v>
      </c>
      <c r="G271" s="43">
        <v>1</v>
      </c>
      <c r="H271" s="43">
        <v>15</v>
      </c>
      <c r="I271" s="136">
        <v>1049</v>
      </c>
      <c r="J271" s="134">
        <v>134</v>
      </c>
      <c r="K271" s="144">
        <f>J271/G271</f>
        <v>134</v>
      </c>
      <c r="L271" s="145">
        <f>I271/J271</f>
        <v>7.8283582089552235</v>
      </c>
      <c r="M271" s="136">
        <f>387069+277494+166747+4993+4045+7291+3613+313+916+831+3535+1708+1865+1824+1049</f>
        <v>863293</v>
      </c>
      <c r="N271" s="134">
        <f>37017+27892+17708+698+855+1523+696+56+479+146+552+282+308+387+134</f>
        <v>88733</v>
      </c>
      <c r="O271" s="81">
        <f>+M271/N271</f>
        <v>9.729108674337619</v>
      </c>
      <c r="P271" s="336"/>
    </row>
    <row r="272" spans="1:16" ht="15">
      <c r="A272" s="91">
        <v>269</v>
      </c>
      <c r="B272" s="55" t="s">
        <v>332</v>
      </c>
      <c r="C272" s="41">
        <v>39395</v>
      </c>
      <c r="D272" s="45" t="s">
        <v>260</v>
      </c>
      <c r="E272" s="44" t="s">
        <v>265</v>
      </c>
      <c r="F272" s="63">
        <v>56</v>
      </c>
      <c r="G272" s="63">
        <v>1</v>
      </c>
      <c r="H272" s="63">
        <v>8</v>
      </c>
      <c r="I272" s="205">
        <v>1039</v>
      </c>
      <c r="J272" s="206">
        <v>158</v>
      </c>
      <c r="K272" s="214">
        <f>J272/G272</f>
        <v>158</v>
      </c>
      <c r="L272" s="215">
        <f>I272/J272</f>
        <v>6.575949367088608</v>
      </c>
      <c r="M272" s="207">
        <f>1295+255300+147780+51761+8278+8834+918+1598+1039</f>
        <v>476803</v>
      </c>
      <c r="N272" s="208">
        <f>119+28097+15891+6021+1461+2448+162+667+158</f>
        <v>55024</v>
      </c>
      <c r="O272" s="226">
        <f>+M272/N272</f>
        <v>8.665364204710672</v>
      </c>
      <c r="P272" s="336">
        <v>1</v>
      </c>
    </row>
    <row r="273" spans="1:16" ht="15">
      <c r="A273" s="91">
        <v>270</v>
      </c>
      <c r="B273" s="56" t="s">
        <v>323</v>
      </c>
      <c r="C273" s="41">
        <v>39437</v>
      </c>
      <c r="D273" s="46" t="s">
        <v>262</v>
      </c>
      <c r="E273" s="46" t="s">
        <v>324</v>
      </c>
      <c r="F273" s="63">
        <v>156</v>
      </c>
      <c r="G273" s="43">
        <v>2</v>
      </c>
      <c r="H273" s="43">
        <v>17</v>
      </c>
      <c r="I273" s="136">
        <v>1032</v>
      </c>
      <c r="J273" s="134">
        <v>200</v>
      </c>
      <c r="K273" s="144">
        <f>J273/G273</f>
        <v>100</v>
      </c>
      <c r="L273" s="145">
        <f>I273/J273</f>
        <v>5.16</v>
      </c>
      <c r="M273" s="136">
        <f>1780127+1212579.5+721829.5+404706.5+230406+56484.5+45824+18497.5+10529+9795.5+1455+3484+1447+391+3673+4075.5+1032</f>
        <v>4506336.5</v>
      </c>
      <c r="N273" s="134">
        <f>240776+165120+97288+55998+35394+10296+9476+3143+2091+2258+337+991+436+98+918+697+200</f>
        <v>625517</v>
      </c>
      <c r="O273" s="81">
        <f>+M273/N273</f>
        <v>7.20417910304596</v>
      </c>
      <c r="P273" s="336"/>
    </row>
    <row r="274" spans="1:16" ht="15">
      <c r="A274" s="91">
        <v>271</v>
      </c>
      <c r="B274" s="56" t="s">
        <v>385</v>
      </c>
      <c r="C274" s="41">
        <v>38821</v>
      </c>
      <c r="D274" s="46" t="s">
        <v>262</v>
      </c>
      <c r="E274" s="46" t="s">
        <v>263</v>
      </c>
      <c r="F274" s="43">
        <v>118</v>
      </c>
      <c r="G274" s="43">
        <v>1</v>
      </c>
      <c r="H274" s="43">
        <v>41</v>
      </c>
      <c r="I274" s="86">
        <v>1017</v>
      </c>
      <c r="J274" s="95">
        <v>339</v>
      </c>
      <c r="K274" s="144">
        <f>IF(I274&lt;&gt;0,J274/G274,"")</f>
        <v>339</v>
      </c>
      <c r="L274" s="145">
        <f>IF(I274&lt;&gt;0,I274/J274,"")</f>
        <v>3</v>
      </c>
      <c r="M274" s="136">
        <f>1908861+1583540+976953.5+606582.5+358386.5+257458.5+154619+107195+70567+37968.5+18157.5+11925.5+12529.5+11442+10137.5+11279.5+11047+23092+6089.5+13588+1331+1245+48+90+312+4271+1314+128+1008+10+610+1572+5035-409+4651.5+3349+2013.5+2852+91+2409+1017</f>
        <v>6224367.5</v>
      </c>
      <c r="N274" s="134">
        <f>267837+226672+141343+93283+56706+48660+34140+24736+15604+6640+3341+2116+2223+1865+2002+2375+2554+5432+1329+3323+245+218+8+15+52+1073+314+16+252+116+261+1007-77+884+645+503+712+13+603+339</f>
        <v>949380</v>
      </c>
      <c r="O274" s="81">
        <f>IF(M274&lt;&gt;0,M274/N274,"")</f>
        <v>6.556244601740083</v>
      </c>
      <c r="P274" s="336"/>
    </row>
    <row r="275" spans="1:16" ht="15">
      <c r="A275" s="91">
        <v>272</v>
      </c>
      <c r="B275" s="56" t="s">
        <v>169</v>
      </c>
      <c r="C275" s="42">
        <v>39444</v>
      </c>
      <c r="D275" s="46" t="s">
        <v>262</v>
      </c>
      <c r="E275" s="46" t="s">
        <v>218</v>
      </c>
      <c r="F275" s="63">
        <v>10</v>
      </c>
      <c r="G275" s="43">
        <v>3</v>
      </c>
      <c r="H275" s="43">
        <v>3</v>
      </c>
      <c r="I275" s="195">
        <v>1013.5</v>
      </c>
      <c r="J275" s="196">
        <v>157</v>
      </c>
      <c r="K275" s="214">
        <f aca="true" t="shared" si="21" ref="K275:K291">J275/G275</f>
        <v>52.333333333333336</v>
      </c>
      <c r="L275" s="215">
        <f>I275/J275</f>
        <v>6.455414012738854</v>
      </c>
      <c r="M275" s="199">
        <f>8804+1895+1013.5</f>
        <v>11712.5</v>
      </c>
      <c r="N275" s="197">
        <f>970+200+157</f>
        <v>1327</v>
      </c>
      <c r="O275" s="225">
        <f>M275/N275</f>
        <v>8.82629992464205</v>
      </c>
      <c r="P275" s="336"/>
    </row>
    <row r="276" spans="1:16" ht="15">
      <c r="A276" s="91">
        <v>273</v>
      </c>
      <c r="B276" s="77" t="s">
        <v>438</v>
      </c>
      <c r="C276" s="61">
        <v>39416</v>
      </c>
      <c r="D276" s="80" t="s">
        <v>60</v>
      </c>
      <c r="E276" s="80" t="s">
        <v>254</v>
      </c>
      <c r="F276" s="78">
        <v>45</v>
      </c>
      <c r="G276" s="79">
        <v>3</v>
      </c>
      <c r="H276" s="79">
        <v>13</v>
      </c>
      <c r="I276" s="209">
        <v>1009.5</v>
      </c>
      <c r="J276" s="210">
        <v>333</v>
      </c>
      <c r="K276" s="214">
        <f t="shared" si="21"/>
        <v>111</v>
      </c>
      <c r="L276" s="215">
        <f>I276/J276</f>
        <v>3.0315315315315314</v>
      </c>
      <c r="M276" s="213">
        <v>184258.5</v>
      </c>
      <c r="N276" s="222">
        <v>27789</v>
      </c>
      <c r="O276" s="226">
        <f>+M276/N276</f>
        <v>6.630627226600454</v>
      </c>
      <c r="P276" s="336">
        <v>1</v>
      </c>
    </row>
    <row r="277" spans="1:16" ht="15">
      <c r="A277" s="91">
        <v>274</v>
      </c>
      <c r="B277" s="56" t="s">
        <v>316</v>
      </c>
      <c r="C277" s="42">
        <v>39430</v>
      </c>
      <c r="D277" s="46" t="s">
        <v>262</v>
      </c>
      <c r="E277" s="46" t="s">
        <v>263</v>
      </c>
      <c r="F277" s="270">
        <v>64</v>
      </c>
      <c r="G277" s="43">
        <v>1</v>
      </c>
      <c r="H277" s="43">
        <v>11</v>
      </c>
      <c r="I277" s="195">
        <v>995</v>
      </c>
      <c r="J277" s="196">
        <v>61</v>
      </c>
      <c r="K277" s="214">
        <f t="shared" si="21"/>
        <v>61</v>
      </c>
      <c r="L277" s="215">
        <f>I277/J277</f>
        <v>16.311475409836067</v>
      </c>
      <c r="M277" s="199">
        <f>183581+192120.5+67824+23763.5+5798.5+5467+22027+14042+2947+442+995</f>
        <v>519007.5</v>
      </c>
      <c r="N277" s="197">
        <f>20071+21989+8620+4128+850+1010+3719+2499+595+78+61</f>
        <v>63620</v>
      </c>
      <c r="O277" s="226">
        <f>+M277/N277</f>
        <v>8.157929896259038</v>
      </c>
      <c r="P277" s="336"/>
    </row>
    <row r="278" spans="1:16" ht="15">
      <c r="A278" s="91">
        <v>275</v>
      </c>
      <c r="B278" s="56" t="s">
        <v>313</v>
      </c>
      <c r="C278" s="41">
        <v>39430</v>
      </c>
      <c r="D278" s="46" t="s">
        <v>261</v>
      </c>
      <c r="E278" s="46" t="s">
        <v>104</v>
      </c>
      <c r="F278" s="43">
        <v>137</v>
      </c>
      <c r="G278" s="43">
        <v>1</v>
      </c>
      <c r="H278" s="43">
        <v>16</v>
      </c>
      <c r="I278" s="86">
        <v>991</v>
      </c>
      <c r="J278" s="95">
        <v>248</v>
      </c>
      <c r="K278" s="144">
        <f t="shared" si="21"/>
        <v>248</v>
      </c>
      <c r="L278" s="145">
        <f>+I278/J278</f>
        <v>3.995967741935484</v>
      </c>
      <c r="M278" s="136">
        <v>3563083</v>
      </c>
      <c r="N278" s="134">
        <v>462399</v>
      </c>
      <c r="O278" s="81">
        <f>+M278/N278</f>
        <v>7.705645989718836</v>
      </c>
      <c r="P278" s="251"/>
    </row>
    <row r="279" spans="1:16" ht="15">
      <c r="A279" s="91">
        <v>276</v>
      </c>
      <c r="B279" s="56" t="s">
        <v>211</v>
      </c>
      <c r="C279" s="41">
        <v>39437</v>
      </c>
      <c r="D279" s="46" t="s">
        <v>126</v>
      </c>
      <c r="E279" s="46" t="s">
        <v>250</v>
      </c>
      <c r="F279" s="43">
        <v>1</v>
      </c>
      <c r="G279" s="43">
        <v>1</v>
      </c>
      <c r="H279" s="43">
        <v>8</v>
      </c>
      <c r="I279" s="195">
        <v>970</v>
      </c>
      <c r="J279" s="196">
        <v>122</v>
      </c>
      <c r="K279" s="214">
        <f t="shared" si="21"/>
        <v>122</v>
      </c>
      <c r="L279" s="215">
        <f>I279/J279</f>
        <v>7.950819672131147</v>
      </c>
      <c r="M279" s="199">
        <v>29831.5</v>
      </c>
      <c r="N279" s="197">
        <v>4866</v>
      </c>
      <c r="O279" s="226">
        <f>M279/N279</f>
        <v>6.130600082203041</v>
      </c>
      <c r="P279" s="336"/>
    </row>
    <row r="280" spans="1:16" ht="15">
      <c r="A280" s="91">
        <v>277</v>
      </c>
      <c r="B280" s="56" t="s">
        <v>313</v>
      </c>
      <c r="C280" s="41">
        <v>39430</v>
      </c>
      <c r="D280" s="46" t="s">
        <v>261</v>
      </c>
      <c r="E280" s="46" t="s">
        <v>104</v>
      </c>
      <c r="F280" s="43">
        <v>137</v>
      </c>
      <c r="G280" s="43">
        <v>1</v>
      </c>
      <c r="H280" s="43">
        <v>18</v>
      </c>
      <c r="I280" s="86">
        <v>968</v>
      </c>
      <c r="J280" s="95">
        <v>189</v>
      </c>
      <c r="K280" s="144">
        <f t="shared" si="21"/>
        <v>189</v>
      </c>
      <c r="L280" s="145">
        <f>+I280/J280</f>
        <v>5.121693121693122</v>
      </c>
      <c r="M280" s="136">
        <v>3565897</v>
      </c>
      <c r="N280" s="134">
        <v>463082</v>
      </c>
      <c r="O280" s="81">
        <f>+M280/N280</f>
        <v>7.700357604052846</v>
      </c>
      <c r="P280" s="336"/>
    </row>
    <row r="281" spans="1:16" ht="15">
      <c r="A281" s="91">
        <v>278</v>
      </c>
      <c r="B281" s="57" t="s">
        <v>433</v>
      </c>
      <c r="C281" s="42">
        <v>39311</v>
      </c>
      <c r="D281" s="47" t="s">
        <v>126</v>
      </c>
      <c r="E281" s="47" t="s">
        <v>105</v>
      </c>
      <c r="F281" s="88">
        <v>10</v>
      </c>
      <c r="G281" s="89">
        <v>1</v>
      </c>
      <c r="H281" s="88">
        <v>17</v>
      </c>
      <c r="I281" s="85">
        <v>952</v>
      </c>
      <c r="J281" s="93">
        <v>238</v>
      </c>
      <c r="K281" s="144">
        <f t="shared" si="21"/>
        <v>238</v>
      </c>
      <c r="L281" s="145">
        <f>I281/J281</f>
        <v>4</v>
      </c>
      <c r="M281" s="146">
        <v>54548</v>
      </c>
      <c r="N281" s="147">
        <v>6721</v>
      </c>
      <c r="O281" s="81">
        <f>+M281/N281</f>
        <v>8.11605415860735</v>
      </c>
      <c r="P281" s="336"/>
    </row>
    <row r="282" spans="1:16" ht="18">
      <c r="A282" s="91">
        <v>279</v>
      </c>
      <c r="B282" s="57" t="s">
        <v>164</v>
      </c>
      <c r="C282" s="42">
        <v>39381</v>
      </c>
      <c r="D282" s="47" t="s">
        <v>126</v>
      </c>
      <c r="E282" s="47" t="s">
        <v>165</v>
      </c>
      <c r="F282" s="88">
        <v>1</v>
      </c>
      <c r="G282" s="89">
        <v>1</v>
      </c>
      <c r="H282" s="88">
        <v>7</v>
      </c>
      <c r="I282" s="205">
        <v>952</v>
      </c>
      <c r="J282" s="206">
        <v>238</v>
      </c>
      <c r="K282" s="214">
        <f t="shared" si="21"/>
        <v>238</v>
      </c>
      <c r="L282" s="215">
        <f>I282/J282</f>
        <v>4</v>
      </c>
      <c r="M282" s="207">
        <v>13388</v>
      </c>
      <c r="N282" s="208">
        <v>2171</v>
      </c>
      <c r="O282" s="226">
        <f>+M282/N282</f>
        <v>6.166743436204514</v>
      </c>
      <c r="P282" s="360"/>
    </row>
    <row r="283" spans="1:16" ht="15">
      <c r="A283" s="91">
        <v>280</v>
      </c>
      <c r="B283" s="56" t="s">
        <v>47</v>
      </c>
      <c r="C283" s="41">
        <v>39444</v>
      </c>
      <c r="D283" s="46" t="s">
        <v>126</v>
      </c>
      <c r="E283" s="46" t="s">
        <v>210</v>
      </c>
      <c r="F283" s="43">
        <v>25</v>
      </c>
      <c r="G283" s="43">
        <v>2</v>
      </c>
      <c r="H283" s="43">
        <v>10</v>
      </c>
      <c r="I283" s="195">
        <v>952</v>
      </c>
      <c r="J283" s="196">
        <v>155</v>
      </c>
      <c r="K283" s="214">
        <f t="shared" si="21"/>
        <v>77.5</v>
      </c>
      <c r="L283" s="215">
        <f>I283/J283</f>
        <v>6.141935483870967</v>
      </c>
      <c r="M283" s="199">
        <v>264057.25</v>
      </c>
      <c r="N283" s="197">
        <v>27468</v>
      </c>
      <c r="O283" s="226">
        <f>M283/N283</f>
        <v>9.613268166593855</v>
      </c>
      <c r="P283" s="336"/>
    </row>
    <row r="284" spans="1:16" ht="15">
      <c r="A284" s="91">
        <v>281</v>
      </c>
      <c r="B284" s="57" t="s">
        <v>334</v>
      </c>
      <c r="C284" s="41">
        <v>39395</v>
      </c>
      <c r="D284" s="47" t="s">
        <v>57</v>
      </c>
      <c r="E284" s="47" t="s">
        <v>161</v>
      </c>
      <c r="F284" s="64" t="s">
        <v>411</v>
      </c>
      <c r="G284" s="64" t="s">
        <v>125</v>
      </c>
      <c r="H284" s="64" t="s">
        <v>76</v>
      </c>
      <c r="I284" s="205">
        <v>950.39</v>
      </c>
      <c r="J284" s="206">
        <v>189</v>
      </c>
      <c r="K284" s="214">
        <f t="shared" si="21"/>
        <v>189</v>
      </c>
      <c r="L284" s="215">
        <f>I284/J284</f>
        <v>5.028518518518519</v>
      </c>
      <c r="M284" s="207">
        <v>141568.55</v>
      </c>
      <c r="N284" s="208">
        <v>23056</v>
      </c>
      <c r="O284" s="226">
        <f aca="true" t="shared" si="22" ref="O284:O295">+M284/N284</f>
        <v>6.140204285218598</v>
      </c>
      <c r="P284" s="336"/>
    </row>
    <row r="285" spans="1:16" ht="18">
      <c r="A285" s="91">
        <v>282</v>
      </c>
      <c r="B285" s="55" t="s">
        <v>182</v>
      </c>
      <c r="C285" s="41">
        <v>39297</v>
      </c>
      <c r="D285" s="45" t="s">
        <v>260</v>
      </c>
      <c r="E285" s="44" t="s">
        <v>265</v>
      </c>
      <c r="F285" s="63">
        <v>51</v>
      </c>
      <c r="G285" s="63">
        <v>1</v>
      </c>
      <c r="H285" s="63">
        <v>22</v>
      </c>
      <c r="I285" s="205">
        <v>950</v>
      </c>
      <c r="J285" s="206">
        <v>317</v>
      </c>
      <c r="K285" s="214">
        <f t="shared" si="21"/>
        <v>317</v>
      </c>
      <c r="L285" s="215">
        <f>I285/J285</f>
        <v>2.996845425867508</v>
      </c>
      <c r="M285" s="207">
        <f>281080+182131+123214+30406+27098+21662+14107+7795+5519+3816+6498+1771+4249+2936+5464+1364+837+581+150+1798+831+950</f>
        <v>724257</v>
      </c>
      <c r="N285" s="208">
        <f>31883+21094+14754+4546+4836+4070+2318+1360+917+566+1261+309+845+581+1094+264+153+117+22+892+277+317</f>
        <v>92476</v>
      </c>
      <c r="O285" s="226">
        <f t="shared" si="22"/>
        <v>7.831837449716684</v>
      </c>
      <c r="P285" s="360"/>
    </row>
    <row r="286" spans="1:16" ht="15">
      <c r="A286" s="91">
        <v>283</v>
      </c>
      <c r="B286" s="56" t="s">
        <v>183</v>
      </c>
      <c r="C286" s="41">
        <v>39416</v>
      </c>
      <c r="D286" s="46" t="s">
        <v>261</v>
      </c>
      <c r="E286" s="46" t="s">
        <v>58</v>
      </c>
      <c r="F286" s="43">
        <v>11</v>
      </c>
      <c r="G286" s="43">
        <v>1</v>
      </c>
      <c r="H286" s="43">
        <v>21</v>
      </c>
      <c r="I286" s="136">
        <v>950</v>
      </c>
      <c r="J286" s="134">
        <v>169</v>
      </c>
      <c r="K286" s="144">
        <f t="shared" si="21"/>
        <v>169</v>
      </c>
      <c r="L286" s="145">
        <f>+I286/J286</f>
        <v>5.621301775147929</v>
      </c>
      <c r="M286" s="136">
        <v>34635</v>
      </c>
      <c r="N286" s="134">
        <v>4344</v>
      </c>
      <c r="O286" s="81">
        <f t="shared" si="22"/>
        <v>7.973066298342541</v>
      </c>
      <c r="P286" s="336"/>
    </row>
    <row r="287" spans="1:16" ht="15">
      <c r="A287" s="91">
        <v>284</v>
      </c>
      <c r="B287" s="56" t="s">
        <v>321</v>
      </c>
      <c r="C287" s="42">
        <v>39388</v>
      </c>
      <c r="D287" s="87" t="s">
        <v>261</v>
      </c>
      <c r="E287" s="87" t="s">
        <v>266</v>
      </c>
      <c r="F287" s="43">
        <v>60</v>
      </c>
      <c r="G287" s="43">
        <v>1</v>
      </c>
      <c r="H287" s="43">
        <v>10</v>
      </c>
      <c r="I287" s="86">
        <v>945</v>
      </c>
      <c r="J287" s="95">
        <v>350</v>
      </c>
      <c r="K287" s="134">
        <f t="shared" si="21"/>
        <v>350</v>
      </c>
      <c r="L287" s="135">
        <f>+I287/J287</f>
        <v>2.7</v>
      </c>
      <c r="M287" s="136">
        <v>604935</v>
      </c>
      <c r="N287" s="134">
        <v>66207</v>
      </c>
      <c r="O287" s="158">
        <f t="shared" si="22"/>
        <v>9.137024785898772</v>
      </c>
      <c r="P287" s="251"/>
    </row>
    <row r="288" spans="1:16" ht="15">
      <c r="A288" s="91">
        <v>285</v>
      </c>
      <c r="B288" s="56" t="s">
        <v>225</v>
      </c>
      <c r="C288" s="41">
        <v>39437</v>
      </c>
      <c r="D288" s="46" t="s">
        <v>126</v>
      </c>
      <c r="E288" s="46" t="s">
        <v>250</v>
      </c>
      <c r="F288" s="43">
        <v>7</v>
      </c>
      <c r="G288" s="43">
        <v>3</v>
      </c>
      <c r="H288" s="43">
        <v>15</v>
      </c>
      <c r="I288" s="195">
        <v>944</v>
      </c>
      <c r="J288" s="196">
        <v>159</v>
      </c>
      <c r="K288" s="214">
        <f t="shared" si="21"/>
        <v>53</v>
      </c>
      <c r="L288" s="215">
        <f>I288/J288</f>
        <v>5.937106918238993</v>
      </c>
      <c r="M288" s="199">
        <v>51544.7</v>
      </c>
      <c r="N288" s="197">
        <v>7244</v>
      </c>
      <c r="O288" s="226">
        <f t="shared" si="22"/>
        <v>7.115502484815019</v>
      </c>
      <c r="P288" s="336"/>
    </row>
    <row r="289" spans="1:15" ht="15">
      <c r="A289" s="91">
        <v>286</v>
      </c>
      <c r="B289" s="56" t="s">
        <v>338</v>
      </c>
      <c r="C289" s="41">
        <v>39402</v>
      </c>
      <c r="D289" s="46" t="s">
        <v>261</v>
      </c>
      <c r="E289" s="46" t="s">
        <v>50</v>
      </c>
      <c r="F289" s="43">
        <v>130</v>
      </c>
      <c r="G289" s="43">
        <v>1</v>
      </c>
      <c r="H289" s="43">
        <v>25</v>
      </c>
      <c r="I289" s="195">
        <v>925</v>
      </c>
      <c r="J289" s="196">
        <v>167</v>
      </c>
      <c r="K289" s="214">
        <f t="shared" si="21"/>
        <v>167</v>
      </c>
      <c r="L289" s="215">
        <f>+I289/J289</f>
        <v>5.538922155688622</v>
      </c>
      <c r="M289" s="199">
        <v>2099412</v>
      </c>
      <c r="N289" s="197">
        <v>266266</v>
      </c>
      <c r="O289" s="226">
        <f t="shared" si="22"/>
        <v>7.884641674115358</v>
      </c>
    </row>
    <row r="290" spans="1:16" ht="15">
      <c r="A290" s="91">
        <v>287</v>
      </c>
      <c r="B290" s="55" t="s">
        <v>332</v>
      </c>
      <c r="C290" s="41">
        <v>39395</v>
      </c>
      <c r="D290" s="45" t="s">
        <v>260</v>
      </c>
      <c r="E290" s="44" t="s">
        <v>265</v>
      </c>
      <c r="F290" s="63">
        <v>56</v>
      </c>
      <c r="G290" s="63">
        <v>2</v>
      </c>
      <c r="H290" s="63">
        <v>6</v>
      </c>
      <c r="I290" s="85">
        <v>918</v>
      </c>
      <c r="J290" s="93">
        <v>162</v>
      </c>
      <c r="K290" s="144">
        <f t="shared" si="21"/>
        <v>81</v>
      </c>
      <c r="L290" s="145">
        <f>I290/J290</f>
        <v>5.666666666666667</v>
      </c>
      <c r="M290" s="146">
        <f>1295+255300+147780+51761+8278+8834+918</f>
        <v>474166</v>
      </c>
      <c r="N290" s="147">
        <f>119+28097+15891+6021+1461+2448+162</f>
        <v>54199</v>
      </c>
      <c r="O290" s="81">
        <f t="shared" si="22"/>
        <v>8.748611597999963</v>
      </c>
      <c r="P290" s="250">
        <v>1</v>
      </c>
    </row>
    <row r="291" spans="1:16" ht="15">
      <c r="A291" s="91">
        <v>288</v>
      </c>
      <c r="B291" s="55" t="s">
        <v>443</v>
      </c>
      <c r="C291" s="41">
        <v>39409</v>
      </c>
      <c r="D291" s="45" t="s">
        <v>260</v>
      </c>
      <c r="E291" s="44" t="s">
        <v>107</v>
      </c>
      <c r="F291" s="63">
        <v>69</v>
      </c>
      <c r="G291" s="63">
        <v>1</v>
      </c>
      <c r="H291" s="63">
        <v>9</v>
      </c>
      <c r="I291" s="205">
        <v>916</v>
      </c>
      <c r="J291" s="206">
        <v>479</v>
      </c>
      <c r="K291" s="214">
        <f t="shared" si="21"/>
        <v>479</v>
      </c>
      <c r="L291" s="215">
        <f>I291/J291</f>
        <v>1.9123173277661796</v>
      </c>
      <c r="M291" s="207">
        <f>387069+277494+166747+4993+4045+7291+3613+313+916</f>
        <v>852481</v>
      </c>
      <c r="N291" s="208">
        <f>37017+27892+17708+698+855+1523+696+56+479</f>
        <v>86924</v>
      </c>
      <c r="O291" s="226">
        <f t="shared" si="22"/>
        <v>9.807199392572823</v>
      </c>
      <c r="P291" s="336">
        <v>1</v>
      </c>
    </row>
    <row r="292" spans="1:16" ht="15">
      <c r="A292" s="91">
        <v>289</v>
      </c>
      <c r="B292" s="56" t="s">
        <v>12</v>
      </c>
      <c r="C292" s="41">
        <v>39353</v>
      </c>
      <c r="D292" s="46" t="s">
        <v>309</v>
      </c>
      <c r="E292" s="46" t="s">
        <v>309</v>
      </c>
      <c r="F292" s="43">
        <v>1</v>
      </c>
      <c r="G292" s="43">
        <v>1</v>
      </c>
      <c r="H292" s="43">
        <v>31</v>
      </c>
      <c r="I292" s="368">
        <v>907</v>
      </c>
      <c r="J292" s="369">
        <v>157</v>
      </c>
      <c r="K292" s="214">
        <f>+J292/G292</f>
        <v>157</v>
      </c>
      <c r="L292" s="215">
        <f>+I292/J292</f>
        <v>5.777070063694268</v>
      </c>
      <c r="M292" s="199">
        <v>35234</v>
      </c>
      <c r="N292" s="197">
        <v>3379</v>
      </c>
      <c r="O292" s="226">
        <f t="shared" si="22"/>
        <v>10.427345368452205</v>
      </c>
      <c r="P292" s="336"/>
    </row>
    <row r="293" spans="1:16" ht="15">
      <c r="A293" s="91">
        <v>290</v>
      </c>
      <c r="B293" s="55" t="s">
        <v>46</v>
      </c>
      <c r="C293" s="41">
        <v>39087</v>
      </c>
      <c r="D293" s="45" t="s">
        <v>260</v>
      </c>
      <c r="E293" s="44" t="s">
        <v>265</v>
      </c>
      <c r="F293" s="63">
        <v>80</v>
      </c>
      <c r="G293" s="63">
        <v>1</v>
      </c>
      <c r="H293" s="63">
        <v>28</v>
      </c>
      <c r="I293" s="205">
        <v>893</v>
      </c>
      <c r="J293" s="206">
        <v>296</v>
      </c>
      <c r="K293" s="214">
        <f aca="true" t="shared" si="23" ref="K293:K298">J293/G293</f>
        <v>296</v>
      </c>
      <c r="L293" s="145">
        <f>I293/J293</f>
        <v>3.016891891891892</v>
      </c>
      <c r="M293" s="207">
        <f>1367+686114+384405+247619+146119+85619+63759-1+18934+11869+10791+11315+6907+8812+6730+2628+1465+749+1063+756+276+1198+612+510+45+1062+592+1782+205+893+893</f>
        <v>1705088</v>
      </c>
      <c r="N293" s="208">
        <f>80773+116+46317+29887+17891+10484+7685+2801+1917+1334+1333+755+1517+932+417+307+136+369+126+23+122+85+45+5+126+49+510+33+296+296</f>
        <v>206687</v>
      </c>
      <c r="O293" s="81">
        <f t="shared" si="22"/>
        <v>8.249614150865803</v>
      </c>
      <c r="P293" s="336"/>
    </row>
    <row r="294" spans="1:16" ht="15">
      <c r="A294" s="91">
        <v>291</v>
      </c>
      <c r="B294" s="55" t="s">
        <v>46</v>
      </c>
      <c r="C294" s="41">
        <v>39087</v>
      </c>
      <c r="D294" s="45" t="s">
        <v>260</v>
      </c>
      <c r="E294" s="44" t="s">
        <v>265</v>
      </c>
      <c r="F294" s="63">
        <v>80</v>
      </c>
      <c r="G294" s="63">
        <v>1</v>
      </c>
      <c r="H294" s="63">
        <v>27</v>
      </c>
      <c r="I294" s="85">
        <v>893</v>
      </c>
      <c r="J294" s="93">
        <v>296</v>
      </c>
      <c r="K294" s="144">
        <f t="shared" si="23"/>
        <v>296</v>
      </c>
      <c r="L294" s="215">
        <f>I294/J294</f>
        <v>3.016891891891892</v>
      </c>
      <c r="M294" s="146">
        <f>1367+686114+384405+247619+146119+85619+63759-1+18934+11869+10791+11315+6907+8812+6730+2628+1465+749+1063+756+276+1198+612+510+45+1062+592+1782+205+893</f>
        <v>1704195</v>
      </c>
      <c r="N294" s="147">
        <f>80773+116+46317+29887+17891+10484+7685+2801+1917+1334+1333+755+1517+932+417+307+136+369+126+23+122+85+45+5+126+49+510+33+296</f>
        <v>206391</v>
      </c>
      <c r="O294" s="226">
        <f t="shared" si="22"/>
        <v>8.257118769713795</v>
      </c>
      <c r="P294" s="336"/>
    </row>
    <row r="295" spans="1:16" ht="15">
      <c r="A295" s="91">
        <v>292</v>
      </c>
      <c r="B295" s="56" t="s">
        <v>170</v>
      </c>
      <c r="C295" s="42">
        <v>39416</v>
      </c>
      <c r="D295" s="87" t="s">
        <v>261</v>
      </c>
      <c r="E295" s="87" t="s">
        <v>58</v>
      </c>
      <c r="F295" s="43">
        <v>11</v>
      </c>
      <c r="G295" s="43">
        <v>3</v>
      </c>
      <c r="H295" s="43">
        <v>6</v>
      </c>
      <c r="I295" s="86">
        <v>893</v>
      </c>
      <c r="J295" s="95">
        <v>150</v>
      </c>
      <c r="K295" s="134">
        <f t="shared" si="23"/>
        <v>50</v>
      </c>
      <c r="L295" s="135">
        <f>+I295/J295</f>
        <v>5.953333333333333</v>
      </c>
      <c r="M295" s="136">
        <v>32259</v>
      </c>
      <c r="N295" s="134">
        <v>3764</v>
      </c>
      <c r="O295" s="158">
        <f t="shared" si="22"/>
        <v>8.570403825717323</v>
      </c>
      <c r="P295" s="336"/>
    </row>
    <row r="296" spans="1:16" ht="15">
      <c r="A296" s="91">
        <v>293</v>
      </c>
      <c r="B296" s="56" t="s">
        <v>394</v>
      </c>
      <c r="C296" s="41">
        <v>39381</v>
      </c>
      <c r="D296" s="46" t="s">
        <v>126</v>
      </c>
      <c r="E296" s="46" t="s">
        <v>250</v>
      </c>
      <c r="F296" s="43">
        <v>2</v>
      </c>
      <c r="G296" s="43">
        <v>1</v>
      </c>
      <c r="H296" s="43">
        <v>12</v>
      </c>
      <c r="I296" s="195">
        <v>891</v>
      </c>
      <c r="J296" s="196">
        <v>105</v>
      </c>
      <c r="K296" s="214">
        <f t="shared" si="23"/>
        <v>105</v>
      </c>
      <c r="L296" s="215">
        <f>I296/J296</f>
        <v>8.485714285714286</v>
      </c>
      <c r="M296" s="199">
        <v>38237.5</v>
      </c>
      <c r="N296" s="197">
        <v>5924</v>
      </c>
      <c r="O296" s="226">
        <f>M296/N296</f>
        <v>6.454675894665766</v>
      </c>
      <c r="P296" s="336"/>
    </row>
    <row r="297" spans="1:16" ht="15">
      <c r="A297" s="91">
        <v>294</v>
      </c>
      <c r="B297" s="56" t="s">
        <v>338</v>
      </c>
      <c r="C297" s="42">
        <v>39402</v>
      </c>
      <c r="D297" s="87" t="s">
        <v>261</v>
      </c>
      <c r="E297" s="87" t="s">
        <v>312</v>
      </c>
      <c r="F297" s="43">
        <v>130</v>
      </c>
      <c r="G297" s="43">
        <v>21</v>
      </c>
      <c r="H297" s="43">
        <v>9</v>
      </c>
      <c r="I297" s="195">
        <v>873</v>
      </c>
      <c r="J297" s="196">
        <v>153</v>
      </c>
      <c r="K297" s="197">
        <f t="shared" si="23"/>
        <v>7.285714285714286</v>
      </c>
      <c r="L297" s="198">
        <f>+I297/J297</f>
        <v>5.705882352941177</v>
      </c>
      <c r="M297" s="199">
        <v>2077602</v>
      </c>
      <c r="N297" s="197">
        <v>260683</v>
      </c>
      <c r="O297" s="223">
        <f>+M297/N297</f>
        <v>7.969840764453378</v>
      </c>
      <c r="P297" s="336"/>
    </row>
    <row r="298" spans="1:16" ht="15">
      <c r="A298" s="91">
        <v>295</v>
      </c>
      <c r="B298" s="55" t="s">
        <v>398</v>
      </c>
      <c r="C298" s="41">
        <v>39437</v>
      </c>
      <c r="D298" s="45" t="s">
        <v>260</v>
      </c>
      <c r="E298" s="44" t="s">
        <v>413</v>
      </c>
      <c r="F298" s="63">
        <v>49</v>
      </c>
      <c r="G298" s="63">
        <v>4</v>
      </c>
      <c r="H298" s="63">
        <v>6</v>
      </c>
      <c r="I298" s="205">
        <v>871</v>
      </c>
      <c r="J298" s="206">
        <v>163</v>
      </c>
      <c r="K298" s="214">
        <f t="shared" si="23"/>
        <v>40.75</v>
      </c>
      <c r="L298" s="215">
        <f>I298/J298</f>
        <v>5.343558282208589</v>
      </c>
      <c r="M298" s="207">
        <f>265356+150950+36636+752+2313+871</f>
        <v>456878</v>
      </c>
      <c r="N298" s="208">
        <f>28419+15898+4109+157+424+163</f>
        <v>49170</v>
      </c>
      <c r="O298" s="226">
        <f>+M298/N298</f>
        <v>9.291803945495221</v>
      </c>
      <c r="P298" s="336">
        <v>1</v>
      </c>
    </row>
    <row r="299" spans="1:16" ht="15">
      <c r="A299" s="91">
        <v>296</v>
      </c>
      <c r="B299" s="56" t="s">
        <v>253</v>
      </c>
      <c r="C299" s="41">
        <v>39339</v>
      </c>
      <c r="D299" s="46" t="s">
        <v>60</v>
      </c>
      <c r="E299" s="46" t="s">
        <v>254</v>
      </c>
      <c r="F299" s="43">
        <v>79</v>
      </c>
      <c r="G299" s="43">
        <v>2</v>
      </c>
      <c r="H299" s="43">
        <v>24</v>
      </c>
      <c r="I299" s="195">
        <v>864</v>
      </c>
      <c r="J299" s="196">
        <v>288</v>
      </c>
      <c r="K299" s="214">
        <v>7.333333333333333</v>
      </c>
      <c r="L299" s="215">
        <f>I299/J299</f>
        <v>3</v>
      </c>
      <c r="M299" s="199">
        <v>313398</v>
      </c>
      <c r="N299" s="197">
        <v>49797</v>
      </c>
      <c r="O299" s="226">
        <f>+M299/N299</f>
        <v>6.293511657328755</v>
      </c>
      <c r="P299" s="336">
        <v>1</v>
      </c>
    </row>
    <row r="300" spans="1:16" ht="15">
      <c r="A300" s="91">
        <v>297</v>
      </c>
      <c r="B300" s="57" t="s">
        <v>77</v>
      </c>
      <c r="C300" s="42">
        <v>39416</v>
      </c>
      <c r="D300" s="47" t="s">
        <v>126</v>
      </c>
      <c r="E300" s="47" t="s">
        <v>408</v>
      </c>
      <c r="F300" s="88">
        <v>4</v>
      </c>
      <c r="G300" s="89">
        <v>1</v>
      </c>
      <c r="H300" s="88">
        <v>8</v>
      </c>
      <c r="I300" s="205">
        <v>860</v>
      </c>
      <c r="J300" s="206">
        <v>172</v>
      </c>
      <c r="K300" s="214">
        <f>J300/G300</f>
        <v>172</v>
      </c>
      <c r="L300" s="215">
        <f>I300/J300</f>
        <v>5</v>
      </c>
      <c r="M300" s="207">
        <v>44160</v>
      </c>
      <c r="N300" s="208">
        <v>4797</v>
      </c>
      <c r="O300" s="226">
        <f>+M300/N300</f>
        <v>9.205753595997498</v>
      </c>
      <c r="P300" s="336">
        <v>1</v>
      </c>
    </row>
    <row r="301" spans="1:16" ht="15">
      <c r="A301" s="91">
        <v>298</v>
      </c>
      <c r="B301" s="57" t="s">
        <v>215</v>
      </c>
      <c r="C301" s="41">
        <v>39444</v>
      </c>
      <c r="D301" s="47" t="s">
        <v>309</v>
      </c>
      <c r="E301" s="47" t="s">
        <v>309</v>
      </c>
      <c r="F301" s="58">
        <v>14</v>
      </c>
      <c r="G301" s="58">
        <v>2</v>
      </c>
      <c r="H301" s="58">
        <v>5</v>
      </c>
      <c r="I301" s="205">
        <v>840</v>
      </c>
      <c r="J301" s="206">
        <v>141</v>
      </c>
      <c r="K301" s="214">
        <f>J301/G301</f>
        <v>70.5</v>
      </c>
      <c r="L301" s="215">
        <f>I301/J301</f>
        <v>5.957446808510638</v>
      </c>
      <c r="M301" s="207">
        <v>231043</v>
      </c>
      <c r="N301" s="208">
        <v>22513</v>
      </c>
      <c r="O301" s="224">
        <f>+M301/N301</f>
        <v>10.262648247679119</v>
      </c>
      <c r="P301" s="336"/>
    </row>
    <row r="302" spans="1:16" ht="15">
      <c r="A302" s="91">
        <v>299</v>
      </c>
      <c r="B302" s="56" t="s">
        <v>239</v>
      </c>
      <c r="C302" s="41">
        <v>38471</v>
      </c>
      <c r="D302" s="46" t="s">
        <v>256</v>
      </c>
      <c r="E302" s="46" t="s">
        <v>240</v>
      </c>
      <c r="F302" s="43">
        <v>27</v>
      </c>
      <c r="G302" s="43">
        <v>1</v>
      </c>
      <c r="H302" s="43">
        <v>25</v>
      </c>
      <c r="I302" s="195">
        <v>832</v>
      </c>
      <c r="J302" s="196">
        <v>166</v>
      </c>
      <c r="K302" s="214">
        <f>IF(I302&lt;&gt;0,J302/G302,"")</f>
        <v>166</v>
      </c>
      <c r="L302" s="215">
        <f>IF(I302&lt;&gt;0,I302/J302,"")</f>
        <v>5.0120481927710845</v>
      </c>
      <c r="M302" s="199">
        <f>100946.5+55963.5+28361+17286+15308+4449+3593.5+993+1211+3079+982+1260+235+50+584+2200+164+563+370+488+594+262+2376+4158+832</f>
        <v>246308.5</v>
      </c>
      <c r="N302" s="197">
        <f>12221+7275+3835+2366+2783+860+655+187+231+464+149+250+38+15+117+501+35+98+89+122+198+59+792+1386+166</f>
        <v>34892</v>
      </c>
      <c r="O302" s="226">
        <f>IF(M302&lt;&gt;0,M302/N302,"")</f>
        <v>7.059168290725668</v>
      </c>
      <c r="P302" s="336"/>
    </row>
    <row r="303" spans="1:16" ht="15">
      <c r="A303" s="91">
        <v>300</v>
      </c>
      <c r="B303" s="55" t="s">
        <v>182</v>
      </c>
      <c r="C303" s="41">
        <v>39297</v>
      </c>
      <c r="D303" s="45" t="s">
        <v>260</v>
      </c>
      <c r="E303" s="44" t="s">
        <v>265</v>
      </c>
      <c r="F303" s="63">
        <v>51</v>
      </c>
      <c r="G303" s="63">
        <v>1</v>
      </c>
      <c r="H303" s="63">
        <v>21</v>
      </c>
      <c r="I303" s="205">
        <v>831</v>
      </c>
      <c r="J303" s="206">
        <v>277</v>
      </c>
      <c r="K303" s="214">
        <f aca="true" t="shared" si="24" ref="K303:K309">J303/G303</f>
        <v>277</v>
      </c>
      <c r="L303" s="215">
        <f>I303/J303</f>
        <v>3</v>
      </c>
      <c r="M303" s="207">
        <f>281080+182131+123214+30406+27098+21662+14107+7795+5519+3816+6498+1771+4249+2936+5464+1364+837+581+150+1798+831</f>
        <v>723307</v>
      </c>
      <c r="N303" s="208">
        <f>31883+21094+14754+4546+4836+4070+2318+1360+917+566+1261+309+845+581+1094+264+153+117+22+892+277</f>
        <v>92159</v>
      </c>
      <c r="O303" s="226">
        <f>+M303/N303</f>
        <v>7.848468407860328</v>
      </c>
      <c r="P303" s="336">
        <v>1</v>
      </c>
    </row>
    <row r="304" spans="1:16" ht="15">
      <c r="A304" s="91">
        <v>301</v>
      </c>
      <c r="B304" s="55" t="s">
        <v>443</v>
      </c>
      <c r="C304" s="41">
        <v>39409</v>
      </c>
      <c r="D304" s="45" t="s">
        <v>260</v>
      </c>
      <c r="E304" s="44" t="s">
        <v>107</v>
      </c>
      <c r="F304" s="63">
        <v>69</v>
      </c>
      <c r="G304" s="63">
        <v>1</v>
      </c>
      <c r="H304" s="63">
        <v>10</v>
      </c>
      <c r="I304" s="205">
        <v>831</v>
      </c>
      <c r="J304" s="206">
        <v>146</v>
      </c>
      <c r="K304" s="214">
        <f t="shared" si="24"/>
        <v>146</v>
      </c>
      <c r="L304" s="215">
        <f>I304/J304</f>
        <v>5.691780821917808</v>
      </c>
      <c r="M304" s="207">
        <f>387069+277494+166747+4993+4045+7291+3613+313+916+831</f>
        <v>853312</v>
      </c>
      <c r="N304" s="208">
        <f>37017+27892+17708+698+855+1523+696+56+479+146</f>
        <v>87070</v>
      </c>
      <c r="O304" s="226">
        <f>+M304/N304</f>
        <v>9.800298610313542</v>
      </c>
      <c r="P304" s="336"/>
    </row>
    <row r="305" spans="1:16" ht="15">
      <c r="A305" s="91">
        <v>302</v>
      </c>
      <c r="B305" s="56" t="s">
        <v>316</v>
      </c>
      <c r="C305" s="41">
        <v>39430</v>
      </c>
      <c r="D305" s="46" t="s">
        <v>262</v>
      </c>
      <c r="E305" s="46" t="s">
        <v>263</v>
      </c>
      <c r="F305" s="43">
        <v>64</v>
      </c>
      <c r="G305" s="43">
        <v>1</v>
      </c>
      <c r="H305" s="43">
        <v>16</v>
      </c>
      <c r="I305" s="195">
        <v>830</v>
      </c>
      <c r="J305" s="196">
        <v>166</v>
      </c>
      <c r="K305" s="214">
        <f t="shared" si="24"/>
        <v>166</v>
      </c>
      <c r="L305" s="215">
        <f>I305/J305</f>
        <v>5</v>
      </c>
      <c r="M305" s="199">
        <f>183581+192120.5+67824+23763.5+5798.5+5467+22027+14042+2947+442+3097+2408.5+78+12+1060+830</f>
        <v>525498</v>
      </c>
      <c r="N305" s="197">
        <f>20071+21989+8620+4128+850+1010+3719+2499+595+78+775+602+26+4+192+166</f>
        <v>65324</v>
      </c>
      <c r="O305" s="226">
        <f>+M305/N305</f>
        <v>8.044485946972017</v>
      </c>
      <c r="P305" s="336"/>
    </row>
    <row r="306" spans="1:16" ht="15">
      <c r="A306" s="91">
        <v>303</v>
      </c>
      <c r="B306" s="56" t="s">
        <v>338</v>
      </c>
      <c r="C306" s="42">
        <v>39402</v>
      </c>
      <c r="D306" s="87" t="s">
        <v>261</v>
      </c>
      <c r="E306" s="87" t="s">
        <v>312</v>
      </c>
      <c r="F306" s="43">
        <v>130</v>
      </c>
      <c r="G306" s="43">
        <v>4</v>
      </c>
      <c r="H306" s="43">
        <v>13</v>
      </c>
      <c r="I306" s="195">
        <v>828</v>
      </c>
      <c r="J306" s="196">
        <v>162</v>
      </c>
      <c r="K306" s="214">
        <f t="shared" si="24"/>
        <v>40.5</v>
      </c>
      <c r="L306" s="135">
        <f>+I306/J306</f>
        <v>5.111111111111111</v>
      </c>
      <c r="M306" s="199">
        <v>2095480</v>
      </c>
      <c r="N306" s="197">
        <v>264931</v>
      </c>
      <c r="O306" s="81">
        <f>+M306/N306</f>
        <v>7.909531160943793</v>
      </c>
      <c r="P306" s="336"/>
    </row>
    <row r="307" spans="1:16" ht="15">
      <c r="A307" s="91">
        <v>304</v>
      </c>
      <c r="B307" s="56" t="s">
        <v>183</v>
      </c>
      <c r="C307" s="42">
        <v>39416</v>
      </c>
      <c r="D307" s="87" t="s">
        <v>261</v>
      </c>
      <c r="E307" s="87" t="s">
        <v>58</v>
      </c>
      <c r="F307" s="43">
        <v>11</v>
      </c>
      <c r="G307" s="43">
        <v>3</v>
      </c>
      <c r="H307" s="43">
        <v>7</v>
      </c>
      <c r="I307" s="195">
        <v>823</v>
      </c>
      <c r="J307" s="196">
        <v>302</v>
      </c>
      <c r="K307" s="197">
        <f t="shared" si="24"/>
        <v>100.66666666666667</v>
      </c>
      <c r="L307" s="198">
        <f>+I307/J307</f>
        <v>2.725165562913907</v>
      </c>
      <c r="M307" s="199">
        <v>33082</v>
      </c>
      <c r="N307" s="197">
        <v>4066</v>
      </c>
      <c r="O307" s="223">
        <f>+M307/N307</f>
        <v>8.136251844564683</v>
      </c>
      <c r="P307" s="336">
        <v>1</v>
      </c>
    </row>
    <row r="308" spans="1:16" ht="15">
      <c r="A308" s="91">
        <v>305</v>
      </c>
      <c r="B308" s="56" t="s">
        <v>47</v>
      </c>
      <c r="C308" s="41">
        <v>39444</v>
      </c>
      <c r="D308" s="46" t="s">
        <v>126</v>
      </c>
      <c r="E308" s="46" t="s">
        <v>210</v>
      </c>
      <c r="F308" s="43">
        <v>25</v>
      </c>
      <c r="G308" s="43">
        <v>3</v>
      </c>
      <c r="H308" s="43">
        <v>11</v>
      </c>
      <c r="I308" s="195">
        <v>811</v>
      </c>
      <c r="J308" s="196">
        <v>137</v>
      </c>
      <c r="K308" s="214">
        <f t="shared" si="24"/>
        <v>45.666666666666664</v>
      </c>
      <c r="L308" s="215">
        <f>I308/J308</f>
        <v>5.91970802919708</v>
      </c>
      <c r="M308" s="199">
        <v>264868.25</v>
      </c>
      <c r="N308" s="197">
        <v>27605</v>
      </c>
      <c r="O308" s="226">
        <f>M308/N308</f>
        <v>9.594937511320413</v>
      </c>
      <c r="P308" s="251"/>
    </row>
    <row r="309" spans="1:16" ht="15">
      <c r="A309" s="91">
        <v>306</v>
      </c>
      <c r="B309" s="55" t="s">
        <v>368</v>
      </c>
      <c r="C309" s="41">
        <v>39367</v>
      </c>
      <c r="D309" s="45" t="s">
        <v>260</v>
      </c>
      <c r="E309" s="44" t="s">
        <v>107</v>
      </c>
      <c r="F309" s="63">
        <v>65</v>
      </c>
      <c r="G309" s="63">
        <v>1</v>
      </c>
      <c r="H309" s="63">
        <v>10</v>
      </c>
      <c r="I309" s="85">
        <v>805</v>
      </c>
      <c r="J309" s="93">
        <v>199</v>
      </c>
      <c r="K309" s="144">
        <f t="shared" si="24"/>
        <v>199</v>
      </c>
      <c r="L309" s="215">
        <f>I309/J309</f>
        <v>4.045226130653266</v>
      </c>
      <c r="M309" s="146">
        <f>245364+117352+53509+12992+16676+5077+923+292+732+805</f>
        <v>453722</v>
      </c>
      <c r="N309" s="147">
        <f>25488+12615+5718+2162+3998+1488+152+73+159+199</f>
        <v>52052</v>
      </c>
      <c r="O309" s="226">
        <f>+M309/N309</f>
        <v>8.716706370552524</v>
      </c>
      <c r="P309" s="336"/>
    </row>
    <row r="310" spans="1:16" ht="15">
      <c r="A310" s="91">
        <v>307</v>
      </c>
      <c r="B310" s="56" t="s">
        <v>169</v>
      </c>
      <c r="C310" s="42">
        <v>39444</v>
      </c>
      <c r="D310" s="46" t="s">
        <v>262</v>
      </c>
      <c r="E310" s="46" t="s">
        <v>218</v>
      </c>
      <c r="F310" s="270">
        <v>10</v>
      </c>
      <c r="G310" s="43">
        <v>4</v>
      </c>
      <c r="H310" s="43">
        <v>5</v>
      </c>
      <c r="I310" s="86">
        <v>801</v>
      </c>
      <c r="J310" s="95">
        <v>164</v>
      </c>
      <c r="K310" s="137">
        <f>IF(I310&lt;&gt;0,J310/G310,"")</f>
        <v>41</v>
      </c>
      <c r="L310" s="203">
        <f>IF(I310&lt;&gt;0,I310/J310,"")</f>
        <v>4.884146341463414</v>
      </c>
      <c r="M310" s="136">
        <f>8804+1895+1013.5+219+801</f>
        <v>12732.5</v>
      </c>
      <c r="N310" s="134">
        <f>970+200+157+43+164</f>
        <v>1534</v>
      </c>
      <c r="O310" s="224">
        <f>IF(M310&lt;&gt;0,M310/N310,"")</f>
        <v>8.30019556714472</v>
      </c>
      <c r="P310" s="336"/>
    </row>
    <row r="311" spans="1:16" ht="15">
      <c r="A311" s="91">
        <v>308</v>
      </c>
      <c r="B311" s="56" t="s">
        <v>317</v>
      </c>
      <c r="C311" s="42">
        <v>39430</v>
      </c>
      <c r="D311" s="46" t="s">
        <v>262</v>
      </c>
      <c r="E311" s="46" t="s">
        <v>318</v>
      </c>
      <c r="F311" s="270">
        <v>43</v>
      </c>
      <c r="G311" s="43">
        <v>1</v>
      </c>
      <c r="H311" s="43">
        <v>9</v>
      </c>
      <c r="I311" s="86">
        <v>796</v>
      </c>
      <c r="J311" s="95">
        <v>182</v>
      </c>
      <c r="K311" s="137">
        <f>IF(I311&lt;&gt;0,J311/G311,"")</f>
        <v>182</v>
      </c>
      <c r="L311" s="203">
        <f>IF(I311&lt;&gt;0,I311/J311,"")</f>
        <v>4.373626373626373</v>
      </c>
      <c r="M311" s="136">
        <f>43240+25728.5+5226.5+5207.5+50+1692+2247+3101.5+796</f>
        <v>87289</v>
      </c>
      <c r="N311" s="134">
        <f>5272+3593+870+1171+5+336+461+717+182</f>
        <v>12607</v>
      </c>
      <c r="O311" s="224">
        <f>IF(M311&lt;&gt;0,M311/N311,"")</f>
        <v>6.9238518283493296</v>
      </c>
      <c r="P311" s="336"/>
    </row>
    <row r="312" spans="1:15" ht="15">
      <c r="A312" s="91">
        <v>309</v>
      </c>
      <c r="B312" s="56" t="s">
        <v>323</v>
      </c>
      <c r="C312" s="41">
        <v>39437</v>
      </c>
      <c r="D312" s="46" t="s">
        <v>262</v>
      </c>
      <c r="E312" s="46" t="s">
        <v>324</v>
      </c>
      <c r="F312" s="43">
        <v>156</v>
      </c>
      <c r="G312" s="43">
        <v>1</v>
      </c>
      <c r="H312" s="43">
        <v>19</v>
      </c>
      <c r="I312" s="195">
        <v>796</v>
      </c>
      <c r="J312" s="196">
        <v>138</v>
      </c>
      <c r="K312" s="214">
        <f>+J312/G312</f>
        <v>138</v>
      </c>
      <c r="L312" s="215">
        <f>+I312/J312</f>
        <v>5.768115942028985</v>
      </c>
      <c r="M312" s="199">
        <f>1780127+1212579.5+721829.5+404706.5+230406+56484.5+45824+18497.5+10529+9795.5+1455+3484+1447+391+3673+4075.5+1032+2531+796</f>
        <v>4509663.5</v>
      </c>
      <c r="N312" s="197">
        <f>240776+165120+97288+55998+35394+10296+9476+3143+2091+2258+337+991+436+98+918+697+200+844+138</f>
        <v>626499</v>
      </c>
      <c r="O312" s="226">
        <f aca="true" t="shared" si="25" ref="O312:O328">+M312/N312</f>
        <v>7.198197443252104</v>
      </c>
    </row>
    <row r="313" spans="1:15" ht="15">
      <c r="A313" s="91">
        <v>310</v>
      </c>
      <c r="B313" s="56" t="s">
        <v>287</v>
      </c>
      <c r="C313" s="41">
        <v>39388</v>
      </c>
      <c r="D313" s="46" t="s">
        <v>260</v>
      </c>
      <c r="E313" s="46" t="s">
        <v>265</v>
      </c>
      <c r="F313" s="43">
        <v>4</v>
      </c>
      <c r="G313" s="43">
        <v>2</v>
      </c>
      <c r="H313" s="43">
        <v>7</v>
      </c>
      <c r="I313" s="195">
        <v>784</v>
      </c>
      <c r="J313" s="196">
        <v>248</v>
      </c>
      <c r="K313" s="214">
        <f aca="true" t="shared" si="26" ref="K313:K319">J313/G313</f>
        <v>124</v>
      </c>
      <c r="L313" s="215">
        <f aca="true" t="shared" si="27" ref="L313:L319">I313/J313</f>
        <v>3.161290322580645</v>
      </c>
      <c r="M313" s="199">
        <f>2870+17781+10585+2582+1127+468+1181+1667+784</f>
        <v>39045</v>
      </c>
      <c r="N313" s="197">
        <f>287+1390+821+373+155+85+210+556+248</f>
        <v>4125</v>
      </c>
      <c r="O313" s="226">
        <f t="shared" si="25"/>
        <v>9.465454545454545</v>
      </c>
    </row>
    <row r="314" spans="1:16" ht="15">
      <c r="A314" s="91">
        <v>311</v>
      </c>
      <c r="B314" s="55" t="s">
        <v>184</v>
      </c>
      <c r="C314" s="41">
        <v>39437</v>
      </c>
      <c r="D314" s="45" t="s">
        <v>260</v>
      </c>
      <c r="E314" s="44" t="s">
        <v>413</v>
      </c>
      <c r="F314" s="63">
        <v>49</v>
      </c>
      <c r="G314" s="63">
        <v>3</v>
      </c>
      <c r="H314" s="63">
        <v>4</v>
      </c>
      <c r="I314" s="205">
        <v>752</v>
      </c>
      <c r="J314" s="206">
        <v>157</v>
      </c>
      <c r="K314" s="214">
        <f t="shared" si="26"/>
        <v>52.333333333333336</v>
      </c>
      <c r="L314" s="215">
        <f t="shared" si="27"/>
        <v>4.789808917197452</v>
      </c>
      <c r="M314" s="207">
        <f>265356+150950+36636+752</f>
        <v>453694</v>
      </c>
      <c r="N314" s="208">
        <f>28419+15898+4109+157</f>
        <v>48583</v>
      </c>
      <c r="O314" s="226">
        <f t="shared" si="25"/>
        <v>9.338534055122162</v>
      </c>
      <c r="P314" s="336">
        <v>1</v>
      </c>
    </row>
    <row r="315" spans="1:16" ht="18">
      <c r="A315" s="91">
        <v>312</v>
      </c>
      <c r="B315" s="56" t="s">
        <v>339</v>
      </c>
      <c r="C315" s="42">
        <v>39402</v>
      </c>
      <c r="D315" s="46" t="s">
        <v>262</v>
      </c>
      <c r="E315" s="46" t="s">
        <v>308</v>
      </c>
      <c r="F315" s="270">
        <v>125</v>
      </c>
      <c r="G315" s="43">
        <v>1</v>
      </c>
      <c r="H315" s="43">
        <v>14</v>
      </c>
      <c r="I315" s="195">
        <v>748</v>
      </c>
      <c r="J315" s="196">
        <v>187</v>
      </c>
      <c r="K315" s="214">
        <f t="shared" si="26"/>
        <v>187</v>
      </c>
      <c r="L315" s="145">
        <f t="shared" si="27"/>
        <v>4</v>
      </c>
      <c r="M315" s="199">
        <f>676439.5+554539.5+408532.5+265092+4+63975.5-30+36417+32233.5+29355.5+9292+4684+3839.75+6311.5+292.5+748</f>
        <v>2091726.75</v>
      </c>
      <c r="N315" s="197">
        <f>91933+76364+57186+39863+2+10711+6714+6020+5300+2353+1269+898+1545+86+187</f>
        <v>300431</v>
      </c>
      <c r="O315" s="81">
        <f t="shared" si="25"/>
        <v>6.962419823520209</v>
      </c>
      <c r="P315" s="360"/>
    </row>
    <row r="316" spans="1:16" ht="15">
      <c r="A316" s="91">
        <v>313</v>
      </c>
      <c r="B316" s="56" t="s">
        <v>398</v>
      </c>
      <c r="C316" s="41">
        <v>39437</v>
      </c>
      <c r="D316" s="339" t="s">
        <v>260</v>
      </c>
      <c r="E316" s="339" t="s">
        <v>413</v>
      </c>
      <c r="F316" s="43">
        <v>49</v>
      </c>
      <c r="G316" s="43">
        <v>1</v>
      </c>
      <c r="H316" s="43">
        <v>13</v>
      </c>
      <c r="I316" s="195">
        <v>748</v>
      </c>
      <c r="J316" s="196">
        <v>161</v>
      </c>
      <c r="K316" s="214">
        <f t="shared" si="26"/>
        <v>161</v>
      </c>
      <c r="L316" s="215">
        <f t="shared" si="27"/>
        <v>4.645962732919255</v>
      </c>
      <c r="M316" s="199">
        <f>265356+150950+36636+752+2313+871+2481+84+743+187+110+488+748</f>
        <v>461719</v>
      </c>
      <c r="N316" s="197">
        <f>28419+15898+4109+157+424+163+412+14+140+31+21+106+161</f>
        <v>50055</v>
      </c>
      <c r="O316" s="226">
        <f t="shared" si="25"/>
        <v>9.224233343322345</v>
      </c>
      <c r="P316" s="336"/>
    </row>
    <row r="317" spans="1:16" ht="15">
      <c r="A317" s="91">
        <v>314</v>
      </c>
      <c r="B317" s="55" t="s">
        <v>398</v>
      </c>
      <c r="C317" s="41">
        <v>39437</v>
      </c>
      <c r="D317" s="45" t="s">
        <v>260</v>
      </c>
      <c r="E317" s="44" t="s">
        <v>413</v>
      </c>
      <c r="F317" s="63">
        <v>49</v>
      </c>
      <c r="G317" s="63">
        <v>2</v>
      </c>
      <c r="H317" s="63">
        <v>9</v>
      </c>
      <c r="I317" s="205">
        <v>743</v>
      </c>
      <c r="J317" s="206">
        <v>140</v>
      </c>
      <c r="K317" s="214">
        <f t="shared" si="26"/>
        <v>70</v>
      </c>
      <c r="L317" s="145">
        <f t="shared" si="27"/>
        <v>5.307142857142857</v>
      </c>
      <c r="M317" s="207">
        <f>265356+150950+36636+752+2313+871+2481+84+743</f>
        <v>460186</v>
      </c>
      <c r="N317" s="208">
        <f>28419+15898+4109+157+424+163+412+14+140</f>
        <v>49736</v>
      </c>
      <c r="O317" s="81">
        <f t="shared" si="25"/>
        <v>9.25257358854753</v>
      </c>
      <c r="P317" s="336"/>
    </row>
    <row r="318" spans="1:16" ht="15">
      <c r="A318" s="91">
        <v>315</v>
      </c>
      <c r="B318" s="56" t="s">
        <v>207</v>
      </c>
      <c r="C318" s="41">
        <v>39402</v>
      </c>
      <c r="D318" s="46" t="s">
        <v>260</v>
      </c>
      <c r="E318" s="46" t="s">
        <v>107</v>
      </c>
      <c r="F318" s="43">
        <v>64</v>
      </c>
      <c r="G318" s="43">
        <v>1</v>
      </c>
      <c r="H318" s="43">
        <v>14</v>
      </c>
      <c r="I318" s="86">
        <v>734</v>
      </c>
      <c r="J318" s="95">
        <v>125</v>
      </c>
      <c r="K318" s="144">
        <f t="shared" si="26"/>
        <v>125</v>
      </c>
      <c r="L318" s="145">
        <f t="shared" si="27"/>
        <v>5.872</v>
      </c>
      <c r="M318" s="136">
        <f>299858+213967+97347+22667+8568+16509+4053+3337+284+4988+2264+2342+1487+734</f>
        <v>678405</v>
      </c>
      <c r="N318" s="134">
        <f>33225+24189+12517+4002+2479+2973+867+358+35+802+375+456+362+125</f>
        <v>82765</v>
      </c>
      <c r="O318" s="81">
        <f t="shared" si="25"/>
        <v>8.196761916268954</v>
      </c>
      <c r="P318" s="336">
        <v>1</v>
      </c>
    </row>
    <row r="319" spans="1:15" ht="15">
      <c r="A319" s="91">
        <v>316</v>
      </c>
      <c r="B319" s="56" t="s">
        <v>339</v>
      </c>
      <c r="C319" s="41">
        <v>39402</v>
      </c>
      <c r="D319" s="46" t="s">
        <v>262</v>
      </c>
      <c r="E319" s="46" t="s">
        <v>308</v>
      </c>
      <c r="F319" s="43">
        <v>125</v>
      </c>
      <c r="G319" s="43">
        <v>1</v>
      </c>
      <c r="H319" s="43">
        <v>19</v>
      </c>
      <c r="I319" s="195">
        <v>730</v>
      </c>
      <c r="J319" s="196">
        <v>183</v>
      </c>
      <c r="K319" s="214">
        <f t="shared" si="26"/>
        <v>183</v>
      </c>
      <c r="L319" s="215">
        <f t="shared" si="27"/>
        <v>3.989071038251366</v>
      </c>
      <c r="M319" s="199">
        <f>676439.5+554539.5+408532.5+265092+4+63975.5-30+36417+32233.5+29355.5+9292+4684+3839.75+6311.5+292.5+748+464+444+276+606+730</f>
        <v>2094246.75</v>
      </c>
      <c r="N319" s="197">
        <f>91933+76364+57186+39863+2+10711+6714+6020+5300+2353+1269+898+1545+86+187+116+111+69+120+183</f>
        <v>301030</v>
      </c>
      <c r="O319" s="226">
        <f t="shared" si="25"/>
        <v>6.956937016244228</v>
      </c>
    </row>
    <row r="320" spans="1:16" ht="15">
      <c r="A320" s="91">
        <v>317</v>
      </c>
      <c r="B320" s="56" t="s">
        <v>339</v>
      </c>
      <c r="C320" s="41">
        <v>39402</v>
      </c>
      <c r="D320" s="46" t="s">
        <v>262</v>
      </c>
      <c r="E320" s="46" t="s">
        <v>308</v>
      </c>
      <c r="F320" s="43">
        <v>125</v>
      </c>
      <c r="G320" s="43">
        <v>1</v>
      </c>
      <c r="H320" s="43">
        <v>19</v>
      </c>
      <c r="I320" s="86">
        <v>730</v>
      </c>
      <c r="J320" s="95">
        <v>183</v>
      </c>
      <c r="K320" s="144">
        <f>+J320/G320</f>
        <v>183</v>
      </c>
      <c r="L320" s="145">
        <f>+I320/J320</f>
        <v>3.989071038251366</v>
      </c>
      <c r="M320" s="136">
        <f>676439.5+554539.5+408532.5+265092+4+63975.5-30+36417+32233.5+29355.5+9292+4684+3839.75+6311.5+292.5+748+464+444+276+606+730</f>
        <v>2094246.75</v>
      </c>
      <c r="N320" s="134">
        <f>91933+76364+57186+39863+2+10711+6714+6020+5300+2353+1269+898+1545+86+187+116+111+69+120+183</f>
        <v>301030</v>
      </c>
      <c r="O320" s="81">
        <f t="shared" si="25"/>
        <v>6.956937016244228</v>
      </c>
      <c r="P320" s="336">
        <v>1</v>
      </c>
    </row>
    <row r="321" spans="1:16" ht="15">
      <c r="A321" s="91">
        <v>318</v>
      </c>
      <c r="B321" s="57" t="s">
        <v>47</v>
      </c>
      <c r="C321" s="42">
        <v>39444</v>
      </c>
      <c r="D321" s="47" t="s">
        <v>126</v>
      </c>
      <c r="E321" s="47" t="s">
        <v>210</v>
      </c>
      <c r="F321" s="88">
        <v>25</v>
      </c>
      <c r="G321" s="89">
        <v>1</v>
      </c>
      <c r="H321" s="88">
        <v>6</v>
      </c>
      <c r="I321" s="85">
        <v>712</v>
      </c>
      <c r="J321" s="93">
        <v>178</v>
      </c>
      <c r="K321" s="144">
        <f aca="true" t="shared" si="28" ref="K321:K328">J321/G321</f>
        <v>178</v>
      </c>
      <c r="L321" s="215">
        <f aca="true" t="shared" si="29" ref="L321:L328">I321/J321</f>
        <v>4</v>
      </c>
      <c r="M321" s="146">
        <v>257288</v>
      </c>
      <c r="N321" s="147">
        <v>26005</v>
      </c>
      <c r="O321" s="226">
        <f t="shared" si="25"/>
        <v>9.893789655835416</v>
      </c>
      <c r="P321" s="251"/>
    </row>
    <row r="322" spans="1:16" ht="15">
      <c r="A322" s="91">
        <v>319</v>
      </c>
      <c r="B322" s="56" t="s">
        <v>386</v>
      </c>
      <c r="C322" s="41">
        <v>39339</v>
      </c>
      <c r="D322" s="339" t="s">
        <v>267</v>
      </c>
      <c r="E322" s="339" t="s">
        <v>387</v>
      </c>
      <c r="F322" s="43">
        <v>25</v>
      </c>
      <c r="G322" s="43">
        <v>1</v>
      </c>
      <c r="H322" s="43">
        <v>1</v>
      </c>
      <c r="I322" s="195">
        <v>695</v>
      </c>
      <c r="J322" s="196">
        <v>139</v>
      </c>
      <c r="K322" s="214">
        <f t="shared" si="28"/>
        <v>139</v>
      </c>
      <c r="L322" s="215">
        <f t="shared" si="29"/>
        <v>5</v>
      </c>
      <c r="M322" s="199">
        <v>281514</v>
      </c>
      <c r="N322" s="197">
        <v>29431</v>
      </c>
      <c r="O322" s="226">
        <f t="shared" si="25"/>
        <v>9.565220345893785</v>
      </c>
      <c r="P322" s="336"/>
    </row>
    <row r="323" spans="1:16" ht="15">
      <c r="A323" s="91">
        <v>320</v>
      </c>
      <c r="B323" s="56" t="s">
        <v>46</v>
      </c>
      <c r="C323" s="41">
        <v>39087</v>
      </c>
      <c r="D323" s="46" t="s">
        <v>260</v>
      </c>
      <c r="E323" s="46" t="s">
        <v>265</v>
      </c>
      <c r="F323" s="43">
        <v>80</v>
      </c>
      <c r="G323" s="43">
        <v>1</v>
      </c>
      <c r="H323" s="43">
        <v>30</v>
      </c>
      <c r="I323" s="86">
        <v>691</v>
      </c>
      <c r="J323" s="196">
        <v>68</v>
      </c>
      <c r="K323" s="214">
        <f t="shared" si="28"/>
        <v>68</v>
      </c>
      <c r="L323" s="215">
        <f t="shared" si="29"/>
        <v>10.161764705882353</v>
      </c>
      <c r="M323" s="136">
        <f>1367+686114+384405+247619+146119+85619+63759-1+18934+11869+10791+11315+6907+8812+6730+2628+1465+749+1063+756+276+1198+612+510+45+1062+592+1782+205+893+893+2490+691</f>
        <v>1708269</v>
      </c>
      <c r="N323" s="197">
        <f>80773+116+46317+29887+17891+10484+7685+2801+1917+1334+1333+755+1517+932+417+307+136+369+126+23+122+85+45+5+126+49+510+33+296+296+415+68</f>
        <v>207170</v>
      </c>
      <c r="O323" s="226">
        <f t="shared" si="25"/>
        <v>8.245735386397644</v>
      </c>
      <c r="P323" s="251">
        <v>1</v>
      </c>
    </row>
    <row r="324" spans="1:16" ht="15">
      <c r="A324" s="91">
        <v>321</v>
      </c>
      <c r="B324" s="56" t="s">
        <v>225</v>
      </c>
      <c r="C324" s="41">
        <v>39437</v>
      </c>
      <c r="D324" s="46" t="s">
        <v>126</v>
      </c>
      <c r="E324" s="46" t="s">
        <v>250</v>
      </c>
      <c r="F324" s="43">
        <v>7</v>
      </c>
      <c r="G324" s="43">
        <v>2</v>
      </c>
      <c r="H324" s="43">
        <v>14</v>
      </c>
      <c r="I324" s="368">
        <v>682</v>
      </c>
      <c r="J324" s="369">
        <v>134</v>
      </c>
      <c r="K324" s="214">
        <f t="shared" si="28"/>
        <v>67</v>
      </c>
      <c r="L324" s="215">
        <f t="shared" si="29"/>
        <v>5.08955223880597</v>
      </c>
      <c r="M324" s="199">
        <v>50600.7</v>
      </c>
      <c r="N324" s="197">
        <v>7085</v>
      </c>
      <c r="O324" s="226">
        <f t="shared" si="25"/>
        <v>7.141947776993648</v>
      </c>
      <c r="P324" s="251"/>
    </row>
    <row r="325" spans="1:16" ht="15">
      <c r="A325" s="91">
        <v>322</v>
      </c>
      <c r="B325" s="55" t="s">
        <v>444</v>
      </c>
      <c r="C325" s="41">
        <v>39416</v>
      </c>
      <c r="D325" s="45" t="s">
        <v>260</v>
      </c>
      <c r="E325" s="44" t="s">
        <v>144</v>
      </c>
      <c r="F325" s="63">
        <v>123</v>
      </c>
      <c r="G325" s="63">
        <v>3</v>
      </c>
      <c r="H325" s="63">
        <v>13</v>
      </c>
      <c r="I325" s="205">
        <v>682</v>
      </c>
      <c r="J325" s="206">
        <v>107</v>
      </c>
      <c r="K325" s="214">
        <f t="shared" si="28"/>
        <v>35.666666666666664</v>
      </c>
      <c r="L325" s="215">
        <f t="shared" si="29"/>
        <v>6.373831775700935</v>
      </c>
      <c r="M325" s="207">
        <f>155416+1136619+622980+528056+225392+174199+84508+58425+34257+3403+1276+1707+633+682</f>
        <v>3027553</v>
      </c>
      <c r="N325" s="208">
        <f>12079+122083+66530+52286+18245+17821+7913+4333+2998+686+289+388+102+107</f>
        <v>305860</v>
      </c>
      <c r="O325" s="226">
        <f t="shared" si="25"/>
        <v>9.89849277447198</v>
      </c>
      <c r="P325" s="336"/>
    </row>
    <row r="326" spans="1:16" ht="15">
      <c r="A326" s="91">
        <v>323</v>
      </c>
      <c r="B326" s="62" t="s">
        <v>215</v>
      </c>
      <c r="C326" s="41">
        <v>39444</v>
      </c>
      <c r="D326" s="47" t="s">
        <v>309</v>
      </c>
      <c r="E326" s="47" t="s">
        <v>309</v>
      </c>
      <c r="F326" s="58">
        <v>14</v>
      </c>
      <c r="G326" s="58">
        <v>2</v>
      </c>
      <c r="H326" s="58">
        <v>10</v>
      </c>
      <c r="I326" s="85">
        <v>680</v>
      </c>
      <c r="J326" s="93">
        <v>198</v>
      </c>
      <c r="K326" s="144">
        <f t="shared" si="28"/>
        <v>99</v>
      </c>
      <c r="L326" s="215">
        <f t="shared" si="29"/>
        <v>3.4343434343434343</v>
      </c>
      <c r="M326" s="146">
        <v>237830</v>
      </c>
      <c r="N326" s="147">
        <v>23879</v>
      </c>
      <c r="O326" s="226">
        <f t="shared" si="25"/>
        <v>9.959797311445202</v>
      </c>
      <c r="P326" s="336"/>
    </row>
    <row r="327" spans="1:16" ht="15">
      <c r="A327" s="91">
        <v>324</v>
      </c>
      <c r="B327" s="57" t="s">
        <v>327</v>
      </c>
      <c r="C327" s="41">
        <v>39437</v>
      </c>
      <c r="D327" s="47" t="s">
        <v>57</v>
      </c>
      <c r="E327" s="47" t="s">
        <v>412</v>
      </c>
      <c r="F327" s="64" t="s">
        <v>328</v>
      </c>
      <c r="G327" s="64" t="s">
        <v>320</v>
      </c>
      <c r="H327" s="64" t="s">
        <v>129</v>
      </c>
      <c r="I327" s="205">
        <v>665</v>
      </c>
      <c r="J327" s="206">
        <v>135</v>
      </c>
      <c r="K327" s="214">
        <f t="shared" si="28"/>
        <v>33.75</v>
      </c>
      <c r="L327" s="215">
        <f t="shared" si="29"/>
        <v>4.925925925925926</v>
      </c>
      <c r="M327" s="207">
        <v>77917.5</v>
      </c>
      <c r="N327" s="208">
        <v>8195</v>
      </c>
      <c r="O327" s="226">
        <f t="shared" si="25"/>
        <v>9.507931665649787</v>
      </c>
      <c r="P327" s="336"/>
    </row>
    <row r="328" spans="1:16" ht="15">
      <c r="A328" s="91">
        <v>325</v>
      </c>
      <c r="B328" s="56" t="s">
        <v>59</v>
      </c>
      <c r="C328" s="41">
        <v>39220</v>
      </c>
      <c r="D328" s="46" t="s">
        <v>126</v>
      </c>
      <c r="E328" s="46" t="s">
        <v>105</v>
      </c>
      <c r="F328" s="43">
        <v>88</v>
      </c>
      <c r="G328" s="43">
        <v>1</v>
      </c>
      <c r="H328" s="43">
        <v>41</v>
      </c>
      <c r="I328" s="368">
        <v>657</v>
      </c>
      <c r="J328" s="369">
        <v>131</v>
      </c>
      <c r="K328" s="214">
        <f t="shared" si="28"/>
        <v>131</v>
      </c>
      <c r="L328" s="215">
        <f t="shared" si="29"/>
        <v>5.015267175572519</v>
      </c>
      <c r="M328" s="199">
        <v>592271</v>
      </c>
      <c r="N328" s="197">
        <v>87558</v>
      </c>
      <c r="O328" s="226">
        <f t="shared" si="25"/>
        <v>6.764327645674867</v>
      </c>
      <c r="P328" s="336"/>
    </row>
    <row r="329" spans="1:16" ht="15">
      <c r="A329" s="91">
        <v>326</v>
      </c>
      <c r="B329" s="77" t="s">
        <v>438</v>
      </c>
      <c r="C329" s="61">
        <v>39416</v>
      </c>
      <c r="D329" s="80" t="s">
        <v>60</v>
      </c>
      <c r="E329" s="80" t="s">
        <v>254</v>
      </c>
      <c r="F329" s="78">
        <v>45</v>
      </c>
      <c r="G329" s="79">
        <v>2</v>
      </c>
      <c r="H329" s="79">
        <v>8</v>
      </c>
      <c r="I329" s="209">
        <v>654</v>
      </c>
      <c r="J329" s="210">
        <v>109</v>
      </c>
      <c r="K329" s="211">
        <v>92.17647058823529</v>
      </c>
      <c r="L329" s="212">
        <v>5.0644543714103385</v>
      </c>
      <c r="M329" s="213">
        <v>172737.5</v>
      </c>
      <c r="N329" s="222">
        <v>25144</v>
      </c>
      <c r="O329" s="225">
        <f>M329/N329</f>
        <v>6.869929207763284</v>
      </c>
      <c r="P329" s="336"/>
    </row>
    <row r="330" spans="1:16" ht="15">
      <c r="A330" s="91">
        <v>327</v>
      </c>
      <c r="B330" s="56" t="s">
        <v>226</v>
      </c>
      <c r="C330" s="41">
        <v>39437</v>
      </c>
      <c r="D330" s="46" t="s">
        <v>261</v>
      </c>
      <c r="E330" s="46" t="s">
        <v>223</v>
      </c>
      <c r="F330" s="43">
        <v>137</v>
      </c>
      <c r="G330" s="43">
        <v>1</v>
      </c>
      <c r="H330" s="43">
        <v>16</v>
      </c>
      <c r="I330" s="195">
        <v>651</v>
      </c>
      <c r="J330" s="196">
        <v>119</v>
      </c>
      <c r="K330" s="214">
        <f>J330/G330</f>
        <v>119</v>
      </c>
      <c r="L330" s="215">
        <f>I330/J330</f>
        <v>5.470588235294118</v>
      </c>
      <c r="M330" s="199">
        <v>2787548</v>
      </c>
      <c r="N330" s="197">
        <v>336559</v>
      </c>
      <c r="O330" s="226">
        <f>+M330/N330</f>
        <v>8.282494302633417</v>
      </c>
      <c r="P330" s="336">
        <v>1</v>
      </c>
    </row>
    <row r="331" spans="1:16" ht="15">
      <c r="A331" s="91">
        <v>328</v>
      </c>
      <c r="B331" s="57" t="s">
        <v>217</v>
      </c>
      <c r="C331" s="41">
        <v>39444</v>
      </c>
      <c r="D331" s="47" t="s">
        <v>133</v>
      </c>
      <c r="E331" s="47" t="s">
        <v>168</v>
      </c>
      <c r="F331" s="64" t="s">
        <v>212</v>
      </c>
      <c r="G331" s="64" t="s">
        <v>125</v>
      </c>
      <c r="H331" s="64" t="s">
        <v>181</v>
      </c>
      <c r="I331" s="85">
        <v>650</v>
      </c>
      <c r="J331" s="93">
        <v>130</v>
      </c>
      <c r="K331" s="144">
        <f>J331/G331</f>
        <v>130</v>
      </c>
      <c r="L331" s="215">
        <f>I331/J331</f>
        <v>5</v>
      </c>
      <c r="M331" s="146">
        <v>21730.5</v>
      </c>
      <c r="N331" s="147">
        <v>2871</v>
      </c>
      <c r="O331" s="224">
        <f>+M331/N331</f>
        <v>7.568965517241379</v>
      </c>
      <c r="P331" s="251"/>
    </row>
    <row r="332" spans="1:16" ht="15">
      <c r="A332" s="91">
        <v>329</v>
      </c>
      <c r="B332" s="56" t="s">
        <v>48</v>
      </c>
      <c r="C332" s="42">
        <v>39374</v>
      </c>
      <c r="D332" s="46" t="s">
        <v>262</v>
      </c>
      <c r="E332" s="46" t="s">
        <v>62</v>
      </c>
      <c r="F332" s="88">
        <v>39</v>
      </c>
      <c r="G332" s="43">
        <v>1</v>
      </c>
      <c r="H332" s="43">
        <v>10</v>
      </c>
      <c r="I332" s="86">
        <v>641</v>
      </c>
      <c r="J332" s="95">
        <v>79</v>
      </c>
      <c r="K332" s="137">
        <f>IF(I332&lt;&gt;0,J332/G332,"")</f>
        <v>79</v>
      </c>
      <c r="L332" s="203">
        <f>IF(I332&lt;&gt;0,I332/J332,"")</f>
        <v>8.113924050632912</v>
      </c>
      <c r="M332" s="136">
        <f>193896+140010.5+57324.5+26118.5+5412+1745+373+987+278+641</f>
        <v>426785.5</v>
      </c>
      <c r="N332" s="134">
        <f>18661+13413+6688+4184+739+267+43+233+57+79</f>
        <v>44364</v>
      </c>
      <c r="O332" s="224">
        <f>IF(M332&lt;&gt;0,M332/N332,"")</f>
        <v>9.620086105851591</v>
      </c>
      <c r="P332" s="336"/>
    </row>
    <row r="333" spans="1:15" ht="15">
      <c r="A333" s="91">
        <v>330</v>
      </c>
      <c r="B333" s="56" t="s">
        <v>59</v>
      </c>
      <c r="C333" s="41">
        <v>39220</v>
      </c>
      <c r="D333" s="46" t="s">
        <v>126</v>
      </c>
      <c r="E333" s="46" t="s">
        <v>105</v>
      </c>
      <c r="F333" s="43">
        <v>88</v>
      </c>
      <c r="G333" s="43">
        <v>1</v>
      </c>
      <c r="H333" s="43">
        <v>40</v>
      </c>
      <c r="I333" s="136">
        <v>639</v>
      </c>
      <c r="J333" s="134">
        <v>118</v>
      </c>
      <c r="K333" s="144">
        <f>J333/G333</f>
        <v>118</v>
      </c>
      <c r="L333" s="145">
        <f>I333/J333</f>
        <v>5.415254237288136</v>
      </c>
      <c r="M333" s="136">
        <v>591614</v>
      </c>
      <c r="N333" s="134">
        <v>87427</v>
      </c>
      <c r="O333" s="81">
        <f>+M333/N333</f>
        <v>6.766948425543596</v>
      </c>
    </row>
    <row r="334" spans="1:16" ht="15">
      <c r="A334" s="91">
        <v>331</v>
      </c>
      <c r="B334" s="55" t="s">
        <v>444</v>
      </c>
      <c r="C334" s="41">
        <v>39416</v>
      </c>
      <c r="D334" s="45" t="s">
        <v>260</v>
      </c>
      <c r="E334" s="44" t="s">
        <v>144</v>
      </c>
      <c r="F334" s="63">
        <v>123</v>
      </c>
      <c r="G334" s="63">
        <v>3</v>
      </c>
      <c r="H334" s="63">
        <v>12</v>
      </c>
      <c r="I334" s="205">
        <v>633</v>
      </c>
      <c r="J334" s="206">
        <v>102</v>
      </c>
      <c r="K334" s="214">
        <f>J334/G334</f>
        <v>34</v>
      </c>
      <c r="L334" s="145">
        <f>I334/J334</f>
        <v>6.205882352941177</v>
      </c>
      <c r="M334" s="207">
        <f>155416+1136619+622980+528056+225392+174199+84508+58425+34257+3403+1276+1707+633</f>
        <v>3026871</v>
      </c>
      <c r="N334" s="208">
        <f>12079+122083+66530+52286+18245+17821+7913+4333+2998+686+289+388+102</f>
        <v>305753</v>
      </c>
      <c r="O334" s="81">
        <f>+M334/N334</f>
        <v>9.89972624961979</v>
      </c>
      <c r="P334" s="251"/>
    </row>
    <row r="335" spans="1:16" ht="15">
      <c r="A335" s="91">
        <v>332</v>
      </c>
      <c r="B335" s="56" t="s">
        <v>338</v>
      </c>
      <c r="C335" s="41">
        <v>39402</v>
      </c>
      <c r="D335" s="46" t="s">
        <v>261</v>
      </c>
      <c r="E335" s="46" t="s">
        <v>50</v>
      </c>
      <c r="F335" s="43">
        <v>130</v>
      </c>
      <c r="G335" s="43">
        <v>2</v>
      </c>
      <c r="H335" s="43">
        <v>22</v>
      </c>
      <c r="I335" s="86">
        <v>631</v>
      </c>
      <c r="J335" s="95">
        <v>144</v>
      </c>
      <c r="K335" s="144">
        <f>J335/G335</f>
        <v>72</v>
      </c>
      <c r="L335" s="145">
        <f>+I335/J335</f>
        <v>4.381944444444445</v>
      </c>
      <c r="M335" s="136">
        <v>2097755</v>
      </c>
      <c r="N335" s="134">
        <v>265950</v>
      </c>
      <c r="O335" s="81">
        <f>+M335/N335</f>
        <v>7.88777965783042</v>
      </c>
      <c r="P335" s="336">
        <v>1</v>
      </c>
    </row>
    <row r="336" spans="1:16" ht="15">
      <c r="A336" s="91">
        <v>333</v>
      </c>
      <c r="B336" s="77" t="s">
        <v>253</v>
      </c>
      <c r="C336" s="61">
        <v>39339</v>
      </c>
      <c r="D336" s="80" t="s">
        <v>60</v>
      </c>
      <c r="E336" s="80" t="s">
        <v>254</v>
      </c>
      <c r="F336" s="78">
        <v>79</v>
      </c>
      <c r="G336" s="79">
        <v>2</v>
      </c>
      <c r="H336" s="79">
        <v>18</v>
      </c>
      <c r="I336" s="209">
        <v>628</v>
      </c>
      <c r="J336" s="210">
        <v>190</v>
      </c>
      <c r="K336" s="211">
        <v>7.333333333333333</v>
      </c>
      <c r="L336" s="212">
        <v>6.363636363636363</v>
      </c>
      <c r="M336" s="213">
        <v>308527</v>
      </c>
      <c r="N336" s="214">
        <v>48739</v>
      </c>
      <c r="O336" s="225">
        <f>M336/N336</f>
        <v>6.330187324319334</v>
      </c>
      <c r="P336" s="336"/>
    </row>
    <row r="337" spans="1:16" ht="15">
      <c r="A337" s="91">
        <v>334</v>
      </c>
      <c r="B337" s="56" t="s">
        <v>148</v>
      </c>
      <c r="C337" s="41">
        <v>39381</v>
      </c>
      <c r="D337" s="46" t="s">
        <v>126</v>
      </c>
      <c r="E337" s="46" t="s">
        <v>6</v>
      </c>
      <c r="F337" s="43">
        <v>10</v>
      </c>
      <c r="G337" s="43">
        <v>1</v>
      </c>
      <c r="H337" s="43">
        <v>14</v>
      </c>
      <c r="I337" s="195">
        <v>620</v>
      </c>
      <c r="J337" s="196">
        <v>124</v>
      </c>
      <c r="K337" s="214">
        <f aca="true" t="shared" si="30" ref="K337:K364">J337/G337</f>
        <v>124</v>
      </c>
      <c r="L337" s="215">
        <f>I337/J337</f>
        <v>5</v>
      </c>
      <c r="M337" s="199">
        <v>221972.7</v>
      </c>
      <c r="N337" s="197">
        <v>25114</v>
      </c>
      <c r="O337" s="226">
        <f aca="true" t="shared" si="31" ref="O337:O345">+M337/N337</f>
        <v>8.838603965915427</v>
      </c>
      <c r="P337" s="251"/>
    </row>
    <row r="338" spans="1:15" ht="15">
      <c r="A338" s="91">
        <v>335</v>
      </c>
      <c r="B338" s="55" t="s">
        <v>146</v>
      </c>
      <c r="C338" s="41">
        <v>39381</v>
      </c>
      <c r="D338" s="45" t="s">
        <v>260</v>
      </c>
      <c r="E338" s="44" t="s">
        <v>107</v>
      </c>
      <c r="F338" s="63">
        <v>144</v>
      </c>
      <c r="G338" s="63">
        <v>1</v>
      </c>
      <c r="H338" s="63">
        <v>11</v>
      </c>
      <c r="I338" s="85">
        <v>616</v>
      </c>
      <c r="J338" s="93">
        <v>90</v>
      </c>
      <c r="K338" s="144">
        <f t="shared" si="30"/>
        <v>90</v>
      </c>
      <c r="L338" s="145">
        <f>I338/J338</f>
        <v>6.844444444444444</v>
      </c>
      <c r="M338" s="146">
        <f>2013361+924282+612528+224314+161621+67993+19442+6068+2170+613+616</f>
        <v>4033008</v>
      </c>
      <c r="N338" s="147">
        <f>250162+117111+77738+30679+29851+12478+4485+1923+349+89+90</f>
        <v>524955</v>
      </c>
      <c r="O338" s="81">
        <f t="shared" si="31"/>
        <v>7.682578506729148</v>
      </c>
    </row>
    <row r="339" spans="1:16" ht="15">
      <c r="A339" s="91">
        <v>336</v>
      </c>
      <c r="B339" s="57" t="s">
        <v>334</v>
      </c>
      <c r="C339" s="41">
        <v>39395</v>
      </c>
      <c r="D339" s="47" t="s">
        <v>57</v>
      </c>
      <c r="E339" s="47" t="s">
        <v>219</v>
      </c>
      <c r="F339" s="64" t="s">
        <v>411</v>
      </c>
      <c r="G339" s="64" t="s">
        <v>125</v>
      </c>
      <c r="H339" s="64" t="s">
        <v>212</v>
      </c>
      <c r="I339" s="85">
        <v>611</v>
      </c>
      <c r="J339" s="93">
        <v>178</v>
      </c>
      <c r="K339" s="144">
        <f t="shared" si="30"/>
        <v>178</v>
      </c>
      <c r="L339" s="145">
        <f>I339/J339</f>
        <v>3.432584269662921</v>
      </c>
      <c r="M339" s="146">
        <v>138360.98</v>
      </c>
      <c r="N339" s="147">
        <v>22412</v>
      </c>
      <c r="O339" s="81">
        <f t="shared" si="31"/>
        <v>6.173522220239158</v>
      </c>
      <c r="P339" s="336"/>
    </row>
    <row r="340" spans="1:16" ht="15">
      <c r="A340" s="91">
        <v>337</v>
      </c>
      <c r="B340" s="57" t="s">
        <v>327</v>
      </c>
      <c r="C340" s="41">
        <v>39437</v>
      </c>
      <c r="D340" s="47" t="s">
        <v>57</v>
      </c>
      <c r="E340" s="47" t="s">
        <v>412</v>
      </c>
      <c r="F340" s="64" t="s">
        <v>328</v>
      </c>
      <c r="G340" s="64" t="s">
        <v>213</v>
      </c>
      <c r="H340" s="64" t="s">
        <v>320</v>
      </c>
      <c r="I340" s="205">
        <v>610</v>
      </c>
      <c r="J340" s="206">
        <v>115</v>
      </c>
      <c r="K340" s="214">
        <f t="shared" si="30"/>
        <v>19.166666666666668</v>
      </c>
      <c r="L340" s="215">
        <f>I340/J340</f>
        <v>5.304347826086956</v>
      </c>
      <c r="M340" s="207">
        <v>77252.5</v>
      </c>
      <c r="N340" s="208">
        <v>8060</v>
      </c>
      <c r="O340" s="226">
        <f t="shared" si="31"/>
        <v>9.584677419354838</v>
      </c>
      <c r="P340" s="336">
        <v>1</v>
      </c>
    </row>
    <row r="341" spans="1:16" ht="15">
      <c r="A341" s="91">
        <v>338</v>
      </c>
      <c r="B341" s="56" t="s">
        <v>339</v>
      </c>
      <c r="C341" s="41">
        <v>39402</v>
      </c>
      <c r="D341" s="46" t="s">
        <v>262</v>
      </c>
      <c r="E341" s="46" t="s">
        <v>308</v>
      </c>
      <c r="F341" s="43">
        <v>125</v>
      </c>
      <c r="G341" s="43">
        <v>1</v>
      </c>
      <c r="H341" s="43">
        <v>18</v>
      </c>
      <c r="I341" s="195">
        <v>606</v>
      </c>
      <c r="J341" s="196">
        <v>120</v>
      </c>
      <c r="K341" s="214">
        <f t="shared" si="30"/>
        <v>120</v>
      </c>
      <c r="L341" s="215">
        <f>+I341/J341</f>
        <v>5.05</v>
      </c>
      <c r="M341" s="199">
        <f>676439.5+554539.5+408532.5+265092+4+63975.5-30+36417+32233.5+29355.5+9292+4684+3839.75+6311.5+292.5+748+464+444+276+606</f>
        <v>2093516.75</v>
      </c>
      <c r="N341" s="197">
        <f>91933+76364+57186+39863+2+10711+6714+6020+5300+2353+1269+898+1545+86+187+116+111+69+120</f>
        <v>300847</v>
      </c>
      <c r="O341" s="226">
        <f t="shared" si="31"/>
        <v>6.958742317523526</v>
      </c>
      <c r="P341" s="336">
        <v>1</v>
      </c>
    </row>
    <row r="342" spans="1:16" ht="15">
      <c r="A342" s="91">
        <v>339</v>
      </c>
      <c r="B342" s="56" t="s">
        <v>438</v>
      </c>
      <c r="C342" s="41">
        <v>39416</v>
      </c>
      <c r="D342" s="46" t="s">
        <v>60</v>
      </c>
      <c r="E342" s="46" t="s">
        <v>254</v>
      </c>
      <c r="F342" s="43">
        <v>45</v>
      </c>
      <c r="G342" s="43">
        <v>1</v>
      </c>
      <c r="H342" s="43">
        <v>16</v>
      </c>
      <c r="I342" s="195">
        <v>604</v>
      </c>
      <c r="J342" s="196">
        <v>199</v>
      </c>
      <c r="K342" s="214">
        <f t="shared" si="30"/>
        <v>199</v>
      </c>
      <c r="L342" s="215">
        <f>I342/J342</f>
        <v>3.0351758793969847</v>
      </c>
      <c r="M342" s="199">
        <v>185030.5</v>
      </c>
      <c r="N342" s="197">
        <v>28022</v>
      </c>
      <c r="O342" s="226">
        <f t="shared" si="31"/>
        <v>6.603044036828207</v>
      </c>
      <c r="P342" s="336">
        <v>1</v>
      </c>
    </row>
    <row r="343" spans="1:16" ht="15">
      <c r="A343" s="91">
        <v>340</v>
      </c>
      <c r="B343" s="56" t="s">
        <v>290</v>
      </c>
      <c r="C343" s="42">
        <v>39416</v>
      </c>
      <c r="D343" s="87" t="s">
        <v>261</v>
      </c>
      <c r="E343" s="87" t="s">
        <v>58</v>
      </c>
      <c r="F343" s="43">
        <v>11</v>
      </c>
      <c r="G343" s="43">
        <v>3</v>
      </c>
      <c r="H343" s="43">
        <v>9</v>
      </c>
      <c r="I343" s="195">
        <v>603</v>
      </c>
      <c r="J343" s="196">
        <v>109</v>
      </c>
      <c r="K343" s="197">
        <f t="shared" si="30"/>
        <v>36.333333333333336</v>
      </c>
      <c r="L343" s="198">
        <f>+I343/J343</f>
        <v>5.532110091743119</v>
      </c>
      <c r="M343" s="199">
        <v>33685</v>
      </c>
      <c r="N343" s="197">
        <v>4175</v>
      </c>
      <c r="O343" s="226">
        <f t="shared" si="31"/>
        <v>8.068263473053893</v>
      </c>
      <c r="P343" s="336"/>
    </row>
    <row r="344" spans="1:16" ht="15">
      <c r="A344" s="91">
        <v>341</v>
      </c>
      <c r="B344" s="57" t="s">
        <v>148</v>
      </c>
      <c r="C344" s="42">
        <v>39381</v>
      </c>
      <c r="D344" s="47" t="s">
        <v>126</v>
      </c>
      <c r="E344" s="47" t="s">
        <v>149</v>
      </c>
      <c r="F344" s="88">
        <v>11</v>
      </c>
      <c r="G344" s="89">
        <v>1</v>
      </c>
      <c r="H344" s="88">
        <v>13</v>
      </c>
      <c r="I344" s="205">
        <v>594</v>
      </c>
      <c r="J344" s="206">
        <v>149</v>
      </c>
      <c r="K344" s="214">
        <f t="shared" si="30"/>
        <v>149</v>
      </c>
      <c r="L344" s="215">
        <f>I344/J344</f>
        <v>3.9865771812080535</v>
      </c>
      <c r="M344" s="207">
        <v>221352.7</v>
      </c>
      <c r="N344" s="208">
        <v>24990</v>
      </c>
      <c r="O344" s="226">
        <f t="shared" si="31"/>
        <v>8.85765106042417</v>
      </c>
      <c r="P344" s="336"/>
    </row>
    <row r="345" spans="1:16" ht="15">
      <c r="A345" s="91">
        <v>342</v>
      </c>
      <c r="B345" s="56" t="s">
        <v>311</v>
      </c>
      <c r="C345" s="41">
        <v>39430</v>
      </c>
      <c r="D345" s="46" t="s">
        <v>261</v>
      </c>
      <c r="E345" s="46" t="s">
        <v>87</v>
      </c>
      <c r="F345" s="43">
        <v>242</v>
      </c>
      <c r="G345" s="43">
        <v>1</v>
      </c>
      <c r="H345" s="43">
        <v>22</v>
      </c>
      <c r="I345" s="195">
        <v>593</v>
      </c>
      <c r="J345" s="196">
        <v>203</v>
      </c>
      <c r="K345" s="214">
        <f t="shared" si="30"/>
        <v>203</v>
      </c>
      <c r="L345" s="215">
        <f>+I345/J345</f>
        <v>2.9211822660098523</v>
      </c>
      <c r="M345" s="199">
        <v>15282250</v>
      </c>
      <c r="N345" s="197">
        <v>1985454</v>
      </c>
      <c r="O345" s="226">
        <f t="shared" si="31"/>
        <v>7.697106052318513</v>
      </c>
      <c r="P345" s="336"/>
    </row>
    <row r="346" spans="1:16" ht="15">
      <c r="A346" s="91">
        <v>343</v>
      </c>
      <c r="B346" s="56" t="s">
        <v>189</v>
      </c>
      <c r="C346" s="41">
        <v>39206</v>
      </c>
      <c r="D346" s="46" t="s">
        <v>60</v>
      </c>
      <c r="E346" s="46" t="s">
        <v>190</v>
      </c>
      <c r="F346" s="43">
        <v>81</v>
      </c>
      <c r="G346" s="43">
        <v>1</v>
      </c>
      <c r="H346" s="43">
        <v>31</v>
      </c>
      <c r="I346" s="86">
        <v>592</v>
      </c>
      <c r="J346" s="95">
        <v>114</v>
      </c>
      <c r="K346" s="144">
        <f t="shared" si="30"/>
        <v>114</v>
      </c>
      <c r="L346" s="145">
        <f>I346/J346</f>
        <v>5.192982456140351</v>
      </c>
      <c r="M346" s="136">
        <v>318242</v>
      </c>
      <c r="N346" s="134">
        <v>53745.666666666664</v>
      </c>
      <c r="O346" s="81">
        <f>M346/N346</f>
        <v>5.92125876814875</v>
      </c>
      <c r="P346" s="336"/>
    </row>
    <row r="347" spans="1:16" ht="15">
      <c r="A347" s="91">
        <v>344</v>
      </c>
      <c r="B347" s="56" t="s">
        <v>338</v>
      </c>
      <c r="C347" s="41">
        <v>39402</v>
      </c>
      <c r="D347" s="46" t="s">
        <v>261</v>
      </c>
      <c r="E347" s="46" t="s">
        <v>50</v>
      </c>
      <c r="F347" s="43">
        <v>130</v>
      </c>
      <c r="G347" s="43">
        <v>1</v>
      </c>
      <c r="H347" s="43">
        <v>18</v>
      </c>
      <c r="I347" s="195">
        <v>590</v>
      </c>
      <c r="J347" s="196">
        <v>350</v>
      </c>
      <c r="K347" s="214">
        <f t="shared" si="30"/>
        <v>350</v>
      </c>
      <c r="L347" s="215">
        <f>+I347/J347</f>
        <v>1.6857142857142857</v>
      </c>
      <c r="M347" s="199">
        <v>2096239</v>
      </c>
      <c r="N347" s="197">
        <v>265308</v>
      </c>
      <c r="O347" s="226">
        <f aca="true" t="shared" si="32" ref="O347:O364">+M347/N347</f>
        <v>7.9011526226122095</v>
      </c>
      <c r="P347" s="251"/>
    </row>
    <row r="348" spans="1:16" ht="15">
      <c r="A348" s="91">
        <v>345</v>
      </c>
      <c r="B348" s="56" t="s">
        <v>192</v>
      </c>
      <c r="C348" s="41">
        <v>39339</v>
      </c>
      <c r="D348" s="46" t="s">
        <v>260</v>
      </c>
      <c r="E348" s="46" t="s">
        <v>144</v>
      </c>
      <c r="F348" s="43">
        <v>45</v>
      </c>
      <c r="G348" s="43">
        <v>1</v>
      </c>
      <c r="H348" s="43">
        <v>16</v>
      </c>
      <c r="I348" s="195">
        <v>587</v>
      </c>
      <c r="J348" s="196">
        <v>96</v>
      </c>
      <c r="K348" s="214">
        <f t="shared" si="30"/>
        <v>96</v>
      </c>
      <c r="L348" s="215">
        <f aca="true" t="shared" si="33" ref="L348:L356">I348/J348</f>
        <v>6.114583333333333</v>
      </c>
      <c r="M348" s="199">
        <f>234558+153934+87159+20869+12631+2511+8333+4939+2684+2926+228+120+78+264+143+587</f>
        <v>531964</v>
      </c>
      <c r="N348" s="197">
        <f>23186+15470+9409+3005+2107+513+1253+1051+401+744+38+20+13+44+24+96</f>
        <v>57374</v>
      </c>
      <c r="O348" s="226">
        <f t="shared" si="32"/>
        <v>9.271865304841915</v>
      </c>
      <c r="P348" s="336">
        <v>1</v>
      </c>
    </row>
    <row r="349" spans="1:16" ht="15">
      <c r="A349" s="91">
        <v>346</v>
      </c>
      <c r="B349" s="56" t="s">
        <v>444</v>
      </c>
      <c r="C349" s="41">
        <v>39416</v>
      </c>
      <c r="D349" s="46" t="s">
        <v>260</v>
      </c>
      <c r="E349" s="46" t="s">
        <v>144</v>
      </c>
      <c r="F349" s="43">
        <v>123</v>
      </c>
      <c r="G349" s="43">
        <v>1</v>
      </c>
      <c r="H349" s="43">
        <v>20</v>
      </c>
      <c r="I349" s="195">
        <v>582</v>
      </c>
      <c r="J349" s="196">
        <v>87</v>
      </c>
      <c r="K349" s="214">
        <f t="shared" si="30"/>
        <v>87</v>
      </c>
      <c r="L349" s="215">
        <f t="shared" si="33"/>
        <v>6.689655172413793</v>
      </c>
      <c r="M349" s="199">
        <f>155416+1136619+622980+528056+225392+174199+84508+58425+34257+3403+1276+1707+633+682+568+405+2714+1817+1614+2337+582</f>
        <v>3037590</v>
      </c>
      <c r="N349" s="197">
        <f>12079+122083+66530+52286+18245+17821+7913+4333+2998+686+289+388+102+107+93+66+258+224+149+221+87</f>
        <v>306958</v>
      </c>
      <c r="O349" s="226">
        <f t="shared" si="32"/>
        <v>9.895783788010085</v>
      </c>
      <c r="P349" s="336"/>
    </row>
    <row r="350" spans="1:16" ht="15">
      <c r="A350" s="91">
        <v>347</v>
      </c>
      <c r="B350" s="56" t="s">
        <v>323</v>
      </c>
      <c r="C350" s="41">
        <v>39437</v>
      </c>
      <c r="D350" s="46" t="s">
        <v>262</v>
      </c>
      <c r="E350" s="46" t="s">
        <v>324</v>
      </c>
      <c r="F350" s="43">
        <v>156</v>
      </c>
      <c r="G350" s="43">
        <v>2</v>
      </c>
      <c r="H350" s="43">
        <v>20</v>
      </c>
      <c r="I350" s="195">
        <v>580</v>
      </c>
      <c r="J350" s="196">
        <v>103</v>
      </c>
      <c r="K350" s="214">
        <f t="shared" si="30"/>
        <v>51.5</v>
      </c>
      <c r="L350" s="215">
        <f t="shared" si="33"/>
        <v>5.631067961165049</v>
      </c>
      <c r="M350" s="199">
        <f>1780127+1212579.5+721829.5+404706.5+230406+56484.5+45824+18497.5+10529+9795.5+1455+3484+1447+391+3673+4075.5+1032+2531+796+580</f>
        <v>4510243.5</v>
      </c>
      <c r="N350" s="197">
        <f>240776+165120+97288+55998+35394+10296+9476+3143+2091+2258+337+991+436+98+918+697+200+844+138+103</f>
        <v>626602</v>
      </c>
      <c r="O350" s="226">
        <f t="shared" si="32"/>
        <v>7.197939840600573</v>
      </c>
      <c r="P350" s="336"/>
    </row>
    <row r="351" spans="1:16" ht="15">
      <c r="A351" s="91">
        <v>348</v>
      </c>
      <c r="B351" s="57" t="s">
        <v>409</v>
      </c>
      <c r="C351" s="42">
        <v>39094</v>
      </c>
      <c r="D351" s="47" t="s">
        <v>126</v>
      </c>
      <c r="E351" s="47" t="s">
        <v>105</v>
      </c>
      <c r="F351" s="88">
        <v>42</v>
      </c>
      <c r="G351" s="89">
        <v>2</v>
      </c>
      <c r="H351" s="88">
        <v>37</v>
      </c>
      <c r="I351" s="85">
        <v>576</v>
      </c>
      <c r="J351" s="93">
        <v>130</v>
      </c>
      <c r="K351" s="144">
        <f t="shared" si="30"/>
        <v>65</v>
      </c>
      <c r="L351" s="145">
        <f t="shared" si="33"/>
        <v>4.430769230769231</v>
      </c>
      <c r="M351" s="146">
        <v>450428.5</v>
      </c>
      <c r="N351" s="147">
        <v>69310</v>
      </c>
      <c r="O351" s="81">
        <f t="shared" si="32"/>
        <v>6.498751983840716</v>
      </c>
      <c r="P351" s="336"/>
    </row>
    <row r="352" spans="1:16" ht="15">
      <c r="A352" s="91">
        <v>349</v>
      </c>
      <c r="B352" s="56" t="s">
        <v>311</v>
      </c>
      <c r="C352" s="41">
        <v>39430</v>
      </c>
      <c r="D352" s="46" t="s">
        <v>261</v>
      </c>
      <c r="E352" s="46" t="s">
        <v>87</v>
      </c>
      <c r="F352" s="43">
        <v>242</v>
      </c>
      <c r="G352" s="43">
        <v>2</v>
      </c>
      <c r="H352" s="43">
        <v>19</v>
      </c>
      <c r="I352" s="368">
        <v>574</v>
      </c>
      <c r="J352" s="369">
        <v>371</v>
      </c>
      <c r="K352" s="214">
        <f t="shared" si="30"/>
        <v>185.5</v>
      </c>
      <c r="L352" s="215">
        <f t="shared" si="33"/>
        <v>1.5471698113207548</v>
      </c>
      <c r="M352" s="199">
        <v>15281496</v>
      </c>
      <c r="N352" s="197">
        <v>1985220</v>
      </c>
      <c r="O352" s="226">
        <f t="shared" si="32"/>
        <v>7.697633511651102</v>
      </c>
      <c r="P352" s="336">
        <v>1</v>
      </c>
    </row>
    <row r="353" spans="1:16" ht="15">
      <c r="A353" s="91">
        <v>350</v>
      </c>
      <c r="B353" s="57" t="s">
        <v>225</v>
      </c>
      <c r="C353" s="42">
        <v>39437</v>
      </c>
      <c r="D353" s="47" t="s">
        <v>126</v>
      </c>
      <c r="E353" s="47" t="s">
        <v>329</v>
      </c>
      <c r="F353" s="88">
        <v>7</v>
      </c>
      <c r="G353" s="89">
        <v>1</v>
      </c>
      <c r="H353" s="88">
        <v>7</v>
      </c>
      <c r="I353" s="85">
        <v>569</v>
      </c>
      <c r="J353" s="93">
        <v>109</v>
      </c>
      <c r="K353" s="144">
        <f t="shared" si="30"/>
        <v>109</v>
      </c>
      <c r="L353" s="215">
        <f t="shared" si="33"/>
        <v>5.220183486238532</v>
      </c>
      <c r="M353" s="146">
        <v>42943</v>
      </c>
      <c r="N353" s="147">
        <v>5792</v>
      </c>
      <c r="O353" s="226">
        <f t="shared" si="32"/>
        <v>7.414191988950276</v>
      </c>
      <c r="P353" s="336"/>
    </row>
    <row r="354" spans="1:16" ht="15">
      <c r="A354" s="91">
        <v>351</v>
      </c>
      <c r="B354" s="55" t="s">
        <v>444</v>
      </c>
      <c r="C354" s="41">
        <v>39416</v>
      </c>
      <c r="D354" s="45" t="s">
        <v>260</v>
      </c>
      <c r="E354" s="44" t="s">
        <v>144</v>
      </c>
      <c r="F354" s="63">
        <v>123</v>
      </c>
      <c r="G354" s="63">
        <v>3</v>
      </c>
      <c r="H354" s="63">
        <v>14</v>
      </c>
      <c r="I354" s="85">
        <v>568</v>
      </c>
      <c r="J354" s="93">
        <v>93</v>
      </c>
      <c r="K354" s="144">
        <f t="shared" si="30"/>
        <v>31</v>
      </c>
      <c r="L354" s="215">
        <f t="shared" si="33"/>
        <v>6.10752688172043</v>
      </c>
      <c r="M354" s="146">
        <f>155416+1136619+622980+528056+225392+174199+84508+58425+34257+3403+1276+1707+633+682+568</f>
        <v>3028121</v>
      </c>
      <c r="N354" s="147">
        <f>12079+122083+66530+52286+18245+17821+7913+4333+2998+686+289+388+102+107+93</f>
        <v>305953</v>
      </c>
      <c r="O354" s="226">
        <f t="shared" si="32"/>
        <v>9.897340441178875</v>
      </c>
      <c r="P354" s="336"/>
    </row>
    <row r="355" spans="1:16" ht="15">
      <c r="A355" s="91">
        <v>352</v>
      </c>
      <c r="B355" s="269" t="s">
        <v>352</v>
      </c>
      <c r="C355" s="41">
        <v>39409</v>
      </c>
      <c r="D355" s="80" t="s">
        <v>267</v>
      </c>
      <c r="E355" s="48" t="s">
        <v>127</v>
      </c>
      <c r="F355" s="76">
        <v>13</v>
      </c>
      <c r="G355" s="76">
        <v>1</v>
      </c>
      <c r="H355" s="76">
        <v>6</v>
      </c>
      <c r="I355" s="195">
        <v>565</v>
      </c>
      <c r="J355" s="196">
        <v>113</v>
      </c>
      <c r="K355" s="214">
        <f t="shared" si="30"/>
        <v>113</v>
      </c>
      <c r="L355" s="215">
        <f t="shared" si="33"/>
        <v>5</v>
      </c>
      <c r="M355" s="199">
        <v>51773</v>
      </c>
      <c r="N355" s="197">
        <v>5151</v>
      </c>
      <c r="O355" s="226">
        <f t="shared" si="32"/>
        <v>10.051058046981169</v>
      </c>
      <c r="P355" s="336">
        <v>1</v>
      </c>
    </row>
    <row r="356" spans="1:16" ht="15">
      <c r="A356" s="91">
        <v>353</v>
      </c>
      <c r="B356" s="269" t="s">
        <v>326</v>
      </c>
      <c r="C356" s="41">
        <v>39437</v>
      </c>
      <c r="D356" s="80" t="s">
        <v>267</v>
      </c>
      <c r="E356" s="48" t="s">
        <v>127</v>
      </c>
      <c r="F356" s="76">
        <v>17</v>
      </c>
      <c r="G356" s="76">
        <v>2</v>
      </c>
      <c r="H356" s="76">
        <v>7</v>
      </c>
      <c r="I356" s="96">
        <v>563</v>
      </c>
      <c r="J356" s="98">
        <v>87</v>
      </c>
      <c r="K356" s="148">
        <f t="shared" si="30"/>
        <v>43.5</v>
      </c>
      <c r="L356" s="220">
        <f t="shared" si="33"/>
        <v>6.471264367816092</v>
      </c>
      <c r="M356" s="150">
        <v>275707</v>
      </c>
      <c r="N356" s="148">
        <v>26107</v>
      </c>
      <c r="O356" s="224">
        <f t="shared" si="32"/>
        <v>10.560654230666104</v>
      </c>
      <c r="P356" s="336"/>
    </row>
    <row r="357" spans="1:16" ht="15">
      <c r="A357" s="91">
        <v>354</v>
      </c>
      <c r="B357" s="56" t="s">
        <v>434</v>
      </c>
      <c r="C357" s="41">
        <v>39318</v>
      </c>
      <c r="D357" s="46" t="s">
        <v>261</v>
      </c>
      <c r="E357" s="46" t="s">
        <v>264</v>
      </c>
      <c r="F357" s="43">
        <v>116</v>
      </c>
      <c r="G357" s="43">
        <v>1</v>
      </c>
      <c r="H357" s="43">
        <v>31</v>
      </c>
      <c r="I357" s="195">
        <v>560</v>
      </c>
      <c r="J357" s="196">
        <v>350</v>
      </c>
      <c r="K357" s="214">
        <f t="shared" si="30"/>
        <v>350</v>
      </c>
      <c r="L357" s="215">
        <f>+I357/J357</f>
        <v>1.6</v>
      </c>
      <c r="M357" s="199">
        <v>2648368</v>
      </c>
      <c r="N357" s="197">
        <v>333502</v>
      </c>
      <c r="O357" s="226">
        <f t="shared" si="32"/>
        <v>7.941085810579847</v>
      </c>
      <c r="P357" s="336"/>
    </row>
    <row r="358" spans="1:16" ht="15">
      <c r="A358" s="91">
        <v>355</v>
      </c>
      <c r="B358" s="56" t="s">
        <v>241</v>
      </c>
      <c r="C358" s="41">
        <v>39437</v>
      </c>
      <c r="D358" s="46" t="s">
        <v>126</v>
      </c>
      <c r="E358" s="46" t="s">
        <v>250</v>
      </c>
      <c r="F358" s="43">
        <v>7</v>
      </c>
      <c r="G358" s="43">
        <v>1</v>
      </c>
      <c r="H358" s="43">
        <v>8</v>
      </c>
      <c r="I358" s="195">
        <v>559</v>
      </c>
      <c r="J358" s="196">
        <v>99</v>
      </c>
      <c r="K358" s="214">
        <f t="shared" si="30"/>
        <v>99</v>
      </c>
      <c r="L358" s="215">
        <f>I358/J358</f>
        <v>5.646464646464646</v>
      </c>
      <c r="M358" s="199">
        <v>43502.2</v>
      </c>
      <c r="N358" s="197">
        <v>5891</v>
      </c>
      <c r="O358" s="226">
        <f t="shared" si="32"/>
        <v>7.384518757426583</v>
      </c>
      <c r="P358" s="336"/>
    </row>
    <row r="359" spans="1:16" ht="15">
      <c r="A359" s="91">
        <v>356</v>
      </c>
      <c r="B359" s="56" t="s">
        <v>311</v>
      </c>
      <c r="C359" s="41">
        <v>39430</v>
      </c>
      <c r="D359" s="46" t="s">
        <v>261</v>
      </c>
      <c r="E359" s="46" t="s">
        <v>87</v>
      </c>
      <c r="F359" s="43">
        <v>242</v>
      </c>
      <c r="G359" s="43">
        <v>2</v>
      </c>
      <c r="H359" s="43">
        <v>20</v>
      </c>
      <c r="I359" s="195">
        <v>539</v>
      </c>
      <c r="J359" s="196">
        <v>369</v>
      </c>
      <c r="K359" s="214">
        <f t="shared" si="30"/>
        <v>184.5</v>
      </c>
      <c r="L359" s="215">
        <f>+I359/J359</f>
        <v>1.4607046070460705</v>
      </c>
      <c r="M359" s="199">
        <v>15282038</v>
      </c>
      <c r="N359" s="197">
        <v>1985589</v>
      </c>
      <c r="O359" s="226">
        <f t="shared" si="32"/>
        <v>7.6964759575118515</v>
      </c>
      <c r="P359" s="336"/>
    </row>
    <row r="360" spans="1:16" ht="15">
      <c r="A360" s="91">
        <v>357</v>
      </c>
      <c r="B360" s="56" t="s">
        <v>307</v>
      </c>
      <c r="C360" s="42">
        <v>39423</v>
      </c>
      <c r="D360" s="46" t="s">
        <v>262</v>
      </c>
      <c r="E360" s="46" t="s">
        <v>263</v>
      </c>
      <c r="F360" s="43">
        <v>40</v>
      </c>
      <c r="G360" s="43">
        <v>1</v>
      </c>
      <c r="H360" s="43">
        <v>10</v>
      </c>
      <c r="I360" s="195">
        <v>524</v>
      </c>
      <c r="J360" s="196">
        <v>129</v>
      </c>
      <c r="K360" s="214">
        <f t="shared" si="30"/>
        <v>129</v>
      </c>
      <c r="L360" s="145">
        <f>I360/J360</f>
        <v>4.062015503875969</v>
      </c>
      <c r="M360" s="199">
        <f>337397.5+246059+95618.5+43492.5+31631.5+2705+4609+1105+2653+524</f>
        <v>765795</v>
      </c>
      <c r="N360" s="197">
        <f>35596+24953+11024+7059+5745+543+908+221+467+129</f>
        <v>86645</v>
      </c>
      <c r="O360" s="81">
        <f t="shared" si="32"/>
        <v>8.838305730278723</v>
      </c>
      <c r="P360" s="336"/>
    </row>
    <row r="361" spans="1:16" ht="15">
      <c r="A361" s="91">
        <v>358</v>
      </c>
      <c r="B361" s="57" t="s">
        <v>185</v>
      </c>
      <c r="C361" s="42">
        <v>39395</v>
      </c>
      <c r="D361" s="47" t="s">
        <v>126</v>
      </c>
      <c r="E361" s="47" t="s">
        <v>186</v>
      </c>
      <c r="F361" s="88">
        <v>5</v>
      </c>
      <c r="G361" s="89">
        <v>2</v>
      </c>
      <c r="H361" s="88">
        <v>4</v>
      </c>
      <c r="I361" s="205">
        <v>522</v>
      </c>
      <c r="J361" s="206">
        <v>257</v>
      </c>
      <c r="K361" s="214">
        <f t="shared" si="30"/>
        <v>128.5</v>
      </c>
      <c r="L361" s="215">
        <f>I361/J361</f>
        <v>2.0311284046692606</v>
      </c>
      <c r="M361" s="207">
        <v>3590.5</v>
      </c>
      <c r="N361" s="208">
        <v>641</v>
      </c>
      <c r="O361" s="226">
        <f t="shared" si="32"/>
        <v>5.601404056162247</v>
      </c>
      <c r="P361" s="251"/>
    </row>
    <row r="362" spans="1:16" ht="15">
      <c r="A362" s="91">
        <v>359</v>
      </c>
      <c r="B362" s="56" t="s">
        <v>59</v>
      </c>
      <c r="C362" s="41">
        <v>39220</v>
      </c>
      <c r="D362" s="46" t="s">
        <v>126</v>
      </c>
      <c r="E362" s="46" t="s">
        <v>105</v>
      </c>
      <c r="F362" s="43">
        <v>88</v>
      </c>
      <c r="G362" s="43">
        <v>1</v>
      </c>
      <c r="H362" s="43">
        <v>39</v>
      </c>
      <c r="I362" s="86">
        <v>520</v>
      </c>
      <c r="J362" s="95">
        <v>89</v>
      </c>
      <c r="K362" s="144">
        <f t="shared" si="30"/>
        <v>89</v>
      </c>
      <c r="L362" s="145">
        <f>I362/J362</f>
        <v>5.842696629213483</v>
      </c>
      <c r="M362" s="136">
        <v>590975</v>
      </c>
      <c r="N362" s="134">
        <v>87309</v>
      </c>
      <c r="O362" s="81">
        <f t="shared" si="32"/>
        <v>6.768775269445303</v>
      </c>
      <c r="P362" s="336"/>
    </row>
    <row r="363" spans="1:16" ht="15">
      <c r="A363" s="91">
        <v>360</v>
      </c>
      <c r="B363" s="56" t="s">
        <v>371</v>
      </c>
      <c r="C363" s="41">
        <v>39381</v>
      </c>
      <c r="D363" s="46" t="s">
        <v>126</v>
      </c>
      <c r="E363" s="46" t="s">
        <v>44</v>
      </c>
      <c r="F363" s="43">
        <v>1</v>
      </c>
      <c r="G363" s="43">
        <v>1</v>
      </c>
      <c r="H363" s="43">
        <v>10</v>
      </c>
      <c r="I363" s="86">
        <v>517</v>
      </c>
      <c r="J363" s="95">
        <v>75</v>
      </c>
      <c r="K363" s="144">
        <f t="shared" si="30"/>
        <v>75</v>
      </c>
      <c r="L363" s="145">
        <f>I363/J363</f>
        <v>6.8933333333333335</v>
      </c>
      <c r="M363" s="136">
        <v>16212.5</v>
      </c>
      <c r="N363" s="134">
        <v>2842</v>
      </c>
      <c r="O363" s="81">
        <f t="shared" si="32"/>
        <v>5.7046094299788885</v>
      </c>
      <c r="P363" s="336"/>
    </row>
    <row r="364" spans="1:16" ht="15">
      <c r="A364" s="91">
        <v>361</v>
      </c>
      <c r="B364" s="269" t="s">
        <v>314</v>
      </c>
      <c r="C364" s="41">
        <v>39430</v>
      </c>
      <c r="D364" s="48" t="s">
        <v>133</v>
      </c>
      <c r="E364" s="48" t="s">
        <v>216</v>
      </c>
      <c r="F364" s="64" t="s">
        <v>315</v>
      </c>
      <c r="G364" s="64" t="s">
        <v>125</v>
      </c>
      <c r="H364" s="64" t="s">
        <v>131</v>
      </c>
      <c r="I364" s="85">
        <v>490</v>
      </c>
      <c r="J364" s="93">
        <v>98</v>
      </c>
      <c r="K364" s="144">
        <f t="shared" si="30"/>
        <v>98</v>
      </c>
      <c r="L364" s="215">
        <f>I364/J364</f>
        <v>5</v>
      </c>
      <c r="M364" s="146">
        <v>1230617.44</v>
      </c>
      <c r="N364" s="147">
        <v>157436</v>
      </c>
      <c r="O364" s="226">
        <f t="shared" si="32"/>
        <v>7.816620340963947</v>
      </c>
      <c r="P364" s="336"/>
    </row>
    <row r="365" spans="1:16" ht="15">
      <c r="A365" s="91">
        <v>362</v>
      </c>
      <c r="B365" s="56" t="s">
        <v>310</v>
      </c>
      <c r="C365" s="41">
        <v>39423</v>
      </c>
      <c r="D365" s="46" t="s">
        <v>256</v>
      </c>
      <c r="E365" s="46" t="s">
        <v>251</v>
      </c>
      <c r="F365" s="43">
        <v>164</v>
      </c>
      <c r="G365" s="43">
        <v>1</v>
      </c>
      <c r="H365" s="43">
        <v>18</v>
      </c>
      <c r="I365" s="86">
        <v>489</v>
      </c>
      <c r="J365" s="95">
        <v>95</v>
      </c>
      <c r="K365" s="144">
        <f>IF(I365&lt;&gt;0,J365/G365,"")</f>
        <v>95</v>
      </c>
      <c r="L365" s="145">
        <f>IF(I365&lt;&gt;0,I365/J365,"")</f>
        <v>5.147368421052631</v>
      </c>
      <c r="M365" s="136">
        <f>3555848+0</f>
        <v>3555848</v>
      </c>
      <c r="N365" s="134">
        <f>438530+0</f>
        <v>438530</v>
      </c>
      <c r="O365" s="81">
        <f>IF(M365&lt;&gt;0,M365/N365,"")</f>
        <v>8.108562698105032</v>
      </c>
      <c r="P365" s="336"/>
    </row>
    <row r="366" spans="1:16" ht="15">
      <c r="A366" s="91">
        <v>363</v>
      </c>
      <c r="B366" s="56" t="s">
        <v>398</v>
      </c>
      <c r="C366" s="41">
        <v>39437</v>
      </c>
      <c r="D366" s="46" t="s">
        <v>260</v>
      </c>
      <c r="E366" s="46" t="s">
        <v>413</v>
      </c>
      <c r="F366" s="43">
        <v>49</v>
      </c>
      <c r="G366" s="43">
        <v>2</v>
      </c>
      <c r="H366" s="43">
        <v>12</v>
      </c>
      <c r="I366" s="195">
        <v>488</v>
      </c>
      <c r="J366" s="196">
        <v>106</v>
      </c>
      <c r="K366" s="214">
        <f>J366/G366</f>
        <v>53</v>
      </c>
      <c r="L366" s="215">
        <f>I366/J366</f>
        <v>4.60377358490566</v>
      </c>
      <c r="M366" s="199">
        <f>265356+150950+36636+752+2313+871+2481+84+743+187+110+488</f>
        <v>460971</v>
      </c>
      <c r="N366" s="197">
        <f>28419+15898+4109+157+424+163+412+14+140+31+21+106</f>
        <v>49894</v>
      </c>
      <c r="O366" s="226">
        <f>+M366/N366</f>
        <v>9.239006694191687</v>
      </c>
      <c r="P366" s="336"/>
    </row>
    <row r="367" spans="1:16" ht="15">
      <c r="A367" s="91">
        <v>364</v>
      </c>
      <c r="B367" s="62" t="s">
        <v>12</v>
      </c>
      <c r="C367" s="41">
        <v>39353</v>
      </c>
      <c r="D367" s="47" t="s">
        <v>309</v>
      </c>
      <c r="E367" s="47" t="s">
        <v>309</v>
      </c>
      <c r="F367" s="58">
        <v>1</v>
      </c>
      <c r="G367" s="58">
        <v>1</v>
      </c>
      <c r="H367" s="58">
        <v>14</v>
      </c>
      <c r="I367" s="205">
        <v>479</v>
      </c>
      <c r="J367" s="206">
        <v>77</v>
      </c>
      <c r="K367" s="214">
        <f>J367/G367</f>
        <v>77</v>
      </c>
      <c r="L367" s="215">
        <f>I367/J367</f>
        <v>6.220779220779221</v>
      </c>
      <c r="M367" s="207">
        <v>33953</v>
      </c>
      <c r="N367" s="208">
        <v>3159</v>
      </c>
      <c r="O367" s="224">
        <f>+M367/N367</f>
        <v>10.748021525799304</v>
      </c>
      <c r="P367" s="336"/>
    </row>
    <row r="368" spans="1:16" ht="15">
      <c r="A368" s="91">
        <v>365</v>
      </c>
      <c r="B368" s="56" t="s">
        <v>226</v>
      </c>
      <c r="C368" s="41">
        <v>39437</v>
      </c>
      <c r="D368" s="46" t="s">
        <v>261</v>
      </c>
      <c r="E368" s="46" t="s">
        <v>223</v>
      </c>
      <c r="F368" s="43">
        <v>137</v>
      </c>
      <c r="G368" s="43">
        <v>1</v>
      </c>
      <c r="H368" s="43">
        <v>18</v>
      </c>
      <c r="I368" s="368">
        <v>478</v>
      </c>
      <c r="J368" s="369">
        <v>220</v>
      </c>
      <c r="K368" s="214">
        <f>J368/G368</f>
        <v>220</v>
      </c>
      <c r="L368" s="215">
        <f>I368/J368</f>
        <v>2.172727272727273</v>
      </c>
      <c r="M368" s="199">
        <v>2788026</v>
      </c>
      <c r="N368" s="197">
        <v>336779</v>
      </c>
      <c r="O368" s="226">
        <f>+M368/N368</f>
        <v>8.278503113317635</v>
      </c>
      <c r="P368" s="336">
        <v>1</v>
      </c>
    </row>
    <row r="369" spans="1:16" ht="15">
      <c r="A369" s="91">
        <v>366</v>
      </c>
      <c r="B369" s="56" t="s">
        <v>59</v>
      </c>
      <c r="C369" s="41">
        <v>39220</v>
      </c>
      <c r="D369" s="46" t="s">
        <v>126</v>
      </c>
      <c r="E369" s="46" t="s">
        <v>105</v>
      </c>
      <c r="F369" s="43">
        <v>88</v>
      </c>
      <c r="G369" s="43">
        <v>1</v>
      </c>
      <c r="H369" s="43">
        <v>38</v>
      </c>
      <c r="I369" s="195">
        <v>476</v>
      </c>
      <c r="J369" s="196">
        <v>68</v>
      </c>
      <c r="K369" s="214">
        <f>J369/G369</f>
        <v>68</v>
      </c>
      <c r="L369" s="215">
        <f>I369/J369</f>
        <v>7</v>
      </c>
      <c r="M369" s="199">
        <v>590455</v>
      </c>
      <c r="N369" s="197">
        <v>87220</v>
      </c>
      <c r="O369" s="226">
        <f>+M369/N369</f>
        <v>6.769720247649621</v>
      </c>
      <c r="P369" s="336"/>
    </row>
    <row r="370" spans="1:16" ht="15">
      <c r="A370" s="91">
        <v>367</v>
      </c>
      <c r="B370" s="56" t="s">
        <v>336</v>
      </c>
      <c r="C370" s="41">
        <v>39402</v>
      </c>
      <c r="D370" s="46" t="s">
        <v>256</v>
      </c>
      <c r="E370" s="46" t="s">
        <v>337</v>
      </c>
      <c r="F370" s="43">
        <v>165</v>
      </c>
      <c r="G370" s="43">
        <v>2</v>
      </c>
      <c r="H370" s="43">
        <v>21</v>
      </c>
      <c r="I370" s="86">
        <v>472</v>
      </c>
      <c r="J370" s="95">
        <v>102</v>
      </c>
      <c r="K370" s="144">
        <v>51</v>
      </c>
      <c r="L370" s="145">
        <v>4.63</v>
      </c>
      <c r="M370" s="136">
        <v>14274944</v>
      </c>
      <c r="N370" s="134">
        <v>1929962</v>
      </c>
      <c r="O370" s="81">
        <v>7.4</v>
      </c>
      <c r="P370" s="251">
        <v>1</v>
      </c>
    </row>
    <row r="371" spans="1:16" ht="15">
      <c r="A371" s="91">
        <v>368</v>
      </c>
      <c r="B371" s="55" t="s">
        <v>287</v>
      </c>
      <c r="C371" s="41">
        <v>39388</v>
      </c>
      <c r="D371" s="45" t="s">
        <v>260</v>
      </c>
      <c r="E371" s="44" t="s">
        <v>265</v>
      </c>
      <c r="F371" s="63">
        <v>4</v>
      </c>
      <c r="G371" s="63">
        <v>1</v>
      </c>
      <c r="H371" s="63">
        <v>5</v>
      </c>
      <c r="I371" s="205">
        <v>468</v>
      </c>
      <c r="J371" s="206">
        <v>85</v>
      </c>
      <c r="K371" s="214">
        <f>J371/G371</f>
        <v>85</v>
      </c>
      <c r="L371" s="145">
        <f>I371/J371</f>
        <v>5.5058823529411764</v>
      </c>
      <c r="M371" s="207">
        <f>2870+17781+10585+2582+1127+468</f>
        <v>35413</v>
      </c>
      <c r="N371" s="208">
        <f>287+1390+821+373+155+85</f>
        <v>3111</v>
      </c>
      <c r="O371" s="81">
        <f aca="true" t="shared" si="34" ref="O371:O376">+M371/N371</f>
        <v>11.383156541305047</v>
      </c>
      <c r="P371" s="336">
        <v>1</v>
      </c>
    </row>
    <row r="372" spans="1:16" ht="15">
      <c r="A372" s="91">
        <v>369</v>
      </c>
      <c r="B372" s="56" t="s">
        <v>241</v>
      </c>
      <c r="C372" s="41">
        <v>39437</v>
      </c>
      <c r="D372" s="339" t="s">
        <v>126</v>
      </c>
      <c r="E372" s="339" t="s">
        <v>250</v>
      </c>
      <c r="F372" s="43">
        <v>7</v>
      </c>
      <c r="G372" s="43">
        <v>2</v>
      </c>
      <c r="H372" s="43">
        <v>9</v>
      </c>
      <c r="I372" s="195">
        <v>465</v>
      </c>
      <c r="J372" s="196">
        <v>80</v>
      </c>
      <c r="K372" s="214">
        <f>J372/G372</f>
        <v>40</v>
      </c>
      <c r="L372" s="215">
        <f>I372/J372</f>
        <v>5.8125</v>
      </c>
      <c r="M372" s="199">
        <v>43967.2</v>
      </c>
      <c r="N372" s="197">
        <v>5971</v>
      </c>
      <c r="O372" s="226">
        <f t="shared" si="34"/>
        <v>7.363456707419192</v>
      </c>
      <c r="P372" s="251"/>
    </row>
    <row r="373" spans="1:16" ht="15">
      <c r="A373" s="91">
        <v>370</v>
      </c>
      <c r="B373" s="57" t="s">
        <v>220</v>
      </c>
      <c r="C373" s="42">
        <v>39444</v>
      </c>
      <c r="D373" s="47" t="s">
        <v>126</v>
      </c>
      <c r="E373" s="47" t="s">
        <v>210</v>
      </c>
      <c r="F373" s="88">
        <v>25</v>
      </c>
      <c r="G373" s="89">
        <v>2</v>
      </c>
      <c r="H373" s="88">
        <v>7</v>
      </c>
      <c r="I373" s="205">
        <v>464.5</v>
      </c>
      <c r="J373" s="206">
        <v>119</v>
      </c>
      <c r="K373" s="214">
        <f>J373/G373</f>
        <v>59.5</v>
      </c>
      <c r="L373" s="145">
        <f>I373/J373</f>
        <v>3.903361344537815</v>
      </c>
      <c r="M373" s="207">
        <v>257752.25</v>
      </c>
      <c r="N373" s="208">
        <v>26124</v>
      </c>
      <c r="O373" s="81">
        <f t="shared" si="34"/>
        <v>9.866492497320472</v>
      </c>
      <c r="P373" s="336"/>
    </row>
    <row r="374" spans="1:16" ht="15">
      <c r="A374" s="91">
        <v>371</v>
      </c>
      <c r="B374" s="56" t="s">
        <v>339</v>
      </c>
      <c r="C374" s="42">
        <v>39402</v>
      </c>
      <c r="D374" s="46" t="s">
        <v>262</v>
      </c>
      <c r="E374" s="46" t="s">
        <v>308</v>
      </c>
      <c r="F374" s="270">
        <v>125</v>
      </c>
      <c r="G374" s="43">
        <v>1</v>
      </c>
      <c r="H374" s="43">
        <v>15</v>
      </c>
      <c r="I374" s="195">
        <v>464</v>
      </c>
      <c r="J374" s="196">
        <v>116</v>
      </c>
      <c r="K374" s="214">
        <f>J374/G374</f>
        <v>116</v>
      </c>
      <c r="L374" s="215">
        <f>I374/J374</f>
        <v>4</v>
      </c>
      <c r="M374" s="199">
        <f>676439.5+554539.5+408532.5+265092+4+63975.5-30+36417+32233.5+29355.5+9292+4684+3839.75+6311.5+292.5+748+464</f>
        <v>2092190.75</v>
      </c>
      <c r="N374" s="197">
        <f>91933+76364+57186+39863+2+10711+6714+6020+5300+2353+1269+898+1545+86+187+116</f>
        <v>300547</v>
      </c>
      <c r="O374" s="226">
        <f t="shared" si="34"/>
        <v>6.961276439292357</v>
      </c>
      <c r="P374" s="336">
        <v>1</v>
      </c>
    </row>
    <row r="375" spans="1:16" ht="15">
      <c r="A375" s="91">
        <v>372</v>
      </c>
      <c r="B375" s="57" t="s">
        <v>353</v>
      </c>
      <c r="C375" s="41">
        <v>39395</v>
      </c>
      <c r="D375" s="47" t="s">
        <v>57</v>
      </c>
      <c r="E375" s="47" t="s">
        <v>219</v>
      </c>
      <c r="F375" s="64" t="s">
        <v>411</v>
      </c>
      <c r="G375" s="64" t="s">
        <v>125</v>
      </c>
      <c r="H375" s="64" t="s">
        <v>354</v>
      </c>
      <c r="I375" s="205">
        <v>462</v>
      </c>
      <c r="J375" s="206">
        <v>66</v>
      </c>
      <c r="K375" s="214">
        <f>J375/G375</f>
        <v>66</v>
      </c>
      <c r="L375" s="215">
        <f>I375/J375</f>
        <v>7</v>
      </c>
      <c r="M375" s="207">
        <v>147732.96</v>
      </c>
      <c r="N375" s="208">
        <v>24263</v>
      </c>
      <c r="O375" s="226">
        <f t="shared" si="34"/>
        <v>6.088816716811606</v>
      </c>
      <c r="P375" s="336"/>
    </row>
    <row r="376" spans="1:16" ht="15">
      <c r="A376" s="91">
        <v>373</v>
      </c>
      <c r="B376" s="56" t="s">
        <v>215</v>
      </c>
      <c r="C376" s="41">
        <v>39444</v>
      </c>
      <c r="D376" s="46" t="s">
        <v>309</v>
      </c>
      <c r="E376" s="46" t="s">
        <v>309</v>
      </c>
      <c r="F376" s="43">
        <v>14</v>
      </c>
      <c r="G376" s="43">
        <v>2</v>
      </c>
      <c r="H376" s="43">
        <v>14</v>
      </c>
      <c r="I376" s="86">
        <v>460</v>
      </c>
      <c r="J376" s="95">
        <v>88</v>
      </c>
      <c r="K376" s="144">
        <f>+J376/G376</f>
        <v>44</v>
      </c>
      <c r="L376" s="145">
        <f>+I376/J376</f>
        <v>5.2272727272727275</v>
      </c>
      <c r="M376" s="136">
        <v>238887</v>
      </c>
      <c r="N376" s="134">
        <v>24097</v>
      </c>
      <c r="O376" s="81">
        <f t="shared" si="34"/>
        <v>9.91355770427854</v>
      </c>
      <c r="P376" s="336"/>
    </row>
    <row r="377" spans="1:15" ht="15">
      <c r="A377" s="91">
        <v>374</v>
      </c>
      <c r="B377" s="77" t="s">
        <v>438</v>
      </c>
      <c r="C377" s="61">
        <v>39416</v>
      </c>
      <c r="D377" s="80" t="s">
        <v>60</v>
      </c>
      <c r="E377" s="80" t="s">
        <v>254</v>
      </c>
      <c r="F377" s="78">
        <v>45</v>
      </c>
      <c r="G377" s="79">
        <v>2</v>
      </c>
      <c r="H377" s="79">
        <v>7</v>
      </c>
      <c r="I377" s="209">
        <v>455</v>
      </c>
      <c r="J377" s="210">
        <v>73</v>
      </c>
      <c r="K377" s="211">
        <v>92.17647058823529</v>
      </c>
      <c r="L377" s="212">
        <v>5.0644543714103385</v>
      </c>
      <c r="M377" s="213">
        <v>172083.5</v>
      </c>
      <c r="N377" s="222">
        <v>25035</v>
      </c>
      <c r="O377" s="225">
        <f>M377/N377</f>
        <v>6.8737167964849215</v>
      </c>
    </row>
    <row r="378" spans="1:16" ht="15">
      <c r="A378" s="91">
        <v>375</v>
      </c>
      <c r="B378" s="56" t="s">
        <v>46</v>
      </c>
      <c r="C378" s="41">
        <v>39087</v>
      </c>
      <c r="D378" s="46" t="s">
        <v>260</v>
      </c>
      <c r="E378" s="46" t="s">
        <v>265</v>
      </c>
      <c r="F378" s="43">
        <v>80</v>
      </c>
      <c r="G378" s="43">
        <v>2</v>
      </c>
      <c r="H378" s="43">
        <v>36</v>
      </c>
      <c r="I378" s="136">
        <v>455</v>
      </c>
      <c r="J378" s="134">
        <v>50</v>
      </c>
      <c r="K378" s="144">
        <f aca="true" t="shared" si="35" ref="K378:K394">J378/G378</f>
        <v>25</v>
      </c>
      <c r="L378" s="145">
        <f>I378/J378</f>
        <v>9.1</v>
      </c>
      <c r="M378" s="136">
        <f>1367+686114+384405+247619+146119+85619+63759-1+18934+11869+10791+11315+6907+8812+6730+2628+1465+749+1063+756+276+1198+612+510+45+1062+592+1782+205+893+893+2490+691+2542+60+12+1977+1181+455</f>
        <v>1714496</v>
      </c>
      <c r="N378" s="134">
        <f>80773+116+46317+29887+17891+10484+7685+2801+1917+1334+1333+755+1517+932+417+307+136+369+126+23+122+85+45+5+126+49+510+33+296+296+415+68+356+20+4+312+121+50</f>
        <v>208033</v>
      </c>
      <c r="O378" s="81">
        <f aca="true" t="shared" si="36" ref="O378:O385">+M378/N378</f>
        <v>8.241461691173997</v>
      </c>
      <c r="P378" s="336">
        <v>1</v>
      </c>
    </row>
    <row r="379" spans="1:16" ht="15">
      <c r="A379" s="91">
        <v>376</v>
      </c>
      <c r="B379" s="57" t="s">
        <v>217</v>
      </c>
      <c r="C379" s="41">
        <v>39444</v>
      </c>
      <c r="D379" s="47" t="s">
        <v>133</v>
      </c>
      <c r="E379" s="47" t="s">
        <v>168</v>
      </c>
      <c r="F379" s="64" t="s">
        <v>212</v>
      </c>
      <c r="G379" s="64" t="s">
        <v>132</v>
      </c>
      <c r="H379" s="64" t="s">
        <v>320</v>
      </c>
      <c r="I379" s="205">
        <v>451</v>
      </c>
      <c r="J379" s="206">
        <v>80</v>
      </c>
      <c r="K379" s="214">
        <f t="shared" si="35"/>
        <v>40</v>
      </c>
      <c r="L379" s="215">
        <f>I379/J379</f>
        <v>5.6375</v>
      </c>
      <c r="M379" s="207">
        <v>20743.5</v>
      </c>
      <c r="N379" s="208">
        <v>2685</v>
      </c>
      <c r="O379" s="226">
        <f t="shared" si="36"/>
        <v>7.725698324022346</v>
      </c>
      <c r="P379" s="336"/>
    </row>
    <row r="380" spans="1:15" ht="15">
      <c r="A380" s="91">
        <v>377</v>
      </c>
      <c r="B380" s="56" t="s">
        <v>325</v>
      </c>
      <c r="C380" s="42">
        <v>39437</v>
      </c>
      <c r="D380" s="87" t="s">
        <v>261</v>
      </c>
      <c r="E380" s="87" t="s">
        <v>223</v>
      </c>
      <c r="F380" s="43">
        <v>105</v>
      </c>
      <c r="G380" s="43">
        <v>1</v>
      </c>
      <c r="H380" s="43">
        <v>9</v>
      </c>
      <c r="I380" s="195">
        <v>448</v>
      </c>
      <c r="J380" s="196">
        <v>84</v>
      </c>
      <c r="K380" s="214">
        <f t="shared" si="35"/>
        <v>84</v>
      </c>
      <c r="L380" s="135">
        <f>+I380/J380</f>
        <v>5.333333333333333</v>
      </c>
      <c r="M380" s="199">
        <v>716759</v>
      </c>
      <c r="N380" s="197">
        <v>82547</v>
      </c>
      <c r="O380" s="81">
        <f t="shared" si="36"/>
        <v>8.683041176541849</v>
      </c>
    </row>
    <row r="381" spans="1:16" ht="15">
      <c r="A381" s="91">
        <v>378</v>
      </c>
      <c r="B381" s="56" t="s">
        <v>338</v>
      </c>
      <c r="C381" s="41">
        <v>39402</v>
      </c>
      <c r="D381" s="46" t="s">
        <v>261</v>
      </c>
      <c r="E381" s="46" t="s">
        <v>50</v>
      </c>
      <c r="F381" s="43">
        <v>130</v>
      </c>
      <c r="G381" s="43">
        <v>1</v>
      </c>
      <c r="H381" s="43">
        <v>21</v>
      </c>
      <c r="I381" s="195">
        <v>444</v>
      </c>
      <c r="J381" s="196">
        <v>148</v>
      </c>
      <c r="K381" s="214">
        <f t="shared" si="35"/>
        <v>148</v>
      </c>
      <c r="L381" s="215">
        <f>I381/J381</f>
        <v>3</v>
      </c>
      <c r="M381" s="199">
        <v>2097124</v>
      </c>
      <c r="N381" s="197">
        <v>265806</v>
      </c>
      <c r="O381" s="226">
        <f t="shared" si="36"/>
        <v>7.889678938774896</v>
      </c>
      <c r="P381" s="336"/>
    </row>
    <row r="382" spans="1:16" ht="15">
      <c r="A382" s="91">
        <v>379</v>
      </c>
      <c r="B382" s="56" t="s">
        <v>339</v>
      </c>
      <c r="C382" s="42">
        <v>39402</v>
      </c>
      <c r="D382" s="46" t="s">
        <v>262</v>
      </c>
      <c r="E382" s="46" t="s">
        <v>308</v>
      </c>
      <c r="F382" s="270">
        <v>125</v>
      </c>
      <c r="G382" s="43">
        <v>1</v>
      </c>
      <c r="H382" s="43">
        <v>16</v>
      </c>
      <c r="I382" s="86">
        <v>444</v>
      </c>
      <c r="J382" s="95">
        <v>111</v>
      </c>
      <c r="K382" s="144">
        <f t="shared" si="35"/>
        <v>111</v>
      </c>
      <c r="L382" s="215">
        <f>I382/J382</f>
        <v>4</v>
      </c>
      <c r="M382" s="136">
        <f>676439.5+554539.5+408532.5+265092+4+63975.5-30+36417+32233.5+29355.5+9292+4684+3839.75+6311.5+292.5+748+464+444</f>
        <v>2092634.75</v>
      </c>
      <c r="N382" s="134">
        <f>91933+76364+57186+39863+2+10711+6714+6020+5300+2353+1269+898+1545+86+187+116+111</f>
        <v>300658</v>
      </c>
      <c r="O382" s="226">
        <f t="shared" si="36"/>
        <v>6.960183164924931</v>
      </c>
      <c r="P382" s="336"/>
    </row>
    <row r="383" spans="1:15" ht="15">
      <c r="A383" s="91">
        <v>380</v>
      </c>
      <c r="B383" s="56" t="s">
        <v>316</v>
      </c>
      <c r="C383" s="42">
        <v>39430</v>
      </c>
      <c r="D383" s="46" t="s">
        <v>262</v>
      </c>
      <c r="E383" s="46" t="s">
        <v>263</v>
      </c>
      <c r="F383" s="63">
        <v>64</v>
      </c>
      <c r="G383" s="43">
        <v>2</v>
      </c>
      <c r="H383" s="43">
        <v>10</v>
      </c>
      <c r="I383" s="195">
        <v>442</v>
      </c>
      <c r="J383" s="196">
        <v>78</v>
      </c>
      <c r="K383" s="214">
        <f t="shared" si="35"/>
        <v>39</v>
      </c>
      <c r="L383" s="145">
        <f>I383/J383</f>
        <v>5.666666666666667</v>
      </c>
      <c r="M383" s="199">
        <f>183581+192120.5+67824+23763.5+5798.5+5467+22027+14042+2947+442</f>
        <v>518012.5</v>
      </c>
      <c r="N383" s="197">
        <f>20071+21989+8620+4128+850+1010+3719+2499+595+78</f>
        <v>63559</v>
      </c>
      <c r="O383" s="81">
        <f t="shared" si="36"/>
        <v>8.150104627196777</v>
      </c>
    </row>
    <row r="384" spans="1:16" ht="15">
      <c r="A384" s="91">
        <v>381</v>
      </c>
      <c r="B384" s="56" t="s">
        <v>338</v>
      </c>
      <c r="C384" s="41">
        <v>39402</v>
      </c>
      <c r="D384" s="339" t="s">
        <v>261</v>
      </c>
      <c r="E384" s="339" t="s">
        <v>50</v>
      </c>
      <c r="F384" s="43">
        <v>130</v>
      </c>
      <c r="G384" s="43">
        <v>1</v>
      </c>
      <c r="H384" s="43">
        <v>2</v>
      </c>
      <c r="I384" s="195">
        <v>441</v>
      </c>
      <c r="J384" s="196">
        <v>350</v>
      </c>
      <c r="K384" s="214">
        <f t="shared" si="35"/>
        <v>350</v>
      </c>
      <c r="L384" s="215">
        <f>+I384/J384</f>
        <v>1.26</v>
      </c>
      <c r="M384" s="199">
        <v>2096680</v>
      </c>
      <c r="N384" s="197">
        <v>265658</v>
      </c>
      <c r="O384" s="226">
        <f t="shared" si="36"/>
        <v>7.8924030144019754</v>
      </c>
      <c r="P384" s="251">
        <v>1</v>
      </c>
    </row>
    <row r="385" spans="1:16" ht="15">
      <c r="A385" s="91">
        <v>382</v>
      </c>
      <c r="B385" s="56" t="s">
        <v>338</v>
      </c>
      <c r="C385" s="41">
        <v>39402</v>
      </c>
      <c r="D385" s="46" t="s">
        <v>261</v>
      </c>
      <c r="E385" s="46" t="s">
        <v>50</v>
      </c>
      <c r="F385" s="43">
        <v>130</v>
      </c>
      <c r="G385" s="43">
        <v>1</v>
      </c>
      <c r="H385" s="43">
        <v>24</v>
      </c>
      <c r="I385" s="368">
        <v>432</v>
      </c>
      <c r="J385" s="369">
        <v>87</v>
      </c>
      <c r="K385" s="214">
        <f t="shared" si="35"/>
        <v>87</v>
      </c>
      <c r="L385" s="215">
        <f aca="true" t="shared" si="37" ref="L385:L390">I385/J385</f>
        <v>4.9655172413793105</v>
      </c>
      <c r="M385" s="199">
        <v>2098487</v>
      </c>
      <c r="N385" s="197">
        <v>266099</v>
      </c>
      <c r="O385" s="226">
        <f t="shared" si="36"/>
        <v>7.8861138147832195</v>
      </c>
      <c r="P385" s="336"/>
    </row>
    <row r="386" spans="1:16" ht="15">
      <c r="A386" s="91">
        <v>383</v>
      </c>
      <c r="B386" s="56" t="s">
        <v>211</v>
      </c>
      <c r="C386" s="41">
        <v>39437</v>
      </c>
      <c r="D386" s="46" t="s">
        <v>126</v>
      </c>
      <c r="E386" s="46" t="s">
        <v>250</v>
      </c>
      <c r="F386" s="43">
        <v>1</v>
      </c>
      <c r="G386" s="43">
        <v>1</v>
      </c>
      <c r="H386" s="43">
        <v>9</v>
      </c>
      <c r="I386" s="195">
        <v>414</v>
      </c>
      <c r="J386" s="196">
        <v>50</v>
      </c>
      <c r="K386" s="214">
        <f t="shared" si="35"/>
        <v>50</v>
      </c>
      <c r="L386" s="215">
        <f t="shared" si="37"/>
        <v>8.28</v>
      </c>
      <c r="M386" s="199">
        <v>30245.5</v>
      </c>
      <c r="N386" s="197">
        <v>4916</v>
      </c>
      <c r="O386" s="226">
        <f>M386/N386</f>
        <v>6.1524613506916195</v>
      </c>
      <c r="P386" s="336"/>
    </row>
    <row r="387" spans="1:16" ht="15">
      <c r="A387" s="91">
        <v>384</v>
      </c>
      <c r="B387" s="56" t="s">
        <v>169</v>
      </c>
      <c r="C387" s="42">
        <v>39444</v>
      </c>
      <c r="D387" s="46" t="s">
        <v>262</v>
      </c>
      <c r="E387" s="46" t="s">
        <v>218</v>
      </c>
      <c r="F387" s="63">
        <v>10</v>
      </c>
      <c r="G387" s="43">
        <v>2</v>
      </c>
      <c r="H387" s="43">
        <v>6</v>
      </c>
      <c r="I387" s="195">
        <v>408</v>
      </c>
      <c r="J387" s="196">
        <v>70</v>
      </c>
      <c r="K387" s="214">
        <f t="shared" si="35"/>
        <v>35</v>
      </c>
      <c r="L387" s="145">
        <f t="shared" si="37"/>
        <v>5.828571428571428</v>
      </c>
      <c r="M387" s="199">
        <f>8804+1895+1013.5+219+801+408</f>
        <v>13140.5</v>
      </c>
      <c r="N387" s="197">
        <f>970+200+157+43+164+70</f>
        <v>1604</v>
      </c>
      <c r="O387" s="81">
        <f aca="true" t="shared" si="38" ref="O387:O395">+M387/N387</f>
        <v>8.192331670822943</v>
      </c>
      <c r="P387" s="336"/>
    </row>
    <row r="388" spans="1:16" ht="15">
      <c r="A388" s="91">
        <v>385</v>
      </c>
      <c r="B388" s="56" t="s">
        <v>444</v>
      </c>
      <c r="C388" s="41">
        <v>39416</v>
      </c>
      <c r="D388" s="46" t="s">
        <v>260</v>
      </c>
      <c r="E388" s="46" t="s">
        <v>144</v>
      </c>
      <c r="F388" s="43">
        <v>123</v>
      </c>
      <c r="G388" s="43">
        <v>3</v>
      </c>
      <c r="H388" s="43">
        <v>15</v>
      </c>
      <c r="I388" s="195">
        <v>405</v>
      </c>
      <c r="J388" s="196">
        <v>66</v>
      </c>
      <c r="K388" s="214">
        <f t="shared" si="35"/>
        <v>22</v>
      </c>
      <c r="L388" s="215">
        <f t="shared" si="37"/>
        <v>6.136363636363637</v>
      </c>
      <c r="M388" s="199">
        <f>155416+1136619+622980+528056+225392+174199+84508+58425+34257+3403+1276+1707+633+682+568+405</f>
        <v>3028526</v>
      </c>
      <c r="N388" s="197">
        <f>12079+122083+66530+52286+18245+17821+7913+4333+2998+686+289+388+102+107+93+66</f>
        <v>306019</v>
      </c>
      <c r="O388" s="226">
        <f t="shared" si="38"/>
        <v>9.896529300468272</v>
      </c>
      <c r="P388" s="336"/>
    </row>
    <row r="389" spans="1:16" ht="15">
      <c r="A389" s="91">
        <v>386</v>
      </c>
      <c r="B389" s="57" t="s">
        <v>59</v>
      </c>
      <c r="C389" s="42">
        <v>39220</v>
      </c>
      <c r="D389" s="47" t="s">
        <v>126</v>
      </c>
      <c r="E389" s="47" t="s">
        <v>105</v>
      </c>
      <c r="F389" s="88">
        <v>88</v>
      </c>
      <c r="G389" s="89">
        <v>2</v>
      </c>
      <c r="H389" s="88">
        <v>37</v>
      </c>
      <c r="I389" s="205">
        <v>404</v>
      </c>
      <c r="J389" s="206">
        <v>98</v>
      </c>
      <c r="K389" s="214">
        <f t="shared" si="35"/>
        <v>49</v>
      </c>
      <c r="L389" s="145">
        <f t="shared" si="37"/>
        <v>4.122448979591836</v>
      </c>
      <c r="M389" s="207">
        <v>589979</v>
      </c>
      <c r="N389" s="208">
        <v>87152</v>
      </c>
      <c r="O389" s="81">
        <f t="shared" si="38"/>
        <v>6.769540572792363</v>
      </c>
      <c r="P389" s="336"/>
    </row>
    <row r="390" spans="1:15" ht="15">
      <c r="A390" s="91">
        <v>387</v>
      </c>
      <c r="B390" s="56" t="s">
        <v>438</v>
      </c>
      <c r="C390" s="41">
        <v>39416</v>
      </c>
      <c r="D390" s="46" t="s">
        <v>60</v>
      </c>
      <c r="E390" s="46" t="s">
        <v>254</v>
      </c>
      <c r="F390" s="43">
        <v>45</v>
      </c>
      <c r="G390" s="43">
        <v>1</v>
      </c>
      <c r="H390" s="43">
        <v>17</v>
      </c>
      <c r="I390" s="195">
        <v>394</v>
      </c>
      <c r="J390" s="196">
        <v>157</v>
      </c>
      <c r="K390" s="214">
        <f t="shared" si="35"/>
        <v>157</v>
      </c>
      <c r="L390" s="215">
        <f t="shared" si="37"/>
        <v>2.5095541401273884</v>
      </c>
      <c r="M390" s="199">
        <v>185030.5</v>
      </c>
      <c r="N390" s="197">
        <v>28022</v>
      </c>
      <c r="O390" s="226">
        <f t="shared" si="38"/>
        <v>6.603044036828207</v>
      </c>
    </row>
    <row r="391" spans="1:16" ht="15">
      <c r="A391" s="91">
        <v>388</v>
      </c>
      <c r="B391" s="56" t="s">
        <v>323</v>
      </c>
      <c r="C391" s="41">
        <v>39437</v>
      </c>
      <c r="D391" s="46" t="s">
        <v>262</v>
      </c>
      <c r="E391" s="46" t="s">
        <v>324</v>
      </c>
      <c r="F391" s="43">
        <v>156</v>
      </c>
      <c r="G391" s="43">
        <v>1</v>
      </c>
      <c r="H391" s="43">
        <v>14</v>
      </c>
      <c r="I391" s="195">
        <v>391</v>
      </c>
      <c r="J391" s="196">
        <v>98</v>
      </c>
      <c r="K391" s="214">
        <f t="shared" si="35"/>
        <v>98</v>
      </c>
      <c r="L391" s="215">
        <f>+I391/J391</f>
        <v>3.989795918367347</v>
      </c>
      <c r="M391" s="199">
        <f>1780127+1212579.5+721829.5+404706.5+230406+56484.5+45824+18497.5+10529+9795.5+1455+3484+1447+391</f>
        <v>4497556</v>
      </c>
      <c r="N391" s="197">
        <f>240776+165120+97288+55998+35394+10296+9476+3143+2091+2258+337+991+436+98</f>
        <v>623702</v>
      </c>
      <c r="O391" s="226">
        <f t="shared" si="38"/>
        <v>7.211065540915373</v>
      </c>
      <c r="P391" s="336"/>
    </row>
    <row r="392" spans="1:16" ht="15">
      <c r="A392" s="91">
        <v>389</v>
      </c>
      <c r="B392" s="56" t="s">
        <v>73</v>
      </c>
      <c r="C392" s="41">
        <v>39395</v>
      </c>
      <c r="D392" s="46" t="s">
        <v>133</v>
      </c>
      <c r="E392" s="46" t="s">
        <v>74</v>
      </c>
      <c r="F392" s="43" t="s">
        <v>75</v>
      </c>
      <c r="G392" s="43" t="s">
        <v>319</v>
      </c>
      <c r="H392" s="43" t="s">
        <v>162</v>
      </c>
      <c r="I392" s="195">
        <v>388.5</v>
      </c>
      <c r="J392" s="196">
        <v>61</v>
      </c>
      <c r="K392" s="214">
        <f t="shared" si="35"/>
        <v>20.333333333333332</v>
      </c>
      <c r="L392" s="215">
        <f>I392/J392</f>
        <v>6.368852459016393</v>
      </c>
      <c r="M392" s="199">
        <v>278108.5</v>
      </c>
      <c r="N392" s="197">
        <v>34896</v>
      </c>
      <c r="O392" s="226">
        <f t="shared" si="38"/>
        <v>7.9696383539660705</v>
      </c>
      <c r="P392" s="336"/>
    </row>
    <row r="393" spans="1:16" ht="15">
      <c r="A393" s="91">
        <v>390</v>
      </c>
      <c r="B393" s="56" t="s">
        <v>217</v>
      </c>
      <c r="C393" s="41">
        <v>39444</v>
      </c>
      <c r="D393" s="46" t="s">
        <v>133</v>
      </c>
      <c r="E393" s="46" t="s">
        <v>293</v>
      </c>
      <c r="F393" s="43" t="s">
        <v>212</v>
      </c>
      <c r="G393" s="43" t="s">
        <v>125</v>
      </c>
      <c r="H393" s="43" t="s">
        <v>212</v>
      </c>
      <c r="I393" s="195">
        <v>385</v>
      </c>
      <c r="J393" s="196">
        <v>77</v>
      </c>
      <c r="K393" s="214">
        <f t="shared" si="35"/>
        <v>77</v>
      </c>
      <c r="L393" s="215">
        <f>I393/J393</f>
        <v>5</v>
      </c>
      <c r="M393" s="199">
        <v>22165.5</v>
      </c>
      <c r="N393" s="197">
        <v>2958</v>
      </c>
      <c r="O393" s="226">
        <f t="shared" si="38"/>
        <v>7.493407707910751</v>
      </c>
      <c r="P393" s="336"/>
    </row>
    <row r="394" spans="1:16" ht="15">
      <c r="A394" s="91">
        <v>391</v>
      </c>
      <c r="B394" s="56" t="s">
        <v>214</v>
      </c>
      <c r="C394" s="41">
        <v>39444</v>
      </c>
      <c r="D394" s="46" t="s">
        <v>260</v>
      </c>
      <c r="E394" s="46" t="s">
        <v>107</v>
      </c>
      <c r="F394" s="43">
        <v>60</v>
      </c>
      <c r="G394" s="43">
        <v>1</v>
      </c>
      <c r="H394" s="43">
        <v>7</v>
      </c>
      <c r="I394" s="195">
        <v>375</v>
      </c>
      <c r="J394" s="196">
        <v>81</v>
      </c>
      <c r="K394" s="214">
        <f t="shared" si="35"/>
        <v>81</v>
      </c>
      <c r="L394" s="215">
        <f>I394/J394</f>
        <v>4.62962962962963</v>
      </c>
      <c r="M394" s="199">
        <f>211429+90759+13033+2807+2520+52+375</f>
        <v>320975</v>
      </c>
      <c r="N394" s="197">
        <f>22982+9879+1560+450+434+13+81</f>
        <v>35399</v>
      </c>
      <c r="O394" s="226">
        <f t="shared" si="38"/>
        <v>9.06734653521286</v>
      </c>
      <c r="P394" s="251"/>
    </row>
    <row r="395" spans="1:16" ht="15">
      <c r="A395" s="91">
        <v>392</v>
      </c>
      <c r="B395" s="56" t="s">
        <v>12</v>
      </c>
      <c r="C395" s="41">
        <v>39353</v>
      </c>
      <c r="D395" s="46" t="s">
        <v>309</v>
      </c>
      <c r="E395" s="46" t="s">
        <v>309</v>
      </c>
      <c r="F395" s="43">
        <v>1</v>
      </c>
      <c r="G395" s="43">
        <v>1</v>
      </c>
      <c r="H395" s="43">
        <v>30</v>
      </c>
      <c r="I395" s="136">
        <v>374</v>
      </c>
      <c r="J395" s="134">
        <v>63</v>
      </c>
      <c r="K395" s="144">
        <f>+J395/G395</f>
        <v>63</v>
      </c>
      <c r="L395" s="145">
        <f>+I395/J395</f>
        <v>5.936507936507937</v>
      </c>
      <c r="M395" s="136">
        <v>34327</v>
      </c>
      <c r="N395" s="134">
        <v>3222</v>
      </c>
      <c r="O395" s="81">
        <f t="shared" si="38"/>
        <v>10.653941651148354</v>
      </c>
      <c r="P395" s="336"/>
    </row>
    <row r="396" spans="1:16" ht="15">
      <c r="A396" s="91">
        <v>393</v>
      </c>
      <c r="B396" s="56" t="s">
        <v>445</v>
      </c>
      <c r="C396" s="42">
        <v>39409</v>
      </c>
      <c r="D396" s="47" t="s">
        <v>262</v>
      </c>
      <c r="E396" s="46" t="s">
        <v>13</v>
      </c>
      <c r="F396" s="88">
        <v>13</v>
      </c>
      <c r="G396" s="43">
        <v>1</v>
      </c>
      <c r="H396" s="43">
        <v>8</v>
      </c>
      <c r="I396" s="195">
        <v>373</v>
      </c>
      <c r="J396" s="196">
        <v>86</v>
      </c>
      <c r="K396" s="214">
        <f>J396/G396</f>
        <v>86</v>
      </c>
      <c r="L396" s="215">
        <f>I396/J396</f>
        <v>4.337209302325581</v>
      </c>
      <c r="M396" s="199">
        <f>12464+5333-100+2072+1025+199+193+373</f>
        <v>21559</v>
      </c>
      <c r="N396" s="197">
        <f>1407+644-8+342+204+38+38+86</f>
        <v>2751</v>
      </c>
      <c r="O396" s="225">
        <f>M396/N396</f>
        <v>7.836786623046165</v>
      </c>
      <c r="P396" s="250">
        <v>1</v>
      </c>
    </row>
    <row r="397" spans="1:15" ht="15">
      <c r="A397" s="91">
        <v>394</v>
      </c>
      <c r="B397" s="56" t="s">
        <v>313</v>
      </c>
      <c r="C397" s="41">
        <v>39430</v>
      </c>
      <c r="D397" s="46" t="s">
        <v>261</v>
      </c>
      <c r="E397" s="46" t="s">
        <v>104</v>
      </c>
      <c r="F397" s="43">
        <v>137</v>
      </c>
      <c r="G397" s="43">
        <v>1</v>
      </c>
      <c r="H397" s="43">
        <v>19</v>
      </c>
      <c r="I397" s="136">
        <v>367</v>
      </c>
      <c r="J397" s="134">
        <v>72</v>
      </c>
      <c r="K397" s="144">
        <f>J397/G397</f>
        <v>72</v>
      </c>
      <c r="L397" s="145">
        <f>+I397/J397</f>
        <v>5.097222222222222</v>
      </c>
      <c r="M397" s="136">
        <v>3566264</v>
      </c>
      <c r="N397" s="134">
        <v>463154</v>
      </c>
      <c r="O397" s="81">
        <f>+M397/N397</f>
        <v>7.699952931422378</v>
      </c>
    </row>
    <row r="398" spans="1:16" ht="15">
      <c r="A398" s="91">
        <v>395</v>
      </c>
      <c r="B398" s="56" t="s">
        <v>310</v>
      </c>
      <c r="C398" s="41">
        <v>39423</v>
      </c>
      <c r="D398" s="46" t="s">
        <v>256</v>
      </c>
      <c r="E398" s="46" t="s">
        <v>251</v>
      </c>
      <c r="F398" s="43">
        <v>164</v>
      </c>
      <c r="G398" s="43">
        <v>2</v>
      </c>
      <c r="H398" s="43">
        <v>14</v>
      </c>
      <c r="I398" s="195">
        <v>361</v>
      </c>
      <c r="J398" s="196">
        <v>63</v>
      </c>
      <c r="K398" s="214">
        <f>IF(I398&lt;&gt;0,J398/G398,"")</f>
        <v>31.5</v>
      </c>
      <c r="L398" s="215">
        <f>IF(I398&lt;&gt;0,I398/J398,"")</f>
        <v>5.73015873015873</v>
      </c>
      <c r="M398" s="199">
        <f>1455428+896564.5+785700+295594.5+45815.5+11311.5+13282+11389+10839+9534+2826+2532+168+361</f>
        <v>3541345</v>
      </c>
      <c r="N398" s="197">
        <f>172176+105411+97548+39201+8243+2114+2845+2112+2384+1888+598+623+42+63</f>
        <v>435248</v>
      </c>
      <c r="O398" s="226">
        <f>IF(M398&lt;&gt;0,M398/N398,"")</f>
        <v>8.136384314230048</v>
      </c>
      <c r="P398" s="336">
        <v>1</v>
      </c>
    </row>
    <row r="399" spans="1:16" ht="18">
      <c r="A399" s="91">
        <v>396</v>
      </c>
      <c r="B399" s="55" t="s">
        <v>72</v>
      </c>
      <c r="C399" s="41">
        <v>39374</v>
      </c>
      <c r="D399" s="44" t="s">
        <v>256</v>
      </c>
      <c r="E399" s="44" t="s">
        <v>106</v>
      </c>
      <c r="F399" s="63">
        <v>86</v>
      </c>
      <c r="G399" s="63">
        <v>1</v>
      </c>
      <c r="H399" s="63">
        <v>11</v>
      </c>
      <c r="I399" s="200">
        <v>358</v>
      </c>
      <c r="J399" s="201">
        <v>70</v>
      </c>
      <c r="K399" s="214">
        <f>J399/G399</f>
        <v>70</v>
      </c>
      <c r="L399" s="215">
        <f>I399/J399</f>
        <v>5.114285714285714</v>
      </c>
      <c r="M399" s="204">
        <f>333964+358</f>
        <v>334322</v>
      </c>
      <c r="N399" s="197">
        <f>46724+70</f>
        <v>46794</v>
      </c>
      <c r="O399" s="224">
        <f>IF(M399&lt;&gt;0,M399/N399,"")</f>
        <v>7.144548446382014</v>
      </c>
      <c r="P399" s="360">
        <v>1</v>
      </c>
    </row>
    <row r="400" spans="1:16" ht="15">
      <c r="A400" s="91">
        <v>397</v>
      </c>
      <c r="B400" s="57" t="s">
        <v>148</v>
      </c>
      <c r="C400" s="42">
        <v>39381</v>
      </c>
      <c r="D400" s="47" t="s">
        <v>126</v>
      </c>
      <c r="E400" s="47" t="s">
        <v>149</v>
      </c>
      <c r="F400" s="88">
        <v>11</v>
      </c>
      <c r="G400" s="89">
        <v>1</v>
      </c>
      <c r="H400" s="88">
        <v>12</v>
      </c>
      <c r="I400" s="205">
        <v>348</v>
      </c>
      <c r="J400" s="206">
        <v>52</v>
      </c>
      <c r="K400" s="214">
        <f>J400/G400</f>
        <v>52</v>
      </c>
      <c r="L400" s="215">
        <f>I400/J400</f>
        <v>6.6923076923076925</v>
      </c>
      <c r="M400" s="207">
        <v>220758.7</v>
      </c>
      <c r="N400" s="208">
        <v>24841</v>
      </c>
      <c r="O400" s="226">
        <f>+M400/N400</f>
        <v>8.886868483555412</v>
      </c>
      <c r="P400" s="336">
        <v>1</v>
      </c>
    </row>
    <row r="401" spans="1:16" ht="15">
      <c r="A401" s="91">
        <v>398</v>
      </c>
      <c r="B401" s="56" t="s">
        <v>317</v>
      </c>
      <c r="C401" s="42">
        <v>39430</v>
      </c>
      <c r="D401" s="46" t="s">
        <v>262</v>
      </c>
      <c r="E401" s="46" t="s">
        <v>318</v>
      </c>
      <c r="F401" s="43">
        <v>43</v>
      </c>
      <c r="G401" s="43">
        <v>2</v>
      </c>
      <c r="H401" s="43">
        <v>10</v>
      </c>
      <c r="I401" s="195">
        <v>326</v>
      </c>
      <c r="J401" s="196">
        <v>62</v>
      </c>
      <c r="K401" s="214">
        <f>J401/G401</f>
        <v>31</v>
      </c>
      <c r="L401" s="145">
        <f>I401/J401</f>
        <v>5.258064516129032</v>
      </c>
      <c r="M401" s="199">
        <f>43240+25728.5+5226.5+5207.5+50+1692+2247+3101.5+796+326</f>
        <v>87615</v>
      </c>
      <c r="N401" s="197">
        <f>5272+3593+870+1171+5+336+461+717+182+62</f>
        <v>12669</v>
      </c>
      <c r="O401" s="81">
        <f>+M401/N401</f>
        <v>6.915699739521667</v>
      </c>
      <c r="P401" s="336"/>
    </row>
    <row r="402" spans="1:16" ht="15">
      <c r="A402" s="91">
        <v>399</v>
      </c>
      <c r="B402" s="56" t="s">
        <v>311</v>
      </c>
      <c r="C402" s="41">
        <v>39430</v>
      </c>
      <c r="D402" s="46" t="s">
        <v>261</v>
      </c>
      <c r="E402" s="46" t="s">
        <v>177</v>
      </c>
      <c r="F402" s="43">
        <v>242</v>
      </c>
      <c r="G402" s="43">
        <v>2</v>
      </c>
      <c r="H402" s="43">
        <v>16</v>
      </c>
      <c r="I402" s="86">
        <v>321</v>
      </c>
      <c r="J402" s="95">
        <v>54</v>
      </c>
      <c r="K402" s="144">
        <f>J402/G402</f>
        <v>27</v>
      </c>
      <c r="L402" s="145">
        <f>+I402/J402</f>
        <v>5.944444444444445</v>
      </c>
      <c r="M402" s="136">
        <v>15280704</v>
      </c>
      <c r="N402" s="134">
        <v>1984809</v>
      </c>
      <c r="O402" s="81">
        <f>+M402/N402</f>
        <v>7.6988284515033945</v>
      </c>
      <c r="P402" s="336">
        <v>1</v>
      </c>
    </row>
    <row r="403" spans="1:16" ht="15">
      <c r="A403" s="91">
        <v>400</v>
      </c>
      <c r="B403" s="55" t="s">
        <v>443</v>
      </c>
      <c r="C403" s="41">
        <v>39409</v>
      </c>
      <c r="D403" s="45" t="s">
        <v>260</v>
      </c>
      <c r="E403" s="44" t="s">
        <v>107</v>
      </c>
      <c r="F403" s="63">
        <v>69</v>
      </c>
      <c r="G403" s="63">
        <v>1</v>
      </c>
      <c r="H403" s="63">
        <v>8</v>
      </c>
      <c r="I403" s="205">
        <v>313</v>
      </c>
      <c r="J403" s="206">
        <v>56</v>
      </c>
      <c r="K403" s="214">
        <f>J403/G403</f>
        <v>56</v>
      </c>
      <c r="L403" s="215">
        <f>I403/J403</f>
        <v>5.589285714285714</v>
      </c>
      <c r="M403" s="207">
        <f>387069+277494+166747+4993+4045+7291+3613+313</f>
        <v>851565</v>
      </c>
      <c r="N403" s="208">
        <f>37017+27892+17708+698+855+1523+696+56</f>
        <v>86445</v>
      </c>
      <c r="O403" s="226">
        <f>+M403/N403</f>
        <v>9.850945688009718</v>
      </c>
      <c r="P403" s="336"/>
    </row>
    <row r="404" spans="1:16" ht="15">
      <c r="A404" s="91">
        <v>401</v>
      </c>
      <c r="B404" s="56" t="s">
        <v>215</v>
      </c>
      <c r="C404" s="41">
        <v>39444</v>
      </c>
      <c r="D404" s="339" t="s">
        <v>309</v>
      </c>
      <c r="E404" s="339" t="s">
        <v>309</v>
      </c>
      <c r="F404" s="43">
        <v>14</v>
      </c>
      <c r="G404" s="43">
        <v>1</v>
      </c>
      <c r="H404" s="43">
        <v>13</v>
      </c>
      <c r="I404" s="195">
        <v>304</v>
      </c>
      <c r="J404" s="196">
        <v>65</v>
      </c>
      <c r="K404" s="214">
        <f>IF(I404&lt;&gt;0,J404/G404,"")</f>
        <v>65</v>
      </c>
      <c r="L404" s="215">
        <f>IF(I404&lt;&gt;0,I404/J404,"")</f>
        <v>4.676923076923077</v>
      </c>
      <c r="M404" s="199">
        <v>238134</v>
      </c>
      <c r="N404" s="197">
        <v>23944</v>
      </c>
      <c r="O404" s="226">
        <f>IF(M404&lt;&gt;0,M404/N404,"")</f>
        <v>9.945456064149683</v>
      </c>
      <c r="P404" s="336">
        <v>1</v>
      </c>
    </row>
    <row r="405" spans="1:16" ht="15">
      <c r="A405" s="91">
        <v>402</v>
      </c>
      <c r="B405" s="56" t="s">
        <v>338</v>
      </c>
      <c r="C405" s="41">
        <v>39402</v>
      </c>
      <c r="D405" s="46" t="s">
        <v>261</v>
      </c>
      <c r="E405" s="46" t="s">
        <v>50</v>
      </c>
      <c r="F405" s="43">
        <v>130</v>
      </c>
      <c r="G405" s="43">
        <v>1</v>
      </c>
      <c r="H405" s="43">
        <v>23</v>
      </c>
      <c r="I405" s="136">
        <v>300</v>
      </c>
      <c r="J405" s="134">
        <v>62</v>
      </c>
      <c r="K405" s="144">
        <f>J405/G405</f>
        <v>62</v>
      </c>
      <c r="L405" s="145">
        <f>+I405/J405</f>
        <v>4.838709677419355</v>
      </c>
      <c r="M405" s="136">
        <v>2098055</v>
      </c>
      <c r="N405" s="134">
        <v>266012</v>
      </c>
      <c r="O405" s="81">
        <f>+M405/N405</f>
        <v>7.8870690044058165</v>
      </c>
      <c r="P405" s="336"/>
    </row>
    <row r="406" spans="1:16" ht="18">
      <c r="A406" s="91">
        <v>403</v>
      </c>
      <c r="B406" s="56" t="s">
        <v>333</v>
      </c>
      <c r="C406" s="41">
        <v>39381</v>
      </c>
      <c r="D406" s="46" t="s">
        <v>256</v>
      </c>
      <c r="E406" s="46" t="s">
        <v>147</v>
      </c>
      <c r="F406" s="43">
        <v>91</v>
      </c>
      <c r="G406" s="43">
        <v>1</v>
      </c>
      <c r="H406" s="43">
        <v>19</v>
      </c>
      <c r="I406" s="368">
        <v>297</v>
      </c>
      <c r="J406" s="369">
        <v>100</v>
      </c>
      <c r="K406" s="214">
        <f>IF(I406&lt;&gt;0,J406/G406,"")</f>
        <v>100</v>
      </c>
      <c r="L406" s="215">
        <f>IF(I406&lt;&gt;0,I406/J406,"")</f>
        <v>2.97</v>
      </c>
      <c r="M406" s="199">
        <f>2459549.5+0+2990+297</f>
        <v>2462836.5</v>
      </c>
      <c r="N406" s="197">
        <f>288443+0+731+100</f>
        <v>289274</v>
      </c>
      <c r="O406" s="226">
        <f>IF(M406&lt;&gt;0,M406/N406,"")</f>
        <v>8.513853647406957</v>
      </c>
      <c r="P406" s="360">
        <v>1</v>
      </c>
    </row>
    <row r="407" spans="1:15" ht="15">
      <c r="A407" s="91">
        <v>404</v>
      </c>
      <c r="B407" s="56" t="s">
        <v>12</v>
      </c>
      <c r="C407" s="41">
        <v>39353</v>
      </c>
      <c r="D407" s="46" t="s">
        <v>309</v>
      </c>
      <c r="E407" s="46" t="s">
        <v>309</v>
      </c>
      <c r="F407" s="43">
        <v>1</v>
      </c>
      <c r="G407" s="43">
        <v>1</v>
      </c>
      <c r="H407" s="43">
        <v>33</v>
      </c>
      <c r="I407" s="195">
        <v>297</v>
      </c>
      <c r="J407" s="196">
        <v>52</v>
      </c>
      <c r="K407" s="214">
        <f>+J407/G407</f>
        <v>52</v>
      </c>
      <c r="L407" s="215">
        <f>+I407/J407</f>
        <v>5.711538461538462</v>
      </c>
      <c r="M407" s="199">
        <v>35774</v>
      </c>
      <c r="N407" s="197">
        <v>3473</v>
      </c>
      <c r="O407" s="226">
        <f>+M407/N407</f>
        <v>10.30060466455514</v>
      </c>
    </row>
    <row r="408" spans="1:16" ht="15">
      <c r="A408" s="91">
        <v>405</v>
      </c>
      <c r="B408" s="56" t="s">
        <v>215</v>
      </c>
      <c r="C408" s="41">
        <v>39444</v>
      </c>
      <c r="D408" s="46" t="s">
        <v>309</v>
      </c>
      <c r="E408" s="46" t="s">
        <v>309</v>
      </c>
      <c r="F408" s="43">
        <v>14</v>
      </c>
      <c r="G408" s="43">
        <v>2</v>
      </c>
      <c r="H408" s="43">
        <v>13</v>
      </c>
      <c r="I408" s="86">
        <v>293</v>
      </c>
      <c r="J408" s="196">
        <v>65</v>
      </c>
      <c r="K408" s="214">
        <f>+J408/G408</f>
        <v>32.5</v>
      </c>
      <c r="L408" s="215">
        <f>I408/J408</f>
        <v>4.507692307692308</v>
      </c>
      <c r="M408" s="136">
        <v>238123</v>
      </c>
      <c r="N408" s="197">
        <v>23944</v>
      </c>
      <c r="O408" s="226">
        <f>+M408/N408</f>
        <v>9.944996658870698</v>
      </c>
      <c r="P408" s="336"/>
    </row>
    <row r="409" spans="1:16" ht="15">
      <c r="A409" s="91">
        <v>406</v>
      </c>
      <c r="B409" s="56" t="s">
        <v>339</v>
      </c>
      <c r="C409" s="42">
        <v>39402</v>
      </c>
      <c r="D409" s="46" t="s">
        <v>262</v>
      </c>
      <c r="E409" s="46" t="s">
        <v>308</v>
      </c>
      <c r="F409" s="270">
        <v>125</v>
      </c>
      <c r="G409" s="43">
        <v>1</v>
      </c>
      <c r="H409" s="43">
        <v>13</v>
      </c>
      <c r="I409" s="86">
        <v>292.5</v>
      </c>
      <c r="J409" s="95">
        <v>86</v>
      </c>
      <c r="K409" s="137">
        <f>IF(I409&lt;&gt;0,J409/G409,"")</f>
        <v>86</v>
      </c>
      <c r="L409" s="203">
        <f>IF(I409&lt;&gt;0,I409/J409,"")</f>
        <v>3.4011627906976742</v>
      </c>
      <c r="M409" s="136">
        <f>676439.5+554539.5+408532.5+265092+4+63975.5-30+36417+32233.5+29355.5+9292+4684+3839.75+6311.5+292.5</f>
        <v>2090978.75</v>
      </c>
      <c r="N409" s="134">
        <f>91933+76364+57186+39863+2+10711+6714+6020+5300+2353+1269+898+1545+86</f>
        <v>300244</v>
      </c>
      <c r="O409" s="224">
        <f>IF(M409&lt;&gt;0,M409/N409,"")</f>
        <v>6.964264897883055</v>
      </c>
      <c r="P409" s="336"/>
    </row>
    <row r="410" spans="1:16" ht="15">
      <c r="A410" s="91">
        <v>407</v>
      </c>
      <c r="B410" s="56" t="s">
        <v>214</v>
      </c>
      <c r="C410" s="41">
        <v>39444</v>
      </c>
      <c r="D410" s="46" t="s">
        <v>260</v>
      </c>
      <c r="E410" s="46" t="s">
        <v>50</v>
      </c>
      <c r="F410" s="43">
        <v>60</v>
      </c>
      <c r="G410" s="43">
        <v>1</v>
      </c>
      <c r="H410" s="43">
        <v>9</v>
      </c>
      <c r="I410" s="368">
        <v>288</v>
      </c>
      <c r="J410" s="369">
        <v>55</v>
      </c>
      <c r="K410" s="214">
        <f aca="true" t="shared" si="39" ref="K410:K415">J410/G410</f>
        <v>55</v>
      </c>
      <c r="L410" s="215">
        <f aca="true" t="shared" si="40" ref="L410:L415">I410/J410</f>
        <v>5.236363636363636</v>
      </c>
      <c r="M410" s="199">
        <f>211429+90759+13033+2807+2520+52+375+44+288</f>
        <v>321307</v>
      </c>
      <c r="N410" s="197">
        <f>22982+9879+1560+450+434+13+81+11+55</f>
        <v>35465</v>
      </c>
      <c r="O410" s="226">
        <f aca="true" t="shared" si="41" ref="O410:O422">+M410/N410</f>
        <v>9.059833638798816</v>
      </c>
      <c r="P410" s="336"/>
    </row>
    <row r="411" spans="1:15" ht="15">
      <c r="A411" s="91">
        <v>408</v>
      </c>
      <c r="B411" s="55" t="s">
        <v>207</v>
      </c>
      <c r="C411" s="41">
        <v>39402</v>
      </c>
      <c r="D411" s="45" t="s">
        <v>260</v>
      </c>
      <c r="E411" s="44" t="s">
        <v>107</v>
      </c>
      <c r="F411" s="63">
        <v>64</v>
      </c>
      <c r="G411" s="63">
        <v>1</v>
      </c>
      <c r="H411" s="63">
        <v>9</v>
      </c>
      <c r="I411" s="205">
        <v>284</v>
      </c>
      <c r="J411" s="206">
        <v>35</v>
      </c>
      <c r="K411" s="214">
        <f t="shared" si="39"/>
        <v>35</v>
      </c>
      <c r="L411" s="215">
        <f t="shared" si="40"/>
        <v>8.114285714285714</v>
      </c>
      <c r="M411" s="207">
        <f>299858+213967+97347+22667+8568+16509+4053+3337+284</f>
        <v>666590</v>
      </c>
      <c r="N411" s="208">
        <f>33225+24189+12517+4002+2479+2973+867+358+35</f>
        <v>80645</v>
      </c>
      <c r="O411" s="226">
        <f t="shared" si="41"/>
        <v>8.265732531465064</v>
      </c>
    </row>
    <row r="412" spans="1:16" ht="15">
      <c r="A412" s="91">
        <v>409</v>
      </c>
      <c r="B412" s="56" t="s">
        <v>339</v>
      </c>
      <c r="C412" s="41">
        <v>39402</v>
      </c>
      <c r="D412" s="46" t="s">
        <v>262</v>
      </c>
      <c r="E412" s="46" t="s">
        <v>308</v>
      </c>
      <c r="F412" s="43">
        <v>125</v>
      </c>
      <c r="G412" s="43">
        <v>1</v>
      </c>
      <c r="H412" s="43">
        <v>17</v>
      </c>
      <c r="I412" s="195">
        <v>276</v>
      </c>
      <c r="J412" s="196">
        <v>69</v>
      </c>
      <c r="K412" s="214">
        <f t="shared" si="39"/>
        <v>69</v>
      </c>
      <c r="L412" s="215">
        <f t="shared" si="40"/>
        <v>4</v>
      </c>
      <c r="M412" s="199">
        <f>676439.5+554539.5+408532.5+265092+4+63975.5-30+36417+32233.5+29355.5+9292+4684+3839.75+6311.5+292.5+748+464+444+276</f>
        <v>2092910.75</v>
      </c>
      <c r="N412" s="197">
        <f>91933+76364+57186+39863+2+10711+6714+6020+5300+2353+1269+898+1545+86+187+116+111+69</f>
        <v>300727</v>
      </c>
      <c r="O412" s="226">
        <f t="shared" si="41"/>
        <v>6.959503968715812</v>
      </c>
      <c r="P412" s="336"/>
    </row>
    <row r="413" spans="1:15" ht="15">
      <c r="A413" s="91">
        <v>410</v>
      </c>
      <c r="B413" s="55" t="s">
        <v>442</v>
      </c>
      <c r="C413" s="41">
        <v>39360</v>
      </c>
      <c r="D413" s="45" t="s">
        <v>260</v>
      </c>
      <c r="E413" s="44" t="s">
        <v>144</v>
      </c>
      <c r="F413" s="63">
        <v>73</v>
      </c>
      <c r="G413" s="63">
        <v>1</v>
      </c>
      <c r="H413" s="63">
        <v>15</v>
      </c>
      <c r="I413" s="205">
        <v>259</v>
      </c>
      <c r="J413" s="206">
        <v>37</v>
      </c>
      <c r="K413" s="214">
        <f t="shared" si="39"/>
        <v>37</v>
      </c>
      <c r="L413" s="215">
        <f t="shared" si="40"/>
        <v>7</v>
      </c>
      <c r="M413" s="207">
        <f>2527+398811+325917+116748+8773+28+28081+14690+2838+221+3656+238+712+147+168+168+259</f>
        <v>903982</v>
      </c>
      <c r="N413" s="208">
        <f>228+40290+35016+12251+1468+5988+2689+521+31+1450+32+140+21+26+24+37</f>
        <v>100212</v>
      </c>
      <c r="O413" s="226">
        <f t="shared" si="41"/>
        <v>9.020696124216661</v>
      </c>
    </row>
    <row r="414" spans="1:16" ht="15">
      <c r="A414" s="91">
        <v>411</v>
      </c>
      <c r="B414" s="56" t="s">
        <v>73</v>
      </c>
      <c r="C414" s="41">
        <v>39395</v>
      </c>
      <c r="D414" s="46" t="s">
        <v>133</v>
      </c>
      <c r="E414" s="46" t="s">
        <v>74</v>
      </c>
      <c r="F414" s="43" t="s">
        <v>75</v>
      </c>
      <c r="G414" s="43" t="s">
        <v>132</v>
      </c>
      <c r="H414" s="43" t="s">
        <v>76</v>
      </c>
      <c r="I414" s="86">
        <v>251</v>
      </c>
      <c r="J414" s="95">
        <v>54</v>
      </c>
      <c r="K414" s="144">
        <f t="shared" si="39"/>
        <v>27</v>
      </c>
      <c r="L414" s="145">
        <f t="shared" si="40"/>
        <v>4.648148148148148</v>
      </c>
      <c r="M414" s="136">
        <v>278359.5</v>
      </c>
      <c r="N414" s="134">
        <v>34950</v>
      </c>
      <c r="O414" s="81">
        <f t="shared" si="41"/>
        <v>7.96450643776824</v>
      </c>
      <c r="P414" s="336"/>
    </row>
    <row r="415" spans="1:16" ht="15">
      <c r="A415" s="91">
        <v>412</v>
      </c>
      <c r="B415" s="56" t="s">
        <v>148</v>
      </c>
      <c r="C415" s="41">
        <v>39381</v>
      </c>
      <c r="D415" s="46" t="s">
        <v>126</v>
      </c>
      <c r="E415" s="46" t="s">
        <v>6</v>
      </c>
      <c r="F415" s="43">
        <v>10</v>
      </c>
      <c r="G415" s="43">
        <v>1</v>
      </c>
      <c r="H415" s="43">
        <v>17</v>
      </c>
      <c r="I415" s="86">
        <v>245</v>
      </c>
      <c r="J415" s="95">
        <v>41</v>
      </c>
      <c r="K415" s="144">
        <f t="shared" si="39"/>
        <v>41</v>
      </c>
      <c r="L415" s="145">
        <f t="shared" si="40"/>
        <v>5.975609756097561</v>
      </c>
      <c r="M415" s="136">
        <v>223161.7</v>
      </c>
      <c r="N415" s="134">
        <v>25329</v>
      </c>
      <c r="O415" s="81">
        <f t="shared" si="41"/>
        <v>8.810521536578626</v>
      </c>
      <c r="P415" s="336"/>
    </row>
    <row r="416" spans="1:16" ht="15">
      <c r="A416" s="91">
        <v>413</v>
      </c>
      <c r="B416" s="56" t="s">
        <v>12</v>
      </c>
      <c r="C416" s="41">
        <v>39353</v>
      </c>
      <c r="D416" s="46" t="s">
        <v>309</v>
      </c>
      <c r="E416" s="46" t="s">
        <v>309</v>
      </c>
      <c r="F416" s="43">
        <v>1</v>
      </c>
      <c r="G416" s="43">
        <v>1</v>
      </c>
      <c r="H416" s="43">
        <v>32</v>
      </c>
      <c r="I416" s="195">
        <v>243</v>
      </c>
      <c r="J416" s="196">
        <v>42</v>
      </c>
      <c r="K416" s="214">
        <f>+J416/G416</f>
        <v>42</v>
      </c>
      <c r="L416" s="215">
        <f>+I416/J416</f>
        <v>5.785714285714286</v>
      </c>
      <c r="M416" s="199">
        <v>35477</v>
      </c>
      <c r="N416" s="197">
        <v>3421</v>
      </c>
      <c r="O416" s="226">
        <f t="shared" si="41"/>
        <v>10.370359543992985</v>
      </c>
      <c r="P416" s="336"/>
    </row>
    <row r="417" spans="1:16" ht="15">
      <c r="A417" s="91">
        <v>414</v>
      </c>
      <c r="B417" s="56" t="s">
        <v>398</v>
      </c>
      <c r="C417" s="41">
        <v>39437</v>
      </c>
      <c r="D417" s="46" t="s">
        <v>260</v>
      </c>
      <c r="E417" s="46" t="s">
        <v>413</v>
      </c>
      <c r="F417" s="43">
        <v>49</v>
      </c>
      <c r="G417" s="43">
        <v>1</v>
      </c>
      <c r="H417" s="43">
        <v>16</v>
      </c>
      <c r="I417" s="136">
        <v>240</v>
      </c>
      <c r="J417" s="134">
        <v>46</v>
      </c>
      <c r="K417" s="144">
        <f aca="true" t="shared" si="42" ref="K417:K423">J417/G417</f>
        <v>46</v>
      </c>
      <c r="L417" s="145">
        <f>I417/J417</f>
        <v>5.217391304347826</v>
      </c>
      <c r="M417" s="136">
        <f>265356+150950+36636+752+2313+871+2481+84+743+187+110+488+748+1242+50+240</f>
        <v>463251</v>
      </c>
      <c r="N417" s="134">
        <f>28419+15898+4109+157+424+163+412+14+140+31+21+106+161+211+8+46</f>
        <v>50320</v>
      </c>
      <c r="O417" s="81">
        <f t="shared" si="41"/>
        <v>9.20610095389507</v>
      </c>
      <c r="P417" s="336">
        <v>1</v>
      </c>
    </row>
    <row r="418" spans="1:16" ht="15">
      <c r="A418" s="91">
        <v>415</v>
      </c>
      <c r="B418" s="56" t="s">
        <v>46</v>
      </c>
      <c r="C418" s="41">
        <v>39087</v>
      </c>
      <c r="D418" s="46" t="s">
        <v>260</v>
      </c>
      <c r="E418" s="46" t="s">
        <v>265</v>
      </c>
      <c r="F418" s="43">
        <v>80</v>
      </c>
      <c r="G418" s="43">
        <v>2</v>
      </c>
      <c r="H418" s="43">
        <v>38</v>
      </c>
      <c r="I418" s="195">
        <v>233</v>
      </c>
      <c r="J418" s="196">
        <v>26</v>
      </c>
      <c r="K418" s="214">
        <f t="shared" si="42"/>
        <v>13</v>
      </c>
      <c r="L418" s="215">
        <f>I418/J418</f>
        <v>8.961538461538462</v>
      </c>
      <c r="M418" s="199">
        <f>1367+686114+384405+247619+146119+85619+63759-1+18934+11869+10791+11315+6907+8812+6730+2628+1465+749+1063+756+276+1198+612+510+45+1062+592+1782+205+893+893+2490+691+2542+60+12+1977+1181+455+192+233</f>
        <v>1714921</v>
      </c>
      <c r="N418" s="197">
        <f>80773+116+46317+29887+17891+10484+7685+2801+1917+1334+1333+755+1517+932+417+307+136+369+126+23+122+85+45+5+126+49+510+33+296+296+415+68+356+20+4+312+121+50+20+26</f>
        <v>208079</v>
      </c>
      <c r="O418" s="226">
        <f t="shared" si="41"/>
        <v>8.241682245685533</v>
      </c>
      <c r="P418" s="336">
        <v>1</v>
      </c>
    </row>
    <row r="419" spans="1:16" ht="15">
      <c r="A419" s="91">
        <v>416</v>
      </c>
      <c r="B419" s="56" t="s">
        <v>317</v>
      </c>
      <c r="C419" s="42">
        <v>39430</v>
      </c>
      <c r="D419" s="46" t="s">
        <v>262</v>
      </c>
      <c r="E419" s="46" t="s">
        <v>318</v>
      </c>
      <c r="F419" s="270">
        <v>43</v>
      </c>
      <c r="G419" s="43">
        <v>1</v>
      </c>
      <c r="H419" s="43">
        <v>11</v>
      </c>
      <c r="I419" s="195">
        <v>232.5</v>
      </c>
      <c r="J419" s="196">
        <v>71</v>
      </c>
      <c r="K419" s="214">
        <f t="shared" si="42"/>
        <v>71</v>
      </c>
      <c r="L419" s="215">
        <f>I419/J419</f>
        <v>3.2746478873239435</v>
      </c>
      <c r="M419" s="199">
        <f>43240+25728.5+5226.5+5207.5+50+1692+2247+3101.5+796+326+232.5</f>
        <v>87847.5</v>
      </c>
      <c r="N419" s="197">
        <f>5272+3593+870+1171+5+336+461+717+182+62+71</f>
        <v>12740</v>
      </c>
      <c r="O419" s="226">
        <f t="shared" si="41"/>
        <v>6.895408163265306</v>
      </c>
      <c r="P419" s="251">
        <v>1</v>
      </c>
    </row>
    <row r="420" spans="1:16" ht="15">
      <c r="A420" s="91">
        <v>417</v>
      </c>
      <c r="B420" s="56" t="s">
        <v>434</v>
      </c>
      <c r="C420" s="42">
        <v>39318</v>
      </c>
      <c r="D420" s="87" t="s">
        <v>261</v>
      </c>
      <c r="E420" s="87" t="s">
        <v>264</v>
      </c>
      <c r="F420" s="43">
        <v>116</v>
      </c>
      <c r="G420" s="43">
        <v>1</v>
      </c>
      <c r="H420" s="43">
        <v>20</v>
      </c>
      <c r="I420" s="86">
        <v>232</v>
      </c>
      <c r="J420" s="95">
        <v>187</v>
      </c>
      <c r="K420" s="134">
        <f t="shared" si="42"/>
        <v>187</v>
      </c>
      <c r="L420" s="135">
        <f>+I420/J420</f>
        <v>1.2406417112299466</v>
      </c>
      <c r="M420" s="136">
        <v>2643571</v>
      </c>
      <c r="N420" s="134">
        <v>331519</v>
      </c>
      <c r="O420" s="158">
        <f t="shared" si="41"/>
        <v>7.974116114008549</v>
      </c>
      <c r="P420" s="336"/>
    </row>
    <row r="421" spans="1:16" ht="15">
      <c r="A421" s="91">
        <v>418</v>
      </c>
      <c r="B421" s="57" t="s">
        <v>217</v>
      </c>
      <c r="C421" s="41">
        <v>39444</v>
      </c>
      <c r="D421" s="47" t="s">
        <v>133</v>
      </c>
      <c r="E421" s="47" t="s">
        <v>168</v>
      </c>
      <c r="F421" s="64" t="s">
        <v>212</v>
      </c>
      <c r="G421" s="64" t="s">
        <v>125</v>
      </c>
      <c r="H421" s="64" t="s">
        <v>213</v>
      </c>
      <c r="I421" s="205">
        <v>228</v>
      </c>
      <c r="J421" s="206">
        <v>38</v>
      </c>
      <c r="K421" s="214">
        <f t="shared" si="42"/>
        <v>38</v>
      </c>
      <c r="L421" s="215">
        <f>I421/J421</f>
        <v>6</v>
      </c>
      <c r="M421" s="207">
        <v>21080.5</v>
      </c>
      <c r="N421" s="208">
        <v>2741</v>
      </c>
      <c r="O421" s="226">
        <f t="shared" si="41"/>
        <v>7.690806275082087</v>
      </c>
      <c r="P421" s="336"/>
    </row>
    <row r="422" spans="1:15" ht="15">
      <c r="A422" s="91">
        <v>419</v>
      </c>
      <c r="B422" s="56" t="s">
        <v>431</v>
      </c>
      <c r="C422" s="41">
        <v>39248</v>
      </c>
      <c r="D422" s="46" t="s">
        <v>261</v>
      </c>
      <c r="E422" s="46" t="s">
        <v>104</v>
      </c>
      <c r="F422" s="43">
        <v>160</v>
      </c>
      <c r="G422" s="43">
        <v>1</v>
      </c>
      <c r="H422" s="43">
        <v>43</v>
      </c>
      <c r="I422" s="86">
        <v>223</v>
      </c>
      <c r="J422" s="95">
        <v>41</v>
      </c>
      <c r="K422" s="144">
        <f t="shared" si="42"/>
        <v>41</v>
      </c>
      <c r="L422" s="145">
        <f>+I422/J422</f>
        <v>5.439024390243903</v>
      </c>
      <c r="M422" s="136">
        <v>4883103</v>
      </c>
      <c r="N422" s="134">
        <v>663139</v>
      </c>
      <c r="O422" s="81">
        <f t="shared" si="41"/>
        <v>7.363619090416941</v>
      </c>
    </row>
    <row r="423" spans="1:16" ht="15">
      <c r="A423" s="91">
        <v>420</v>
      </c>
      <c r="B423" s="56" t="s">
        <v>169</v>
      </c>
      <c r="C423" s="42">
        <v>39444</v>
      </c>
      <c r="D423" s="46" t="s">
        <v>262</v>
      </c>
      <c r="E423" s="46" t="s">
        <v>218</v>
      </c>
      <c r="F423" s="63">
        <v>10</v>
      </c>
      <c r="G423" s="43">
        <v>3</v>
      </c>
      <c r="H423" s="43">
        <v>4</v>
      </c>
      <c r="I423" s="195">
        <v>219</v>
      </c>
      <c r="J423" s="196">
        <v>43</v>
      </c>
      <c r="K423" s="214">
        <f t="shared" si="42"/>
        <v>14.333333333333334</v>
      </c>
      <c r="L423" s="215">
        <f>I423/J423</f>
        <v>5.093023255813954</v>
      </c>
      <c r="M423" s="199">
        <f>8804+1895+1013.5+219</f>
        <v>11931.5</v>
      </c>
      <c r="N423" s="197">
        <f>970+200+157+43</f>
        <v>1370</v>
      </c>
      <c r="O423" s="225">
        <f>M423/N423</f>
        <v>8.70912408759124</v>
      </c>
      <c r="P423" s="336">
        <v>1</v>
      </c>
    </row>
    <row r="424" spans="1:15" ht="15">
      <c r="A424" s="91">
        <v>421</v>
      </c>
      <c r="B424" s="55" t="s">
        <v>333</v>
      </c>
      <c r="C424" s="41">
        <v>39381</v>
      </c>
      <c r="D424" s="44" t="s">
        <v>256</v>
      </c>
      <c r="E424" s="44" t="s">
        <v>147</v>
      </c>
      <c r="F424" s="63">
        <v>91</v>
      </c>
      <c r="G424" s="63">
        <v>1</v>
      </c>
      <c r="H424" s="63">
        <v>16</v>
      </c>
      <c r="I424" s="94">
        <v>215</v>
      </c>
      <c r="J424" s="117">
        <v>43</v>
      </c>
      <c r="K424" s="137">
        <f>IF(I424&lt;&gt;0,J424/G424,"")</f>
        <v>43</v>
      </c>
      <c r="L424" s="203">
        <f>IF(I424&lt;&gt;0,I424/J424,"")</f>
        <v>5</v>
      </c>
      <c r="M424" s="139">
        <f>964543+666618+447582+156310.5+90863+70894+37352.5+3350+1874+714.5+4126+4390+3896+3214+2182+215</f>
        <v>2458124.5</v>
      </c>
      <c r="N424" s="134">
        <f>104009+73251+49929+20007+15751+12767+7228+691+416+233+781+895+779+690+498+43</f>
        <v>287968</v>
      </c>
      <c r="O424" s="224">
        <f>IF(M424&lt;&gt;0,M424/N424,"")</f>
        <v>8.536102969774419</v>
      </c>
    </row>
    <row r="425" spans="1:16" ht="15">
      <c r="A425" s="91">
        <v>422</v>
      </c>
      <c r="B425" s="300" t="s">
        <v>436</v>
      </c>
      <c r="C425" s="42">
        <v>39416</v>
      </c>
      <c r="D425" s="47" t="s">
        <v>57</v>
      </c>
      <c r="E425" s="47" t="s">
        <v>412</v>
      </c>
      <c r="F425" s="64" t="s">
        <v>437</v>
      </c>
      <c r="G425" s="64" t="s">
        <v>125</v>
      </c>
      <c r="H425" s="64" t="s">
        <v>212</v>
      </c>
      <c r="I425" s="205">
        <v>212</v>
      </c>
      <c r="J425" s="206">
        <v>51</v>
      </c>
      <c r="K425" s="214">
        <f>J425/G425</f>
        <v>51</v>
      </c>
      <c r="L425" s="145">
        <f>I425/J425</f>
        <v>4.1568627450980395</v>
      </c>
      <c r="M425" s="207">
        <v>260589.99</v>
      </c>
      <c r="N425" s="208">
        <v>27884</v>
      </c>
      <c r="O425" s="81">
        <f>+M425/N425</f>
        <v>9.345502438674508</v>
      </c>
      <c r="P425" s="336">
        <v>1</v>
      </c>
    </row>
    <row r="426" spans="1:16" ht="15">
      <c r="A426" s="91">
        <v>423</v>
      </c>
      <c r="B426" s="56" t="s">
        <v>338</v>
      </c>
      <c r="C426" s="42">
        <v>39402</v>
      </c>
      <c r="D426" s="87" t="s">
        <v>261</v>
      </c>
      <c r="E426" s="87" t="s">
        <v>312</v>
      </c>
      <c r="F426" s="43">
        <v>130</v>
      </c>
      <c r="G426" s="43">
        <v>21</v>
      </c>
      <c r="H426" s="43">
        <v>10</v>
      </c>
      <c r="I426" s="195">
        <v>204</v>
      </c>
      <c r="J426" s="196">
        <v>36</v>
      </c>
      <c r="K426" s="197">
        <f>J426/G426</f>
        <v>1.7142857142857142</v>
      </c>
      <c r="L426" s="198">
        <f>+I426/J426</f>
        <v>5.666666666666667</v>
      </c>
      <c r="M426" s="199">
        <v>2077806</v>
      </c>
      <c r="N426" s="197">
        <v>260719</v>
      </c>
      <c r="O426" s="226">
        <f>+M426/N426</f>
        <v>7.96952274287643</v>
      </c>
      <c r="P426" s="336">
        <v>1</v>
      </c>
    </row>
    <row r="427" spans="1:16" ht="15">
      <c r="A427" s="91">
        <v>424</v>
      </c>
      <c r="B427" s="55" t="s">
        <v>442</v>
      </c>
      <c r="C427" s="41">
        <v>39360</v>
      </c>
      <c r="D427" s="45" t="s">
        <v>260</v>
      </c>
      <c r="E427" s="44" t="s">
        <v>144</v>
      </c>
      <c r="F427" s="63">
        <v>73</v>
      </c>
      <c r="G427" s="63">
        <v>1</v>
      </c>
      <c r="H427" s="63">
        <v>18</v>
      </c>
      <c r="I427" s="205">
        <v>203</v>
      </c>
      <c r="J427" s="206">
        <v>29</v>
      </c>
      <c r="K427" s="214">
        <f>J427/G427</f>
        <v>29</v>
      </c>
      <c r="L427" s="215">
        <f>I427/J427</f>
        <v>7</v>
      </c>
      <c r="M427" s="207">
        <f>2527+398811+325917+116748+8773+28+28081+14690+2838+221+3656+238+712+147+168+168+259+147+105+203</f>
        <v>904437</v>
      </c>
      <c r="N427" s="208">
        <f>228+40290+35016+12251+1468+5988+2689+521+31+1450+32+140+21+26+24+37+21+15+29</f>
        <v>100277</v>
      </c>
      <c r="O427" s="226">
        <f>+M427/N427</f>
        <v>9.01938629994914</v>
      </c>
      <c r="P427" s="361"/>
    </row>
    <row r="428" spans="1:16" ht="15">
      <c r="A428" s="91">
        <v>425</v>
      </c>
      <c r="B428" s="56" t="s">
        <v>326</v>
      </c>
      <c r="C428" s="41">
        <v>39437</v>
      </c>
      <c r="D428" s="46" t="s">
        <v>267</v>
      </c>
      <c r="E428" s="46" t="s">
        <v>127</v>
      </c>
      <c r="F428" s="43">
        <v>17</v>
      </c>
      <c r="G428" s="43">
        <v>1</v>
      </c>
      <c r="H428" s="43">
        <v>11</v>
      </c>
      <c r="I428" s="195">
        <v>200</v>
      </c>
      <c r="J428" s="196">
        <v>40</v>
      </c>
      <c r="K428" s="214">
        <f>J428/G428</f>
        <v>40</v>
      </c>
      <c r="L428" s="215">
        <f>I428/J428</f>
        <v>5</v>
      </c>
      <c r="M428" s="199">
        <v>278533</v>
      </c>
      <c r="N428" s="197">
        <v>26604</v>
      </c>
      <c r="O428" s="226">
        <f>+M428/N428</f>
        <v>10.469591038941513</v>
      </c>
      <c r="P428" s="336"/>
    </row>
    <row r="429" spans="1:16" ht="15">
      <c r="A429" s="91">
        <v>426</v>
      </c>
      <c r="B429" s="56" t="s">
        <v>445</v>
      </c>
      <c r="C429" s="42">
        <v>39409</v>
      </c>
      <c r="D429" s="46" t="s">
        <v>262</v>
      </c>
      <c r="E429" s="46" t="s">
        <v>322</v>
      </c>
      <c r="F429" s="43">
        <v>13</v>
      </c>
      <c r="G429" s="43">
        <v>1</v>
      </c>
      <c r="H429" s="43">
        <v>6</v>
      </c>
      <c r="I429" s="86">
        <v>193</v>
      </c>
      <c r="J429" s="95">
        <v>38</v>
      </c>
      <c r="K429" s="137">
        <f>IF(I429&lt;&gt;0,J429/G429,"")</f>
        <v>38</v>
      </c>
      <c r="L429" s="138">
        <f>IF(I429&lt;&gt;0,I429/J429,"")</f>
        <v>5.078947368421052</v>
      </c>
      <c r="M429" s="136">
        <f>12464+5333-100+2072+1025+199+193</f>
        <v>21186</v>
      </c>
      <c r="N429" s="134">
        <f>1407+644-8+342+204+38+38</f>
        <v>2665</v>
      </c>
      <c r="O429" s="159">
        <f>IF(M429&lt;&gt;0,M429/N429,"")</f>
        <v>7.949718574108818</v>
      </c>
      <c r="P429" s="251">
        <v>1</v>
      </c>
    </row>
    <row r="430" spans="1:16" ht="15">
      <c r="A430" s="91">
        <v>427</v>
      </c>
      <c r="B430" s="56" t="s">
        <v>46</v>
      </c>
      <c r="C430" s="41">
        <v>39087</v>
      </c>
      <c r="D430" s="46" t="s">
        <v>260</v>
      </c>
      <c r="E430" s="46" t="s">
        <v>265</v>
      </c>
      <c r="F430" s="43">
        <v>80</v>
      </c>
      <c r="G430" s="43">
        <v>2</v>
      </c>
      <c r="H430" s="43">
        <v>37</v>
      </c>
      <c r="I430" s="368">
        <v>192</v>
      </c>
      <c r="J430" s="369">
        <v>20</v>
      </c>
      <c r="K430" s="214">
        <f>J430/G430</f>
        <v>10</v>
      </c>
      <c r="L430" s="215">
        <f>I430/J430</f>
        <v>9.6</v>
      </c>
      <c r="M430" s="199">
        <f>1367+686114+384405+247619+146119+85619+63759-1+18934+11869+10791+11315+6907+8812+6730+2628+1465+749+1063+756+276+1198+612+510+45+1062+592+1782+205+893+893+2490+691+2542+60+12+1977+1181+455+192</f>
        <v>1714688</v>
      </c>
      <c r="N430" s="197">
        <f>80773+116+46317+29887+17891+10484+7685+2801+1917+1334+1333+755+1517+932+417+307+136+369+126+23+122+85+45+5+126+49+510+33+296+296+415+68+356+20+4+312+121+50+20</f>
        <v>208053</v>
      </c>
      <c r="O430" s="226">
        <f>+M430/N430</f>
        <v>8.241592286580824</v>
      </c>
      <c r="P430" s="336"/>
    </row>
    <row r="431" spans="1:16" ht="15">
      <c r="A431" s="91">
        <v>428</v>
      </c>
      <c r="B431" s="56" t="s">
        <v>396</v>
      </c>
      <c r="C431" s="41">
        <v>39395</v>
      </c>
      <c r="D431" s="46" t="s">
        <v>57</v>
      </c>
      <c r="E431" s="46" t="s">
        <v>161</v>
      </c>
      <c r="F431" s="43" t="s">
        <v>131</v>
      </c>
      <c r="G431" s="43" t="s">
        <v>125</v>
      </c>
      <c r="H431" s="43" t="s">
        <v>75</v>
      </c>
      <c r="I431" s="195">
        <v>190</v>
      </c>
      <c r="J431" s="196">
        <v>38</v>
      </c>
      <c r="K431" s="214">
        <f>J431/G431</f>
        <v>38</v>
      </c>
      <c r="L431" s="215">
        <f>I431/J431</f>
        <v>5</v>
      </c>
      <c r="M431" s="199">
        <v>154547.54</v>
      </c>
      <c r="N431" s="197">
        <v>25632</v>
      </c>
      <c r="O431" s="226">
        <f>+M431/N431</f>
        <v>6.0294764357053685</v>
      </c>
      <c r="P431" s="336"/>
    </row>
    <row r="432" spans="1:16" ht="15">
      <c r="A432" s="91">
        <v>429</v>
      </c>
      <c r="B432" s="55" t="s">
        <v>398</v>
      </c>
      <c r="C432" s="41">
        <v>39437</v>
      </c>
      <c r="D432" s="45" t="s">
        <v>260</v>
      </c>
      <c r="E432" s="44" t="s">
        <v>413</v>
      </c>
      <c r="F432" s="63">
        <v>49</v>
      </c>
      <c r="G432" s="63">
        <v>2</v>
      </c>
      <c r="H432" s="63">
        <v>10</v>
      </c>
      <c r="I432" s="205">
        <v>187</v>
      </c>
      <c r="J432" s="206">
        <v>31</v>
      </c>
      <c r="K432" s="214">
        <f>J432/G432</f>
        <v>15.5</v>
      </c>
      <c r="L432" s="215">
        <f>I432/J432</f>
        <v>6.032258064516129</v>
      </c>
      <c r="M432" s="207">
        <f>265356+150950+36636+752+2313+871+2481+84+743+187</f>
        <v>460373</v>
      </c>
      <c r="N432" s="208">
        <f>28419+15898+4109+157+424+163+412+14+140+31</f>
        <v>49767</v>
      </c>
      <c r="O432" s="226">
        <f>+M432/N432</f>
        <v>9.250567645226758</v>
      </c>
      <c r="P432" s="336">
        <v>1</v>
      </c>
    </row>
    <row r="433" spans="1:16" ht="15">
      <c r="A433" s="91">
        <v>430</v>
      </c>
      <c r="B433" s="55" t="s">
        <v>130</v>
      </c>
      <c r="C433" s="41">
        <v>39164</v>
      </c>
      <c r="D433" s="44" t="s">
        <v>256</v>
      </c>
      <c r="E433" s="44" t="s">
        <v>106</v>
      </c>
      <c r="F433" s="63">
        <v>119</v>
      </c>
      <c r="G433" s="63">
        <v>1</v>
      </c>
      <c r="H433" s="63">
        <v>30</v>
      </c>
      <c r="I433" s="94">
        <v>185</v>
      </c>
      <c r="J433" s="117">
        <v>37</v>
      </c>
      <c r="K433" s="137">
        <f>IF(I433&lt;&gt;0,J433/G433,"")</f>
        <v>37</v>
      </c>
      <c r="L433" s="203">
        <f>IF(I433&lt;&gt;0,I433/J433,"")</f>
        <v>5</v>
      </c>
      <c r="M433" s="139">
        <f>1508816.5+185</f>
        <v>1509001.5</v>
      </c>
      <c r="N433" s="134">
        <f>201542+0+37</f>
        <v>201579</v>
      </c>
      <c r="O433" s="224">
        <f>IF(M433&lt;&gt;0,M433/N433,"")</f>
        <v>7.485906269998363</v>
      </c>
      <c r="P433" s="251"/>
    </row>
    <row r="434" spans="1:16" ht="15">
      <c r="A434" s="91">
        <v>431</v>
      </c>
      <c r="B434" s="57" t="s">
        <v>211</v>
      </c>
      <c r="C434" s="42">
        <v>39437</v>
      </c>
      <c r="D434" s="47" t="s">
        <v>126</v>
      </c>
      <c r="E434" s="47" t="s">
        <v>250</v>
      </c>
      <c r="F434" s="88">
        <v>1</v>
      </c>
      <c r="G434" s="89">
        <v>1</v>
      </c>
      <c r="H434" s="88">
        <v>5</v>
      </c>
      <c r="I434" s="85">
        <v>180.5</v>
      </c>
      <c r="J434" s="93">
        <v>71</v>
      </c>
      <c r="K434" s="144">
        <f aca="true" t="shared" si="43" ref="K434:K447">J434/G434</f>
        <v>71</v>
      </c>
      <c r="L434" s="215">
        <f aca="true" t="shared" si="44" ref="L434:L444">I434/J434</f>
        <v>2.5422535211267605</v>
      </c>
      <c r="M434" s="146">
        <v>23749.9</v>
      </c>
      <c r="N434" s="147">
        <v>3467</v>
      </c>
      <c r="O434" s="226">
        <f aca="true" t="shared" si="45" ref="O434:O447">+M434/N434</f>
        <v>6.8502740121142205</v>
      </c>
      <c r="P434" s="336"/>
    </row>
    <row r="435" spans="1:16" ht="15">
      <c r="A435" s="91">
        <v>432</v>
      </c>
      <c r="B435" s="56" t="s">
        <v>225</v>
      </c>
      <c r="C435" s="42">
        <v>39437</v>
      </c>
      <c r="D435" s="47" t="s">
        <v>126</v>
      </c>
      <c r="E435" s="47" t="s">
        <v>329</v>
      </c>
      <c r="F435" s="88">
        <v>7</v>
      </c>
      <c r="G435" s="89">
        <v>1</v>
      </c>
      <c r="H435" s="88">
        <v>4</v>
      </c>
      <c r="I435" s="205">
        <v>180</v>
      </c>
      <c r="J435" s="206">
        <v>36</v>
      </c>
      <c r="K435" s="214">
        <f t="shared" si="43"/>
        <v>36</v>
      </c>
      <c r="L435" s="215">
        <f t="shared" si="44"/>
        <v>5</v>
      </c>
      <c r="M435" s="207">
        <v>38606</v>
      </c>
      <c r="N435" s="208">
        <v>4943</v>
      </c>
      <c r="O435" s="226">
        <f t="shared" si="45"/>
        <v>7.810236698361319</v>
      </c>
      <c r="P435" s="251"/>
    </row>
    <row r="436" spans="1:16" ht="15">
      <c r="A436" s="91">
        <v>433</v>
      </c>
      <c r="B436" s="57" t="s">
        <v>369</v>
      </c>
      <c r="C436" s="42">
        <v>39255</v>
      </c>
      <c r="D436" s="47" t="s">
        <v>126</v>
      </c>
      <c r="E436" s="47" t="s">
        <v>127</v>
      </c>
      <c r="F436" s="88">
        <v>1</v>
      </c>
      <c r="G436" s="89">
        <v>1</v>
      </c>
      <c r="H436" s="88">
        <v>15</v>
      </c>
      <c r="I436" s="85">
        <v>179.5</v>
      </c>
      <c r="J436" s="93">
        <v>69</v>
      </c>
      <c r="K436" s="144">
        <f t="shared" si="43"/>
        <v>69</v>
      </c>
      <c r="L436" s="215">
        <f t="shared" si="44"/>
        <v>2.601449275362319</v>
      </c>
      <c r="M436" s="146">
        <v>41194.75</v>
      </c>
      <c r="N436" s="147">
        <v>5503</v>
      </c>
      <c r="O436" s="226">
        <f t="shared" si="45"/>
        <v>7.485871342903871</v>
      </c>
      <c r="P436" s="336">
        <v>1</v>
      </c>
    </row>
    <row r="437" spans="1:16" ht="15">
      <c r="A437" s="91">
        <v>434</v>
      </c>
      <c r="B437" s="56" t="s">
        <v>311</v>
      </c>
      <c r="C437" s="41">
        <v>39430</v>
      </c>
      <c r="D437" s="46" t="s">
        <v>261</v>
      </c>
      <c r="E437" s="46" t="s">
        <v>177</v>
      </c>
      <c r="F437" s="43">
        <v>242</v>
      </c>
      <c r="G437" s="43">
        <v>1</v>
      </c>
      <c r="H437" s="43">
        <v>17</v>
      </c>
      <c r="I437" s="195">
        <v>178</v>
      </c>
      <c r="J437" s="196">
        <v>32</v>
      </c>
      <c r="K437" s="214">
        <f t="shared" si="43"/>
        <v>32</v>
      </c>
      <c r="L437" s="215">
        <f t="shared" si="44"/>
        <v>5.5625</v>
      </c>
      <c r="M437" s="199">
        <v>15280882</v>
      </c>
      <c r="N437" s="197">
        <v>1984841</v>
      </c>
      <c r="O437" s="226">
        <f t="shared" si="45"/>
        <v>7.698794009192676</v>
      </c>
      <c r="P437" s="336"/>
    </row>
    <row r="438" spans="1:16" ht="15">
      <c r="A438" s="91">
        <v>435</v>
      </c>
      <c r="B438" s="55" t="s">
        <v>166</v>
      </c>
      <c r="C438" s="41">
        <v>39332</v>
      </c>
      <c r="D438" s="45" t="s">
        <v>260</v>
      </c>
      <c r="E438" s="44" t="s">
        <v>144</v>
      </c>
      <c r="F438" s="63">
        <v>61</v>
      </c>
      <c r="G438" s="63">
        <v>1</v>
      </c>
      <c r="H438" s="63">
        <v>12</v>
      </c>
      <c r="I438" s="205">
        <v>173</v>
      </c>
      <c r="J438" s="206">
        <v>43</v>
      </c>
      <c r="K438" s="214">
        <f t="shared" si="43"/>
        <v>43</v>
      </c>
      <c r="L438" s="215">
        <f t="shared" si="44"/>
        <v>4.023255813953488</v>
      </c>
      <c r="M438" s="207">
        <f>1122962+173</f>
        <v>1123135</v>
      </c>
      <c r="N438" s="208">
        <f>117710+43</f>
        <v>117753</v>
      </c>
      <c r="O438" s="226">
        <f t="shared" si="45"/>
        <v>9.538058478340254</v>
      </c>
      <c r="P438" s="336"/>
    </row>
    <row r="439" spans="1:16" ht="15">
      <c r="A439" s="91">
        <v>436</v>
      </c>
      <c r="B439" s="56" t="s">
        <v>441</v>
      </c>
      <c r="C439" s="41">
        <v>39416</v>
      </c>
      <c r="D439" s="339" t="s">
        <v>126</v>
      </c>
      <c r="E439" s="339" t="s">
        <v>408</v>
      </c>
      <c r="F439" s="43">
        <v>4</v>
      </c>
      <c r="G439" s="43">
        <v>1</v>
      </c>
      <c r="H439" s="43">
        <v>11</v>
      </c>
      <c r="I439" s="195">
        <v>171</v>
      </c>
      <c r="J439" s="196">
        <v>25</v>
      </c>
      <c r="K439" s="214">
        <f t="shared" si="43"/>
        <v>25</v>
      </c>
      <c r="L439" s="215">
        <f t="shared" si="44"/>
        <v>6.84</v>
      </c>
      <c r="M439" s="199">
        <v>47710</v>
      </c>
      <c r="N439" s="197">
        <v>5642</v>
      </c>
      <c r="O439" s="226">
        <f t="shared" si="45"/>
        <v>8.456221198156681</v>
      </c>
      <c r="P439" s="336"/>
    </row>
    <row r="440" spans="1:16" ht="15">
      <c r="A440" s="91">
        <v>437</v>
      </c>
      <c r="B440" s="56" t="s">
        <v>207</v>
      </c>
      <c r="C440" s="41">
        <v>39402</v>
      </c>
      <c r="D440" s="46" t="s">
        <v>260</v>
      </c>
      <c r="E440" s="46" t="s">
        <v>50</v>
      </c>
      <c r="F440" s="43">
        <v>64</v>
      </c>
      <c r="G440" s="43">
        <v>1</v>
      </c>
      <c r="H440" s="43">
        <v>15</v>
      </c>
      <c r="I440" s="136">
        <v>170</v>
      </c>
      <c r="J440" s="134">
        <v>29</v>
      </c>
      <c r="K440" s="144">
        <f t="shared" si="43"/>
        <v>29</v>
      </c>
      <c r="L440" s="145">
        <f t="shared" si="44"/>
        <v>5.862068965517241</v>
      </c>
      <c r="M440" s="136">
        <f>299858+213967+97347+22667+8568+16509+4053+3337+284+4988+2264+2342+1487+734+170</f>
        <v>678575</v>
      </c>
      <c r="N440" s="134">
        <f>33225+24189+12517+4002+2479+2973+867+358+35+802+375+456+362+125+29</f>
        <v>82794</v>
      </c>
      <c r="O440" s="81">
        <f t="shared" si="45"/>
        <v>8.19594415054231</v>
      </c>
      <c r="P440" s="336"/>
    </row>
    <row r="441" spans="1:16" ht="15">
      <c r="A441" s="91">
        <v>438</v>
      </c>
      <c r="B441" s="435" t="s">
        <v>370</v>
      </c>
      <c r="C441" s="194">
        <v>39332</v>
      </c>
      <c r="D441" s="436" t="s">
        <v>126</v>
      </c>
      <c r="E441" s="436" t="s">
        <v>105</v>
      </c>
      <c r="F441" s="437">
        <v>23</v>
      </c>
      <c r="G441" s="438">
        <v>1</v>
      </c>
      <c r="H441" s="437">
        <v>13</v>
      </c>
      <c r="I441" s="439">
        <v>168.5</v>
      </c>
      <c r="J441" s="440">
        <v>67</v>
      </c>
      <c r="K441" s="382">
        <f t="shared" si="43"/>
        <v>67</v>
      </c>
      <c r="L441" s="302">
        <f t="shared" si="44"/>
        <v>2.514925373134328</v>
      </c>
      <c r="M441" s="441">
        <v>237345.5</v>
      </c>
      <c r="N441" s="442">
        <v>27036</v>
      </c>
      <c r="O441" s="367">
        <f t="shared" si="45"/>
        <v>8.778868915520047</v>
      </c>
      <c r="P441" s="361"/>
    </row>
    <row r="442" spans="1:16" ht="15">
      <c r="A442" s="91">
        <v>439</v>
      </c>
      <c r="B442" s="55" t="s">
        <v>310</v>
      </c>
      <c r="C442" s="41">
        <v>39423</v>
      </c>
      <c r="D442" s="44" t="s">
        <v>256</v>
      </c>
      <c r="E442" s="44" t="s">
        <v>251</v>
      </c>
      <c r="F442" s="63">
        <v>164</v>
      </c>
      <c r="G442" s="63">
        <v>1</v>
      </c>
      <c r="H442" s="63">
        <v>13</v>
      </c>
      <c r="I442" s="94">
        <v>168</v>
      </c>
      <c r="J442" s="117">
        <v>42</v>
      </c>
      <c r="K442" s="144">
        <f t="shared" si="43"/>
        <v>42</v>
      </c>
      <c r="L442" s="215">
        <f t="shared" si="44"/>
        <v>4</v>
      </c>
      <c r="M442" s="139">
        <f>1455428+896564.5+785700+295594.5+45815.5+11311.5+13282+11389+10839+9534+2826+2532+168</f>
        <v>3540984</v>
      </c>
      <c r="N442" s="134">
        <f>172176+105411+97548+39201+8243+2114+2845+2112+2384+1888+598+623+42</f>
        <v>435185</v>
      </c>
      <c r="O442" s="226">
        <f t="shared" si="45"/>
        <v>8.136732653928789</v>
      </c>
      <c r="P442" s="336"/>
    </row>
    <row r="443" spans="1:16" ht="15">
      <c r="A443" s="91">
        <v>440</v>
      </c>
      <c r="B443" s="56" t="s">
        <v>167</v>
      </c>
      <c r="C443" s="42">
        <v>38947</v>
      </c>
      <c r="D443" s="46" t="s">
        <v>262</v>
      </c>
      <c r="E443" s="46" t="s">
        <v>263</v>
      </c>
      <c r="F443" s="63">
        <v>85</v>
      </c>
      <c r="G443" s="43">
        <v>1</v>
      </c>
      <c r="H443" s="43">
        <v>33</v>
      </c>
      <c r="I443" s="195">
        <v>168</v>
      </c>
      <c r="J443" s="196">
        <v>24</v>
      </c>
      <c r="K443" s="214">
        <f t="shared" si="43"/>
        <v>24</v>
      </c>
      <c r="L443" s="215">
        <f t="shared" si="44"/>
        <v>7</v>
      </c>
      <c r="M443" s="199">
        <f>851045+613251.5+405140+216081+124391+88721.5+33772.5+20268.5+9628+2255.5+1314.5+2611.5+726.5+537.5+1115+625.5+6606+1330.5+1386+-611+1222+4532+530+28400+130+4027.5+416+3201.5+838+1128+2376+4027+2423+168</f>
        <v>2433615.5</v>
      </c>
      <c r="N443" s="197">
        <f>116878+84823+56865+31359+21609+17621+6633+4111+1582+390+233+473+110+78+157+95+2946+355+318+132+906+105+5667+18+806+100+801+209+188+594+1006+599+24</f>
        <v>357791</v>
      </c>
      <c r="O443" s="226">
        <f t="shared" si="45"/>
        <v>6.801779530508034</v>
      </c>
      <c r="P443" s="336"/>
    </row>
    <row r="444" spans="1:16" ht="15">
      <c r="A444" s="91">
        <v>441</v>
      </c>
      <c r="B444" s="55" t="s">
        <v>442</v>
      </c>
      <c r="C444" s="41">
        <v>39360</v>
      </c>
      <c r="D444" s="45" t="s">
        <v>260</v>
      </c>
      <c r="E444" s="44" t="s">
        <v>144</v>
      </c>
      <c r="F444" s="63">
        <v>73</v>
      </c>
      <c r="G444" s="63">
        <v>1</v>
      </c>
      <c r="H444" s="63">
        <v>14</v>
      </c>
      <c r="I444" s="85">
        <v>168</v>
      </c>
      <c r="J444" s="93">
        <v>24</v>
      </c>
      <c r="K444" s="144">
        <f t="shared" si="43"/>
        <v>24</v>
      </c>
      <c r="L444" s="145">
        <f t="shared" si="44"/>
        <v>7</v>
      </c>
      <c r="M444" s="146">
        <f>2527+398811+325917+116748+8773+28+28081+14690+2838+221+3656+238+712+147+168+168</f>
        <v>903723</v>
      </c>
      <c r="N444" s="147">
        <f>228+40290+35016+12251+1468+5988+2689+521+31+1450+32+140+21+26+24</f>
        <v>100175</v>
      </c>
      <c r="O444" s="81">
        <f t="shared" si="45"/>
        <v>9.021442475667582</v>
      </c>
      <c r="P444" s="336"/>
    </row>
    <row r="445" spans="1:16" ht="15">
      <c r="A445" s="91">
        <v>442</v>
      </c>
      <c r="B445" s="56" t="s">
        <v>313</v>
      </c>
      <c r="C445" s="41">
        <v>39430</v>
      </c>
      <c r="D445" s="339" t="s">
        <v>261</v>
      </c>
      <c r="E445" s="339" t="s">
        <v>104</v>
      </c>
      <c r="F445" s="43">
        <v>137</v>
      </c>
      <c r="G445" s="43">
        <v>1</v>
      </c>
      <c r="H445" s="43">
        <v>15</v>
      </c>
      <c r="I445" s="195">
        <v>155</v>
      </c>
      <c r="J445" s="196">
        <v>31</v>
      </c>
      <c r="K445" s="214">
        <f t="shared" si="43"/>
        <v>31</v>
      </c>
      <c r="L445" s="215">
        <f>+I445/J445</f>
        <v>5</v>
      </c>
      <c r="M445" s="199">
        <v>3562092</v>
      </c>
      <c r="N445" s="197">
        <v>462151</v>
      </c>
      <c r="O445" s="226">
        <f t="shared" si="45"/>
        <v>7.707636681517513</v>
      </c>
      <c r="P445" s="336"/>
    </row>
    <row r="446" spans="1:16" ht="15">
      <c r="A446" s="91">
        <v>443</v>
      </c>
      <c r="B446" s="56" t="s">
        <v>146</v>
      </c>
      <c r="C446" s="41">
        <v>39381</v>
      </c>
      <c r="D446" s="46" t="s">
        <v>260</v>
      </c>
      <c r="E446" s="46" t="s">
        <v>50</v>
      </c>
      <c r="F446" s="43">
        <v>144</v>
      </c>
      <c r="G446" s="43">
        <v>1</v>
      </c>
      <c r="H446" s="43">
        <v>12</v>
      </c>
      <c r="I446" s="136">
        <v>150</v>
      </c>
      <c r="J446" s="134">
        <v>50</v>
      </c>
      <c r="K446" s="144">
        <f t="shared" si="43"/>
        <v>50</v>
      </c>
      <c r="L446" s="145">
        <f>I446/J446</f>
        <v>3</v>
      </c>
      <c r="M446" s="136">
        <f>2013361+924282+612528+224314+161621+67993+19442+6068+2170+613+616+150</f>
        <v>4033158</v>
      </c>
      <c r="N446" s="134">
        <f>250162+117111+77738+30679+29851+12478+4485+1923+349+89+90+50</f>
        <v>525005</v>
      </c>
      <c r="O446" s="81">
        <f t="shared" si="45"/>
        <v>7.682132551118561</v>
      </c>
      <c r="P446" s="336"/>
    </row>
    <row r="447" spans="1:16" ht="15">
      <c r="A447" s="91">
        <v>444</v>
      </c>
      <c r="B447" s="269" t="s">
        <v>326</v>
      </c>
      <c r="C447" s="41">
        <v>39437</v>
      </c>
      <c r="D447" s="80" t="s">
        <v>267</v>
      </c>
      <c r="E447" s="48" t="s">
        <v>127</v>
      </c>
      <c r="F447" s="76">
        <v>17</v>
      </c>
      <c r="G447" s="76">
        <v>1</v>
      </c>
      <c r="H447" s="76">
        <v>9</v>
      </c>
      <c r="I447" s="217">
        <v>148</v>
      </c>
      <c r="J447" s="218">
        <v>25</v>
      </c>
      <c r="K447" s="214">
        <f t="shared" si="43"/>
        <v>25</v>
      </c>
      <c r="L447" s="215">
        <f>I447/J447</f>
        <v>5.92</v>
      </c>
      <c r="M447" s="221">
        <v>278250</v>
      </c>
      <c r="N447" s="219">
        <v>26559</v>
      </c>
      <c r="O447" s="226">
        <f t="shared" si="45"/>
        <v>10.476674573590874</v>
      </c>
      <c r="P447" s="336"/>
    </row>
    <row r="448" spans="1:16" ht="15">
      <c r="A448" s="91">
        <v>445</v>
      </c>
      <c r="B448" s="77" t="s">
        <v>253</v>
      </c>
      <c r="C448" s="61">
        <v>39339</v>
      </c>
      <c r="D448" s="80" t="s">
        <v>60</v>
      </c>
      <c r="E448" s="80" t="s">
        <v>254</v>
      </c>
      <c r="F448" s="78">
        <v>79</v>
      </c>
      <c r="G448" s="79">
        <v>1</v>
      </c>
      <c r="H448" s="79">
        <v>19</v>
      </c>
      <c r="I448" s="209">
        <v>147</v>
      </c>
      <c r="J448" s="210">
        <v>22</v>
      </c>
      <c r="K448" s="211">
        <v>7.333333333333333</v>
      </c>
      <c r="L448" s="212">
        <v>6.363636363636363</v>
      </c>
      <c r="M448" s="213">
        <v>308674</v>
      </c>
      <c r="N448" s="214">
        <v>48761</v>
      </c>
      <c r="O448" s="225">
        <f>M448/N448</f>
        <v>6.3303459732163</v>
      </c>
      <c r="P448" s="371"/>
    </row>
    <row r="449" spans="1:16" ht="15">
      <c r="A449" s="91">
        <v>446</v>
      </c>
      <c r="B449" s="56" t="s">
        <v>292</v>
      </c>
      <c r="C449" s="42">
        <v>38947</v>
      </c>
      <c r="D449" s="46" t="s">
        <v>262</v>
      </c>
      <c r="E449" s="46" t="s">
        <v>263</v>
      </c>
      <c r="F449" s="63">
        <v>106</v>
      </c>
      <c r="G449" s="43">
        <v>1</v>
      </c>
      <c r="H449" s="43">
        <v>34</v>
      </c>
      <c r="I449" s="195">
        <v>147</v>
      </c>
      <c r="J449" s="196">
        <v>21</v>
      </c>
      <c r="K449" s="214">
        <f aca="true" t="shared" si="46" ref="K449:K458">J449/G449</f>
        <v>21</v>
      </c>
      <c r="L449" s="215">
        <f aca="true" t="shared" si="47" ref="L449:L457">I449/J449</f>
        <v>7</v>
      </c>
      <c r="M449" s="199">
        <f>851045+613251.5+405140+216081+124391+88721.5+33772.5+20268.5+9628+2255.5+1314.5+2611.5+726.5+537.5+1115+625.5+6606+1330.5+1386+-611+1222+4532+530+28400+130+4027.5+416+3201.5+838+1128+2376+4027+2423+168+147</f>
        <v>2433762.5</v>
      </c>
      <c r="N449" s="197">
        <f>116878+84823+56865+31359+21609+17621+6633+4111+1582+390+233+473+110+78+157+95+2946+355+318+132+906+105+5667+18+806+100+801+209+188+594+1006+599+24+21</f>
        <v>357812</v>
      </c>
      <c r="O449" s="225">
        <f>M449/N449</f>
        <v>6.801791164074989</v>
      </c>
      <c r="P449" s="260"/>
    </row>
    <row r="450" spans="1:16" ht="15">
      <c r="A450" s="91">
        <v>447</v>
      </c>
      <c r="B450" s="55" t="s">
        <v>442</v>
      </c>
      <c r="C450" s="41">
        <v>39360</v>
      </c>
      <c r="D450" s="45" t="s">
        <v>260</v>
      </c>
      <c r="E450" s="44" t="s">
        <v>144</v>
      </c>
      <c r="F450" s="63">
        <v>73</v>
      </c>
      <c r="G450" s="63">
        <v>1</v>
      </c>
      <c r="H450" s="63">
        <v>16</v>
      </c>
      <c r="I450" s="205">
        <v>147</v>
      </c>
      <c r="J450" s="206">
        <v>21</v>
      </c>
      <c r="K450" s="214">
        <f t="shared" si="46"/>
        <v>21</v>
      </c>
      <c r="L450" s="215">
        <f t="shared" si="47"/>
        <v>7</v>
      </c>
      <c r="M450" s="207">
        <f>2527+398811+325917+116748+8773+28+28081+14690+2838+221+3656+238+712+147+168+168+259+147</f>
        <v>904129</v>
      </c>
      <c r="N450" s="208">
        <f>228+40290+35016+12251+1468+5988+2689+521+31+1450+32+140+21+26+24+37+21</f>
        <v>100233</v>
      </c>
      <c r="O450" s="226">
        <f>+M450/N450</f>
        <v>9.020272764458811</v>
      </c>
      <c r="P450" s="260"/>
    </row>
    <row r="451" spans="1:16" ht="15">
      <c r="A451" s="91">
        <v>448</v>
      </c>
      <c r="B451" s="57" t="s">
        <v>59</v>
      </c>
      <c r="C451" s="42">
        <v>39220</v>
      </c>
      <c r="D451" s="47" t="s">
        <v>126</v>
      </c>
      <c r="E451" s="47" t="s">
        <v>105</v>
      </c>
      <c r="F451" s="88">
        <v>88</v>
      </c>
      <c r="G451" s="89">
        <v>1</v>
      </c>
      <c r="H451" s="88">
        <v>33</v>
      </c>
      <c r="I451" s="85">
        <v>146</v>
      </c>
      <c r="J451" s="93">
        <v>34</v>
      </c>
      <c r="K451" s="144">
        <f t="shared" si="46"/>
        <v>34</v>
      </c>
      <c r="L451" s="145">
        <f t="shared" si="47"/>
        <v>4.294117647058823</v>
      </c>
      <c r="M451" s="146">
        <v>587148</v>
      </c>
      <c r="N451" s="147">
        <v>86661</v>
      </c>
      <c r="O451" s="81">
        <f>+M451/N451</f>
        <v>6.775227611036106</v>
      </c>
      <c r="P451" s="260"/>
    </row>
    <row r="452" spans="1:16" ht="15">
      <c r="A452" s="91">
        <v>449</v>
      </c>
      <c r="B452" s="56" t="s">
        <v>370</v>
      </c>
      <c r="C452" s="41">
        <v>39332</v>
      </c>
      <c r="D452" s="46" t="s">
        <v>126</v>
      </c>
      <c r="E452" s="46" t="s">
        <v>105</v>
      </c>
      <c r="F452" s="43">
        <v>23</v>
      </c>
      <c r="G452" s="43">
        <v>1</v>
      </c>
      <c r="H452" s="43">
        <v>14</v>
      </c>
      <c r="I452" s="195">
        <v>145</v>
      </c>
      <c r="J452" s="196">
        <v>58</v>
      </c>
      <c r="K452" s="214">
        <f t="shared" si="46"/>
        <v>58</v>
      </c>
      <c r="L452" s="215">
        <f t="shared" si="47"/>
        <v>2.5</v>
      </c>
      <c r="M452" s="199">
        <v>237490.5</v>
      </c>
      <c r="N452" s="197">
        <v>27094</v>
      </c>
      <c r="O452" s="226">
        <f>+M452/N452</f>
        <v>8.765427769985974</v>
      </c>
      <c r="P452" s="260">
        <v>1</v>
      </c>
    </row>
    <row r="453" spans="1:16" ht="15">
      <c r="A453" s="91">
        <v>450</v>
      </c>
      <c r="B453" s="77" t="s">
        <v>253</v>
      </c>
      <c r="C453" s="61">
        <v>39339</v>
      </c>
      <c r="D453" s="80" t="s">
        <v>60</v>
      </c>
      <c r="E453" s="80" t="s">
        <v>254</v>
      </c>
      <c r="F453" s="78">
        <v>79</v>
      </c>
      <c r="G453" s="79">
        <v>1</v>
      </c>
      <c r="H453" s="79">
        <v>20</v>
      </c>
      <c r="I453" s="209">
        <v>144</v>
      </c>
      <c r="J453" s="210">
        <v>22</v>
      </c>
      <c r="K453" s="214">
        <f t="shared" si="46"/>
        <v>22</v>
      </c>
      <c r="L453" s="215">
        <f t="shared" si="47"/>
        <v>6.545454545454546</v>
      </c>
      <c r="M453" s="213">
        <v>308818</v>
      </c>
      <c r="N453" s="214">
        <v>48783</v>
      </c>
      <c r="O453" s="225">
        <f>M453/N453</f>
        <v>6.330442982186417</v>
      </c>
      <c r="P453" s="260"/>
    </row>
    <row r="454" spans="1:16" ht="15">
      <c r="A454" s="91">
        <v>451</v>
      </c>
      <c r="B454" s="57" t="s">
        <v>371</v>
      </c>
      <c r="C454" s="42">
        <v>39409</v>
      </c>
      <c r="D454" s="47" t="s">
        <v>126</v>
      </c>
      <c r="E454" s="47" t="s">
        <v>372</v>
      </c>
      <c r="F454" s="88">
        <v>1</v>
      </c>
      <c r="G454" s="89">
        <v>1</v>
      </c>
      <c r="H454" s="88">
        <v>8</v>
      </c>
      <c r="I454" s="85">
        <v>143.5</v>
      </c>
      <c r="J454" s="93">
        <v>55</v>
      </c>
      <c r="K454" s="144">
        <f t="shared" si="46"/>
        <v>55</v>
      </c>
      <c r="L454" s="215">
        <f t="shared" si="47"/>
        <v>2.609090909090909</v>
      </c>
      <c r="M454" s="146">
        <v>13531.5</v>
      </c>
      <c r="N454" s="147">
        <v>2226</v>
      </c>
      <c r="O454" s="226">
        <f>+M454/N454</f>
        <v>6.078840970350404</v>
      </c>
      <c r="P454" s="260">
        <v>1</v>
      </c>
    </row>
    <row r="455" spans="1:16" ht="18">
      <c r="A455" s="91">
        <v>452</v>
      </c>
      <c r="B455" s="77" t="s">
        <v>438</v>
      </c>
      <c r="C455" s="61">
        <v>39416</v>
      </c>
      <c r="D455" s="80" t="s">
        <v>60</v>
      </c>
      <c r="E455" s="80" t="s">
        <v>254</v>
      </c>
      <c r="F455" s="79">
        <v>45</v>
      </c>
      <c r="G455" s="79">
        <v>2</v>
      </c>
      <c r="H455" s="79">
        <v>14</v>
      </c>
      <c r="I455" s="118">
        <v>132</v>
      </c>
      <c r="J455" s="140">
        <v>29</v>
      </c>
      <c r="K455" s="144">
        <f t="shared" si="46"/>
        <v>14.5</v>
      </c>
      <c r="L455" s="215">
        <f t="shared" si="47"/>
        <v>4.551724137931035</v>
      </c>
      <c r="M455" s="143">
        <v>184390.5</v>
      </c>
      <c r="N455" s="151">
        <v>27818</v>
      </c>
      <c r="O455" s="226">
        <f>+M455/N455</f>
        <v>6.628459989934575</v>
      </c>
      <c r="P455" s="373"/>
    </row>
    <row r="456" spans="1:16" ht="15">
      <c r="A456" s="91">
        <v>453</v>
      </c>
      <c r="B456" s="57" t="s">
        <v>441</v>
      </c>
      <c r="C456" s="42">
        <v>39416</v>
      </c>
      <c r="D456" s="47" t="s">
        <v>126</v>
      </c>
      <c r="E456" s="47" t="s">
        <v>408</v>
      </c>
      <c r="F456" s="88">
        <v>4</v>
      </c>
      <c r="G456" s="89">
        <v>1</v>
      </c>
      <c r="H456" s="88">
        <v>7</v>
      </c>
      <c r="I456" s="205">
        <v>131</v>
      </c>
      <c r="J456" s="206">
        <v>21</v>
      </c>
      <c r="K456" s="214">
        <f t="shared" si="46"/>
        <v>21</v>
      </c>
      <c r="L456" s="215">
        <f t="shared" si="47"/>
        <v>6.238095238095238</v>
      </c>
      <c r="M456" s="207">
        <v>43300</v>
      </c>
      <c r="N456" s="208">
        <v>4625</v>
      </c>
      <c r="O456" s="226">
        <f>+M456/N456</f>
        <v>9.362162162162162</v>
      </c>
      <c r="P456" s="260"/>
    </row>
    <row r="457" spans="1:16" ht="15">
      <c r="A457" s="91">
        <v>454</v>
      </c>
      <c r="B457" s="56" t="s">
        <v>193</v>
      </c>
      <c r="C457" s="41">
        <v>39332</v>
      </c>
      <c r="D457" s="46" t="s">
        <v>260</v>
      </c>
      <c r="E457" s="46" t="s">
        <v>107</v>
      </c>
      <c r="F457" s="43">
        <v>58</v>
      </c>
      <c r="G457" s="43">
        <v>1</v>
      </c>
      <c r="H457" s="43">
        <v>9</v>
      </c>
      <c r="I457" s="195">
        <v>125</v>
      </c>
      <c r="J457" s="196">
        <v>31</v>
      </c>
      <c r="K457" s="214">
        <f t="shared" si="46"/>
        <v>31</v>
      </c>
      <c r="L457" s="215">
        <f t="shared" si="47"/>
        <v>4.032258064516129</v>
      </c>
      <c r="M457" s="199">
        <f>138246+66778+24442+12673+5659+4666+353+1557+125</f>
        <v>254499</v>
      </c>
      <c r="N457" s="197">
        <f>16417+7727+3209+2052+1044+871+47+392+31</f>
        <v>31790</v>
      </c>
      <c r="O457" s="226">
        <f>+M457/N457</f>
        <v>8.005630701478452</v>
      </c>
      <c r="P457" s="260">
        <v>1</v>
      </c>
    </row>
    <row r="458" spans="1:16" ht="15">
      <c r="A458" s="91">
        <v>455</v>
      </c>
      <c r="B458" s="56" t="s">
        <v>338</v>
      </c>
      <c r="C458" s="42">
        <v>39402</v>
      </c>
      <c r="D458" s="87" t="s">
        <v>261</v>
      </c>
      <c r="E458" s="87" t="s">
        <v>107</v>
      </c>
      <c r="F458" s="43">
        <v>130</v>
      </c>
      <c r="G458" s="43">
        <v>21</v>
      </c>
      <c r="H458" s="43">
        <v>9</v>
      </c>
      <c r="I458" s="195">
        <v>120</v>
      </c>
      <c r="J458" s="196">
        <v>22</v>
      </c>
      <c r="K458" s="197">
        <f t="shared" si="46"/>
        <v>1.0476190476190477</v>
      </c>
      <c r="L458" s="198">
        <f>+I458/J458</f>
        <v>5.454545454545454</v>
      </c>
      <c r="M458" s="199">
        <v>20767729</v>
      </c>
      <c r="N458" s="197">
        <v>260530</v>
      </c>
      <c r="O458" s="223">
        <f>+M458/N458</f>
        <v>79.7133880935017</v>
      </c>
      <c r="P458" s="260"/>
    </row>
    <row r="459" spans="1:16" ht="15">
      <c r="A459" s="91">
        <v>456</v>
      </c>
      <c r="B459" s="56" t="s">
        <v>160</v>
      </c>
      <c r="C459" s="41">
        <v>39423</v>
      </c>
      <c r="D459" s="339" t="s">
        <v>309</v>
      </c>
      <c r="E459" s="339" t="s">
        <v>309</v>
      </c>
      <c r="F459" s="43">
        <v>1</v>
      </c>
      <c r="G459" s="43">
        <v>1</v>
      </c>
      <c r="H459" s="43">
        <v>17</v>
      </c>
      <c r="I459" s="195">
        <v>115</v>
      </c>
      <c r="J459" s="196">
        <v>23</v>
      </c>
      <c r="K459" s="214">
        <f>IF(I459&lt;&gt;0,J459/G459,"")</f>
        <v>23</v>
      </c>
      <c r="L459" s="215">
        <f>IF(I459&lt;&gt;0,I459/J459,"")</f>
        <v>5</v>
      </c>
      <c r="M459" s="199">
        <v>26912</v>
      </c>
      <c r="N459" s="197">
        <v>2438</v>
      </c>
      <c r="O459" s="226">
        <f>IF(M459&lt;&gt;0,M459/N459,"")</f>
        <v>11.038556193601313</v>
      </c>
      <c r="P459" s="374"/>
    </row>
    <row r="460" spans="1:16" ht="15">
      <c r="A460" s="91">
        <v>457</v>
      </c>
      <c r="B460" s="57" t="s">
        <v>436</v>
      </c>
      <c r="C460" s="41">
        <v>39416</v>
      </c>
      <c r="D460" s="47" t="s">
        <v>57</v>
      </c>
      <c r="E460" s="47" t="s">
        <v>412</v>
      </c>
      <c r="F460" s="64" t="s">
        <v>437</v>
      </c>
      <c r="G460" s="64" t="s">
        <v>125</v>
      </c>
      <c r="H460" s="64" t="s">
        <v>181</v>
      </c>
      <c r="I460" s="205">
        <v>112</v>
      </c>
      <c r="J460" s="206">
        <v>22</v>
      </c>
      <c r="K460" s="214">
        <f>J460/G460</f>
        <v>22</v>
      </c>
      <c r="L460" s="215">
        <f>I460/J460</f>
        <v>5.090909090909091</v>
      </c>
      <c r="M460" s="207">
        <v>258869</v>
      </c>
      <c r="N460" s="208">
        <v>27599</v>
      </c>
      <c r="O460" s="226">
        <f>+M460/N460</f>
        <v>9.379651436646256</v>
      </c>
      <c r="P460" s="260"/>
    </row>
    <row r="461" spans="1:16" ht="15">
      <c r="A461" s="91">
        <v>458</v>
      </c>
      <c r="B461" s="56" t="s">
        <v>215</v>
      </c>
      <c r="C461" s="41">
        <v>39444</v>
      </c>
      <c r="D461" s="46" t="s">
        <v>309</v>
      </c>
      <c r="E461" s="46" t="s">
        <v>309</v>
      </c>
      <c r="F461" s="43">
        <v>14</v>
      </c>
      <c r="G461" s="43">
        <v>1</v>
      </c>
      <c r="H461" s="43">
        <v>15</v>
      </c>
      <c r="I461" s="195">
        <v>111</v>
      </c>
      <c r="J461" s="196">
        <v>19</v>
      </c>
      <c r="K461" s="214">
        <f>+J461/G461</f>
        <v>19</v>
      </c>
      <c r="L461" s="215">
        <f>+I461/J461</f>
        <v>5.842105263157895</v>
      </c>
      <c r="M461" s="199">
        <v>238998</v>
      </c>
      <c r="N461" s="197">
        <v>24116</v>
      </c>
      <c r="O461" s="226">
        <f>+M461/N461</f>
        <v>9.910349975120251</v>
      </c>
      <c r="P461" s="260"/>
    </row>
    <row r="462" spans="1:16" ht="15">
      <c r="A462" s="91">
        <v>459</v>
      </c>
      <c r="B462" s="77" t="s">
        <v>253</v>
      </c>
      <c r="C462" s="61">
        <v>39339</v>
      </c>
      <c r="D462" s="80" t="s">
        <v>60</v>
      </c>
      <c r="E462" s="80" t="s">
        <v>254</v>
      </c>
      <c r="F462" s="78">
        <v>79</v>
      </c>
      <c r="G462" s="79">
        <v>2</v>
      </c>
      <c r="H462" s="79">
        <v>17</v>
      </c>
      <c r="I462" s="118">
        <v>111</v>
      </c>
      <c r="J462" s="140">
        <v>16</v>
      </c>
      <c r="K462" s="141">
        <v>7.333333333333333</v>
      </c>
      <c r="L462" s="142">
        <v>6.363636363636363</v>
      </c>
      <c r="M462" s="143">
        <v>307739</v>
      </c>
      <c r="N462" s="144">
        <v>48509</v>
      </c>
      <c r="O462" s="160">
        <f>M462/N462</f>
        <v>6.3439567915232224</v>
      </c>
      <c r="P462" s="372"/>
    </row>
    <row r="463" spans="1:16" ht="15">
      <c r="A463" s="91">
        <v>460</v>
      </c>
      <c r="B463" s="55" t="s">
        <v>398</v>
      </c>
      <c r="C463" s="41">
        <v>39437</v>
      </c>
      <c r="D463" s="45" t="s">
        <v>260</v>
      </c>
      <c r="E463" s="44" t="s">
        <v>373</v>
      </c>
      <c r="F463" s="63">
        <v>49</v>
      </c>
      <c r="G463" s="63">
        <v>1</v>
      </c>
      <c r="H463" s="63">
        <v>11</v>
      </c>
      <c r="I463" s="85">
        <v>110</v>
      </c>
      <c r="J463" s="93">
        <v>21</v>
      </c>
      <c r="K463" s="144">
        <f>J463/G463</f>
        <v>21</v>
      </c>
      <c r="L463" s="215">
        <f>I463/J463</f>
        <v>5.238095238095238</v>
      </c>
      <c r="M463" s="146">
        <f>265356+150950+36636+752+2313+871+2481+84+743+187+110</f>
        <v>460483</v>
      </c>
      <c r="N463" s="147">
        <f>28419+15898+4109+157+424+163+412+14+140+31+21</f>
        <v>49788</v>
      </c>
      <c r="O463" s="226">
        <f>+M463/N463</f>
        <v>9.248875230979353</v>
      </c>
      <c r="P463" s="260">
        <v>1</v>
      </c>
    </row>
    <row r="464" spans="1:16" ht="15">
      <c r="A464" s="91">
        <v>461</v>
      </c>
      <c r="B464" s="57" t="s">
        <v>217</v>
      </c>
      <c r="C464" s="41">
        <v>39444</v>
      </c>
      <c r="D464" s="47" t="s">
        <v>133</v>
      </c>
      <c r="E464" s="47" t="s">
        <v>293</v>
      </c>
      <c r="F464" s="64" t="s">
        <v>212</v>
      </c>
      <c r="G464" s="64" t="s">
        <v>125</v>
      </c>
      <c r="H464" s="64" t="s">
        <v>129</v>
      </c>
      <c r="I464" s="205">
        <v>109</v>
      </c>
      <c r="J464" s="206">
        <v>18</v>
      </c>
      <c r="K464" s="214">
        <f>J464/G464</f>
        <v>18</v>
      </c>
      <c r="L464" s="215">
        <f>I464/J464</f>
        <v>6.055555555555555</v>
      </c>
      <c r="M464" s="207">
        <v>20852.5</v>
      </c>
      <c r="N464" s="208">
        <v>2703</v>
      </c>
      <c r="O464" s="226">
        <f>+M464/N464</f>
        <v>7.7145763965963745</v>
      </c>
      <c r="P464" s="371"/>
    </row>
    <row r="465" spans="1:16" ht="15">
      <c r="A465" s="91">
        <v>462</v>
      </c>
      <c r="B465" s="56" t="s">
        <v>32</v>
      </c>
      <c r="C465" s="42">
        <v>39388</v>
      </c>
      <c r="D465" s="46" t="s">
        <v>262</v>
      </c>
      <c r="E465" s="46" t="s">
        <v>331</v>
      </c>
      <c r="F465" s="43">
        <v>22</v>
      </c>
      <c r="G465" s="43">
        <v>1</v>
      </c>
      <c r="H465" s="43">
        <v>8</v>
      </c>
      <c r="I465" s="195">
        <v>108</v>
      </c>
      <c r="J465" s="196">
        <v>18</v>
      </c>
      <c r="K465" s="214">
        <f>J465/G465</f>
        <v>18</v>
      </c>
      <c r="L465" s="215">
        <f>I465/J465</f>
        <v>6</v>
      </c>
      <c r="M465" s="199">
        <f>31108.5+12339+4008+1827+3573.5+1219.5+765.5+108</f>
        <v>54949</v>
      </c>
      <c r="N465" s="197">
        <f>3175+1380+493+264+592+165+99+18</f>
        <v>6186</v>
      </c>
      <c r="O465" s="226">
        <f>+M465/N465</f>
        <v>8.882799870675719</v>
      </c>
      <c r="P465" s="260"/>
    </row>
    <row r="466" spans="1:16" ht="15">
      <c r="A466" s="91">
        <v>463</v>
      </c>
      <c r="B466" s="55" t="s">
        <v>442</v>
      </c>
      <c r="C466" s="41">
        <v>39360</v>
      </c>
      <c r="D466" s="45" t="s">
        <v>260</v>
      </c>
      <c r="E466" s="44" t="s">
        <v>144</v>
      </c>
      <c r="F466" s="63">
        <v>73</v>
      </c>
      <c r="G466" s="63">
        <v>1</v>
      </c>
      <c r="H466" s="63">
        <v>17</v>
      </c>
      <c r="I466" s="205">
        <v>105</v>
      </c>
      <c r="J466" s="206">
        <v>15</v>
      </c>
      <c r="K466" s="214">
        <f>J466/G466</f>
        <v>15</v>
      </c>
      <c r="L466" s="215">
        <f>I466/J466</f>
        <v>7</v>
      </c>
      <c r="M466" s="207">
        <f>2527+398811+325917+116748+8773+28+28081+14690+2838+221+3656+238+712+147+168+168+259+147+105</f>
        <v>904234</v>
      </c>
      <c r="N466" s="208">
        <f>228+40290+35016+12251+1468+5988+2689+521+31+1450+32+140+21+26+24+37+21+15</f>
        <v>100248</v>
      </c>
      <c r="O466" s="226">
        <f>+M466/N466</f>
        <v>9.0199704732264</v>
      </c>
      <c r="P466" s="260"/>
    </row>
    <row r="467" spans="1:16" ht="15">
      <c r="A467" s="91">
        <v>464</v>
      </c>
      <c r="B467" s="57" t="s">
        <v>14</v>
      </c>
      <c r="C467" s="41">
        <v>39346</v>
      </c>
      <c r="D467" s="47" t="s">
        <v>133</v>
      </c>
      <c r="E467" s="47" t="s">
        <v>15</v>
      </c>
      <c r="F467" s="64" t="s">
        <v>16</v>
      </c>
      <c r="G467" s="64" t="s">
        <v>125</v>
      </c>
      <c r="H467" s="64" t="s">
        <v>212</v>
      </c>
      <c r="I467" s="205">
        <v>104</v>
      </c>
      <c r="J467" s="206">
        <v>26</v>
      </c>
      <c r="K467" s="214">
        <f>J467/G467</f>
        <v>26</v>
      </c>
      <c r="L467" s="215">
        <f>I467/J467</f>
        <v>4</v>
      </c>
      <c r="M467" s="207">
        <v>10341</v>
      </c>
      <c r="N467" s="208">
        <v>1329</v>
      </c>
      <c r="O467" s="226">
        <f>+M467/N467</f>
        <v>7.781038374717833</v>
      </c>
      <c r="P467" s="260">
        <v>1</v>
      </c>
    </row>
    <row r="468" spans="1:16" ht="15">
      <c r="A468" s="91">
        <v>465</v>
      </c>
      <c r="B468" s="56" t="s">
        <v>336</v>
      </c>
      <c r="C468" s="41">
        <v>39402</v>
      </c>
      <c r="D468" s="339" t="s">
        <v>256</v>
      </c>
      <c r="E468" s="339" t="s">
        <v>337</v>
      </c>
      <c r="F468" s="43">
        <v>165</v>
      </c>
      <c r="G468" s="43">
        <v>1</v>
      </c>
      <c r="H468" s="43">
        <v>20</v>
      </c>
      <c r="I468" s="195">
        <v>97</v>
      </c>
      <c r="J468" s="196">
        <v>29</v>
      </c>
      <c r="K468" s="214">
        <f>IF(I468&lt;&gt;0,J468/G468,"")</f>
        <v>29</v>
      </c>
      <c r="L468" s="215">
        <f>IF(I468&lt;&gt;0,I468/J468,"")</f>
        <v>3.3448275862068964</v>
      </c>
      <c r="M468" s="199">
        <f>12736195.5+635116+336718.5+243017+121597.5+87378+27897.5+22169+10074+11918+6458+34768+1068+97</f>
        <v>14274472</v>
      </c>
      <c r="N468" s="197">
        <f>271934+322135+339926+262189+150199+208899+146862+92002+47008+33955+17959+14849+4943+4284+1914+2027+1272+7140+334+29</f>
        <v>1929860</v>
      </c>
      <c r="O468" s="226">
        <f>IF(M468&lt;&gt;0,M468/N468,"")</f>
        <v>7.39663602541117</v>
      </c>
      <c r="P468" s="260"/>
    </row>
    <row r="469" spans="1:16" ht="18">
      <c r="A469" s="91">
        <v>466</v>
      </c>
      <c r="B469" s="56" t="s">
        <v>338</v>
      </c>
      <c r="C469" s="41">
        <v>39402</v>
      </c>
      <c r="D469" s="46" t="s">
        <v>261</v>
      </c>
      <c r="E469" s="46" t="s">
        <v>50</v>
      </c>
      <c r="F469" s="43">
        <v>130</v>
      </c>
      <c r="G469" s="43">
        <v>1</v>
      </c>
      <c r="H469" s="43">
        <v>16</v>
      </c>
      <c r="I469" s="195">
        <v>96</v>
      </c>
      <c r="J469" s="196">
        <v>14</v>
      </c>
      <c r="K469" s="214">
        <f>J469/G469</f>
        <v>14</v>
      </c>
      <c r="L469" s="215">
        <f>+I469/J469</f>
        <v>6.857142857142857</v>
      </c>
      <c r="M469" s="199">
        <v>2095649</v>
      </c>
      <c r="N469" s="197">
        <v>264958</v>
      </c>
      <c r="O469" s="226">
        <f>+M469/N469</f>
        <v>7.909362993380083</v>
      </c>
      <c r="P469" s="373"/>
    </row>
    <row r="470" spans="1:16" ht="18">
      <c r="A470" s="91">
        <v>467</v>
      </c>
      <c r="B470" s="56" t="s">
        <v>294</v>
      </c>
      <c r="C470" s="42">
        <v>38821</v>
      </c>
      <c r="D470" s="46" t="s">
        <v>262</v>
      </c>
      <c r="E470" s="46" t="s">
        <v>263</v>
      </c>
      <c r="F470" s="63">
        <v>118</v>
      </c>
      <c r="G470" s="43">
        <v>1</v>
      </c>
      <c r="H470" s="43">
        <v>39</v>
      </c>
      <c r="I470" s="195">
        <v>91</v>
      </c>
      <c r="J470" s="196">
        <v>13</v>
      </c>
      <c r="K470" s="214">
        <f>J470/G470</f>
        <v>13</v>
      </c>
      <c r="L470" s="215">
        <f>I470/J470</f>
        <v>7</v>
      </c>
      <c r="M470" s="199">
        <f>1908861+1583540+976953.5+606582.5+358386.5+257458.5+154619+107195+70567+37968.5+18157.5+11925.5+12529.5+11442+10137.5+11279.5+11047+23092+6089.5+13588+1331+1245+48+90+312+4271+1314+128+1008+10+610+1572+5035-409+4651.5+3349+2013.5+2852+91</f>
        <v>6220941.5</v>
      </c>
      <c r="N470" s="197">
        <f>267837+226672+141343+93283+56706+48660+34140+24736+15604+6640+3341+2116+2223+1865+2002+2375+2554+5432+1329+3323+245+218+8+15+52+1073+314+16+252+116+261+1007-77+884+645+503+712+13</f>
        <v>948438</v>
      </c>
      <c r="O470" s="225">
        <f>M470/N470</f>
        <v>6.559144087436396</v>
      </c>
      <c r="P470" s="373"/>
    </row>
    <row r="471" spans="1:16" ht="15">
      <c r="A471" s="91">
        <v>468</v>
      </c>
      <c r="B471" s="56" t="s">
        <v>194</v>
      </c>
      <c r="C471" s="41">
        <v>39346</v>
      </c>
      <c r="D471" s="46" t="s">
        <v>260</v>
      </c>
      <c r="E471" s="46" t="s">
        <v>107</v>
      </c>
      <c r="F471" s="43">
        <v>66</v>
      </c>
      <c r="G471" s="43">
        <v>1</v>
      </c>
      <c r="H471" s="43">
        <v>10</v>
      </c>
      <c r="I471" s="195">
        <v>88</v>
      </c>
      <c r="J471" s="196">
        <v>22</v>
      </c>
      <c r="K471" s="214">
        <f>J471/G471</f>
        <v>22</v>
      </c>
      <c r="L471" s="215">
        <f>I471/J471</f>
        <v>4</v>
      </c>
      <c r="M471" s="199">
        <f>232782+118124+45227+14221+13354+3876+2575+3241+955+88</f>
        <v>434443</v>
      </c>
      <c r="N471" s="197">
        <f>25367+13380+5415+2341+2380+692+411+483+181+22</f>
        <v>50672</v>
      </c>
      <c r="O471" s="226">
        <f>+M471/N471</f>
        <v>8.573630407325545</v>
      </c>
      <c r="P471" s="371"/>
    </row>
    <row r="472" spans="1:16" ht="15">
      <c r="A472" s="91">
        <v>469</v>
      </c>
      <c r="B472" s="55" t="s">
        <v>63</v>
      </c>
      <c r="C472" s="41">
        <v>39346</v>
      </c>
      <c r="D472" s="44" t="s">
        <v>256</v>
      </c>
      <c r="E472" s="44" t="s">
        <v>251</v>
      </c>
      <c r="F472" s="63">
        <v>43</v>
      </c>
      <c r="G472" s="63">
        <v>1</v>
      </c>
      <c r="H472" s="63">
        <v>11</v>
      </c>
      <c r="I472" s="200">
        <v>86</v>
      </c>
      <c r="J472" s="201">
        <v>24</v>
      </c>
      <c r="K472" s="202">
        <f>IF(I472&lt;&gt;0,J472/G472,"")</f>
        <v>24</v>
      </c>
      <c r="L472" s="203">
        <f>IF(I472&lt;&gt;0,I472/J472,"")</f>
        <v>3.5833333333333335</v>
      </c>
      <c r="M472" s="204">
        <f>120242+0</f>
        <v>120242</v>
      </c>
      <c r="N472" s="197">
        <f>15823+0</f>
        <v>15823</v>
      </c>
      <c r="O472" s="224">
        <f>IF(M472&lt;&gt;0,M472/N472,"")</f>
        <v>7.599191051001706</v>
      </c>
      <c r="P472" s="260"/>
    </row>
    <row r="473" spans="1:16" ht="15">
      <c r="A473" s="91">
        <v>470</v>
      </c>
      <c r="B473" s="55" t="s">
        <v>295</v>
      </c>
      <c r="C473" s="41">
        <v>39332</v>
      </c>
      <c r="D473" s="45" t="s">
        <v>260</v>
      </c>
      <c r="E473" s="44" t="s">
        <v>144</v>
      </c>
      <c r="F473" s="63">
        <v>61</v>
      </c>
      <c r="G473" s="63">
        <v>1</v>
      </c>
      <c r="H473" s="63">
        <v>13</v>
      </c>
      <c r="I473" s="205">
        <v>85</v>
      </c>
      <c r="J473" s="206">
        <v>21</v>
      </c>
      <c r="K473" s="214">
        <f>J473/G473</f>
        <v>21</v>
      </c>
      <c r="L473" s="215">
        <f>I473/J473</f>
        <v>4.0476190476190474</v>
      </c>
      <c r="M473" s="207">
        <f>1122962+173+85</f>
        <v>1123220</v>
      </c>
      <c r="N473" s="208">
        <f>117710+43+21</f>
        <v>117774</v>
      </c>
      <c r="O473" s="226">
        <f>+M473/N473</f>
        <v>9.537079491228964</v>
      </c>
      <c r="P473" s="260"/>
    </row>
    <row r="474" spans="1:16" ht="15">
      <c r="A474" s="91">
        <v>471</v>
      </c>
      <c r="B474" s="55" t="s">
        <v>398</v>
      </c>
      <c r="C474" s="41">
        <v>39437</v>
      </c>
      <c r="D474" s="45" t="s">
        <v>260</v>
      </c>
      <c r="E474" s="44" t="s">
        <v>413</v>
      </c>
      <c r="F474" s="63">
        <v>49</v>
      </c>
      <c r="G474" s="63">
        <v>1</v>
      </c>
      <c r="H474" s="63">
        <v>8</v>
      </c>
      <c r="I474" s="85">
        <v>84</v>
      </c>
      <c r="J474" s="93">
        <v>14</v>
      </c>
      <c r="K474" s="144">
        <f>J474/G474</f>
        <v>14</v>
      </c>
      <c r="L474" s="215">
        <f>I474/J474</f>
        <v>6</v>
      </c>
      <c r="M474" s="146">
        <f>265356+150950+36636+752+2313+871+2481+84</f>
        <v>459443</v>
      </c>
      <c r="N474" s="147">
        <f>28419+15898+4109+157+424+163+412+14</f>
        <v>49596</v>
      </c>
      <c r="O474" s="226">
        <f>+M474/N474</f>
        <v>9.26371078312767</v>
      </c>
      <c r="P474" s="260"/>
    </row>
    <row r="475" spans="1:16" ht="15">
      <c r="A475" s="91">
        <v>472</v>
      </c>
      <c r="B475" s="56" t="s">
        <v>326</v>
      </c>
      <c r="C475" s="41">
        <v>39437</v>
      </c>
      <c r="D475" s="46" t="s">
        <v>267</v>
      </c>
      <c r="E475" s="46" t="s">
        <v>127</v>
      </c>
      <c r="F475" s="43">
        <v>17</v>
      </c>
      <c r="G475" s="43">
        <v>1</v>
      </c>
      <c r="H475" s="43">
        <v>10</v>
      </c>
      <c r="I475" s="86">
        <v>82.5</v>
      </c>
      <c r="J475" s="95">
        <v>5</v>
      </c>
      <c r="K475" s="144">
        <f>J475/G475</f>
        <v>5</v>
      </c>
      <c r="L475" s="145">
        <f>I475/J475</f>
        <v>16.5</v>
      </c>
      <c r="M475" s="136">
        <v>278333</v>
      </c>
      <c r="N475" s="134">
        <v>26564</v>
      </c>
      <c r="O475" s="81">
        <f>M475/N475</f>
        <v>10.4778271344677</v>
      </c>
      <c r="P475" s="371"/>
    </row>
    <row r="476" spans="1:16" ht="15">
      <c r="A476" s="91">
        <v>473</v>
      </c>
      <c r="B476" s="62" t="s">
        <v>61</v>
      </c>
      <c r="C476" s="41">
        <v>39304</v>
      </c>
      <c r="D476" s="45" t="s">
        <v>260</v>
      </c>
      <c r="E476" s="44" t="s">
        <v>144</v>
      </c>
      <c r="F476" s="63">
        <v>165</v>
      </c>
      <c r="G476" s="63">
        <v>1</v>
      </c>
      <c r="H476" s="63">
        <v>22</v>
      </c>
      <c r="I476" s="85">
        <v>81</v>
      </c>
      <c r="J476" s="93">
        <v>40</v>
      </c>
      <c r="K476" s="144">
        <f>J476/G476</f>
        <v>40</v>
      </c>
      <c r="L476" s="145">
        <f>I476/J476</f>
        <v>2.025</v>
      </c>
      <c r="M476" s="146">
        <f>2632960+1103806+622810+343330+175885+112509+60772+28410+15737+16484+3567+7825+3899+7196+3981+1749+1616+3566+772+1288+684+81</f>
        <v>5148927</v>
      </c>
      <c r="N476" s="147">
        <f>336483+141879+82533+45209+26903+20540+11529+5833+3987+3318+680+865+384+1787+580+811+720+1776+383+644+340+40</f>
        <v>687224</v>
      </c>
      <c r="O476" s="81">
        <f>+M476/N476</f>
        <v>7.492356204090661</v>
      </c>
      <c r="P476" s="371"/>
    </row>
    <row r="477" spans="1:16" ht="15">
      <c r="A477" s="91">
        <v>474</v>
      </c>
      <c r="B477" s="57" t="s">
        <v>171</v>
      </c>
      <c r="C477" s="41">
        <v>39416</v>
      </c>
      <c r="D477" s="47" t="s">
        <v>133</v>
      </c>
      <c r="E477" s="47" t="s">
        <v>172</v>
      </c>
      <c r="F477" s="64" t="s">
        <v>440</v>
      </c>
      <c r="G477" s="64" t="s">
        <v>125</v>
      </c>
      <c r="H477" s="64" t="s">
        <v>129</v>
      </c>
      <c r="I477" s="85">
        <v>80</v>
      </c>
      <c r="J477" s="93">
        <v>14</v>
      </c>
      <c r="K477" s="144">
        <f>J477/G477</f>
        <v>14</v>
      </c>
      <c r="L477" s="145">
        <f>I477/J477</f>
        <v>5.714285714285714</v>
      </c>
      <c r="M477" s="146">
        <v>28346</v>
      </c>
      <c r="N477" s="147">
        <v>3690</v>
      </c>
      <c r="O477" s="81">
        <f>+M477/N477</f>
        <v>7.681842818428184</v>
      </c>
      <c r="P477" s="260"/>
    </row>
    <row r="478" spans="1:16" ht="15">
      <c r="A478" s="91">
        <v>475</v>
      </c>
      <c r="B478" s="56" t="s">
        <v>432</v>
      </c>
      <c r="C478" s="42">
        <v>39311</v>
      </c>
      <c r="D478" s="46" t="s">
        <v>262</v>
      </c>
      <c r="E478" s="44" t="s">
        <v>263</v>
      </c>
      <c r="F478" s="63">
        <v>51</v>
      </c>
      <c r="G478" s="43">
        <v>1</v>
      </c>
      <c r="H478" s="43">
        <v>13</v>
      </c>
      <c r="I478" s="86">
        <v>80</v>
      </c>
      <c r="J478" s="95">
        <v>12</v>
      </c>
      <c r="K478" s="137">
        <f>IF(I478&lt;&gt;0,J478/G478,"")</f>
        <v>12</v>
      </c>
      <c r="L478" s="138">
        <f>IF(I478&lt;&gt;0,I478/J478,"")</f>
        <v>6.666666666666667</v>
      </c>
      <c r="M478" s="136">
        <f>307706+165406+101634+49698+32049.5+23376.5+11639-20+12239.5+6765.5+893+48+38+80</f>
        <v>711553</v>
      </c>
      <c r="N478" s="134">
        <f>37496+19653+12173+6929+5777+4291+2342-2+2292+1679+199+7+5+12</f>
        <v>92853</v>
      </c>
      <c r="O478" s="159">
        <f>IF(M478&lt;&gt;0,M478/N478,"")</f>
        <v>7.663220359062174</v>
      </c>
      <c r="P478" s="336">
        <v>1</v>
      </c>
    </row>
    <row r="479" spans="1:16" ht="15">
      <c r="A479" s="91">
        <v>476</v>
      </c>
      <c r="B479" s="56" t="s">
        <v>316</v>
      </c>
      <c r="C479" s="41">
        <v>39430</v>
      </c>
      <c r="D479" s="46" t="s">
        <v>262</v>
      </c>
      <c r="E479" s="46" t="s">
        <v>263</v>
      </c>
      <c r="F479" s="43">
        <v>64</v>
      </c>
      <c r="G479" s="43">
        <v>1</v>
      </c>
      <c r="H479" s="43">
        <v>13</v>
      </c>
      <c r="I479" s="136">
        <v>78</v>
      </c>
      <c r="J479" s="134">
        <v>26</v>
      </c>
      <c r="K479" s="144">
        <f aca="true" t="shared" si="48" ref="K479:K493">J479/G479</f>
        <v>26</v>
      </c>
      <c r="L479" s="145">
        <f>I479/J479</f>
        <v>3</v>
      </c>
      <c r="M479" s="136">
        <f>183581+192120.5+67824+23763.5+5798.5+5467+22027+14042+2947+442+3097+2408.5+78</f>
        <v>523596</v>
      </c>
      <c r="N479" s="134">
        <f>20071+21989+8620+4128+850+1010+3719+2499+595+78+775+602+26</f>
        <v>64962</v>
      </c>
      <c r="O479" s="81">
        <f aca="true" t="shared" si="49" ref="O479:O493">+M479/N479</f>
        <v>8.060035097441581</v>
      </c>
      <c r="P479" s="336"/>
    </row>
    <row r="480" spans="1:16" ht="15">
      <c r="A480" s="91">
        <v>477</v>
      </c>
      <c r="B480" s="56" t="s">
        <v>288</v>
      </c>
      <c r="C480" s="42">
        <v>38947</v>
      </c>
      <c r="D480" s="46" t="s">
        <v>262</v>
      </c>
      <c r="E480" s="46" t="s">
        <v>263</v>
      </c>
      <c r="F480" s="63">
        <v>106</v>
      </c>
      <c r="G480" s="43">
        <v>1</v>
      </c>
      <c r="H480" s="43">
        <v>35</v>
      </c>
      <c r="I480" s="195">
        <v>70</v>
      </c>
      <c r="J480" s="196">
        <v>10</v>
      </c>
      <c r="K480" s="214">
        <f t="shared" si="48"/>
        <v>10</v>
      </c>
      <c r="L480" s="145">
        <f>I480/J480</f>
        <v>7</v>
      </c>
      <c r="M480" s="199">
        <f>851045+613251.5+405140+216081+124391+88721.5+33772.5+20268.5+9628+2255.5+1314.5+2611.5+726.5+537.5+1115+625.5+6606+1330.5+1386+-611+1222+4532+530+28400+130+4027.5+416+3201.5+838+1128+2376+4027+2423+168+147+70</f>
        <v>2433832.5</v>
      </c>
      <c r="N480" s="197">
        <f>116878+84823+56865+31359+21609+17621+6633+4111+1582+390+233+473+110+78+157+95+2946+355+318+132+906+105+5667+18+806+100+801+209+188+594+1006+599+24+21+10</f>
        <v>357822</v>
      </c>
      <c r="O480" s="81">
        <f t="shared" si="49"/>
        <v>6.801796703388836</v>
      </c>
      <c r="P480" s="336"/>
    </row>
    <row r="481" spans="1:16" ht="15">
      <c r="A481" s="91">
        <v>478</v>
      </c>
      <c r="B481" s="56" t="s">
        <v>33</v>
      </c>
      <c r="C481" s="41">
        <v>39283</v>
      </c>
      <c r="D481" s="46" t="s">
        <v>60</v>
      </c>
      <c r="E481" s="46" t="s">
        <v>34</v>
      </c>
      <c r="F481" s="43">
        <v>27</v>
      </c>
      <c r="G481" s="43">
        <v>1</v>
      </c>
      <c r="H481" s="43">
        <v>17</v>
      </c>
      <c r="I481" s="195">
        <v>68</v>
      </c>
      <c r="J481" s="196">
        <v>17</v>
      </c>
      <c r="K481" s="214">
        <f t="shared" si="48"/>
        <v>17</v>
      </c>
      <c r="L481" s="215">
        <f>I481/J481</f>
        <v>4</v>
      </c>
      <c r="M481" s="199">
        <v>197367</v>
      </c>
      <c r="N481" s="197">
        <v>27826</v>
      </c>
      <c r="O481" s="226">
        <f t="shared" si="49"/>
        <v>7.0928987278085245</v>
      </c>
      <c r="P481" s="336"/>
    </row>
    <row r="482" spans="1:16" ht="15">
      <c r="A482" s="91">
        <v>479</v>
      </c>
      <c r="B482" s="55" t="s">
        <v>335</v>
      </c>
      <c r="C482" s="41">
        <v>39402</v>
      </c>
      <c r="D482" s="45" t="s">
        <v>260</v>
      </c>
      <c r="E482" s="44" t="s">
        <v>144</v>
      </c>
      <c r="F482" s="63">
        <v>20</v>
      </c>
      <c r="G482" s="63">
        <v>1</v>
      </c>
      <c r="H482" s="63">
        <v>11</v>
      </c>
      <c r="I482" s="205">
        <v>64</v>
      </c>
      <c r="J482" s="206">
        <v>16</v>
      </c>
      <c r="K482" s="214">
        <f t="shared" si="48"/>
        <v>16</v>
      </c>
      <c r="L482" s="215">
        <f>I482/J482</f>
        <v>4</v>
      </c>
      <c r="M482" s="207">
        <f>8296+141704+66729+20126+11859+581+2076+3662+3777+6557+1754+64</f>
        <v>267185</v>
      </c>
      <c r="N482" s="208">
        <f>702+12499+6089+1727+1871+101+444+549+663+1089+276+16</f>
        <v>26026</v>
      </c>
      <c r="O482" s="226">
        <f t="shared" si="49"/>
        <v>10.26608007377238</v>
      </c>
      <c r="P482" s="336"/>
    </row>
    <row r="483" spans="1:16" ht="15">
      <c r="A483" s="91">
        <v>480</v>
      </c>
      <c r="B483" s="56" t="s">
        <v>46</v>
      </c>
      <c r="C483" s="41">
        <v>39087</v>
      </c>
      <c r="D483" s="339" t="s">
        <v>260</v>
      </c>
      <c r="E483" s="339" t="s">
        <v>265</v>
      </c>
      <c r="F483" s="43">
        <v>80</v>
      </c>
      <c r="G483" s="43">
        <v>1</v>
      </c>
      <c r="H483" s="43">
        <v>32</v>
      </c>
      <c r="I483" s="195">
        <v>60</v>
      </c>
      <c r="J483" s="196">
        <v>20</v>
      </c>
      <c r="K483" s="214">
        <f t="shared" si="48"/>
        <v>20</v>
      </c>
      <c r="L483" s="215">
        <f>I483/J483</f>
        <v>3</v>
      </c>
      <c r="M483" s="199">
        <f>1367+686114+384405+247619+146119+85619+63759-1+18934+11869+10791+11315+6907+8812+6730+2628+1465+749+1063+756+276+1198+612+510+45+1062+592+1782+205+893+893+2490+691+2542+60</f>
        <v>1710871</v>
      </c>
      <c r="N483" s="197">
        <f>80773+116+46317+29887+17891+10484+7685+2801+1917+1334+1333+755+1517+932+417+307+136+369+126+23+122+85+45+5+126+49+510+33+296+296+415+68+356+20</f>
        <v>207546</v>
      </c>
      <c r="O483" s="226">
        <f t="shared" si="49"/>
        <v>8.24333400788259</v>
      </c>
      <c r="P483" s="336"/>
    </row>
    <row r="484" spans="1:16" ht="15">
      <c r="A484" s="91">
        <v>481</v>
      </c>
      <c r="B484" s="56" t="s">
        <v>311</v>
      </c>
      <c r="C484" s="41">
        <v>39430</v>
      </c>
      <c r="D484" s="46" t="s">
        <v>261</v>
      </c>
      <c r="E484" s="46" t="s">
        <v>397</v>
      </c>
      <c r="F484" s="43">
        <v>242</v>
      </c>
      <c r="G484" s="43">
        <v>1</v>
      </c>
      <c r="H484" s="43">
        <v>21</v>
      </c>
      <c r="I484" s="195">
        <v>60</v>
      </c>
      <c r="J484" s="196">
        <v>12</v>
      </c>
      <c r="K484" s="214">
        <f t="shared" si="48"/>
        <v>12</v>
      </c>
      <c r="L484" s="215">
        <f>+I484/J484</f>
        <v>5</v>
      </c>
      <c r="M484" s="199">
        <v>15281657</v>
      </c>
      <c r="N484" s="197">
        <v>1985251</v>
      </c>
      <c r="O484" s="226">
        <f t="shared" si="49"/>
        <v>7.697594409976371</v>
      </c>
      <c r="P484" s="336"/>
    </row>
    <row r="485" spans="1:16" ht="15">
      <c r="A485" s="91">
        <v>482</v>
      </c>
      <c r="B485" s="57" t="s">
        <v>59</v>
      </c>
      <c r="C485" s="42">
        <v>39220</v>
      </c>
      <c r="D485" s="47" t="s">
        <v>126</v>
      </c>
      <c r="E485" s="47" t="s">
        <v>105</v>
      </c>
      <c r="F485" s="88">
        <v>88</v>
      </c>
      <c r="G485" s="89">
        <v>1</v>
      </c>
      <c r="H485" s="88">
        <v>35</v>
      </c>
      <c r="I485" s="85">
        <v>56</v>
      </c>
      <c r="J485" s="93">
        <v>11</v>
      </c>
      <c r="K485" s="144">
        <f t="shared" si="48"/>
        <v>11</v>
      </c>
      <c r="L485" s="215">
        <f>I485/J485</f>
        <v>5.090909090909091</v>
      </c>
      <c r="M485" s="146">
        <v>589575</v>
      </c>
      <c r="N485" s="147">
        <v>87054</v>
      </c>
      <c r="O485" s="226">
        <f t="shared" si="49"/>
        <v>6.772520504514439</v>
      </c>
      <c r="P485" s="336">
        <v>1</v>
      </c>
    </row>
    <row r="486" spans="1:16" ht="15">
      <c r="A486" s="91">
        <v>483</v>
      </c>
      <c r="B486" s="55" t="s">
        <v>214</v>
      </c>
      <c r="C486" s="41">
        <v>39444</v>
      </c>
      <c r="D486" s="45" t="s">
        <v>260</v>
      </c>
      <c r="E486" s="44" t="s">
        <v>107</v>
      </c>
      <c r="F486" s="63">
        <v>60</v>
      </c>
      <c r="G486" s="63">
        <v>5</v>
      </c>
      <c r="H486" s="63">
        <v>6</v>
      </c>
      <c r="I486" s="205">
        <v>52</v>
      </c>
      <c r="J486" s="206">
        <v>13</v>
      </c>
      <c r="K486" s="214">
        <f t="shared" si="48"/>
        <v>2.6</v>
      </c>
      <c r="L486" s="215">
        <f>I486/J486</f>
        <v>4</v>
      </c>
      <c r="M486" s="207">
        <f>211429+90759+13033+2807+2520+52</f>
        <v>320600</v>
      </c>
      <c r="N486" s="208">
        <f>22982+9879+1560+450+434+13</f>
        <v>35318</v>
      </c>
      <c r="O486" s="226">
        <f t="shared" si="49"/>
        <v>9.077524208618835</v>
      </c>
      <c r="P486" s="336"/>
    </row>
    <row r="487" spans="1:15" ht="15">
      <c r="A487" s="91">
        <v>484</v>
      </c>
      <c r="B487" s="57" t="s">
        <v>217</v>
      </c>
      <c r="C487" s="41">
        <v>39444</v>
      </c>
      <c r="D487" s="47" t="s">
        <v>133</v>
      </c>
      <c r="E487" s="47" t="s">
        <v>168</v>
      </c>
      <c r="F487" s="64" t="s">
        <v>212</v>
      </c>
      <c r="G487" s="64" t="s">
        <v>125</v>
      </c>
      <c r="H487" s="64" t="s">
        <v>410</v>
      </c>
      <c r="I487" s="205">
        <v>50</v>
      </c>
      <c r="J487" s="206">
        <v>10</v>
      </c>
      <c r="K487" s="214">
        <f t="shared" si="48"/>
        <v>10</v>
      </c>
      <c r="L487" s="145">
        <f>I487/J487</f>
        <v>5</v>
      </c>
      <c r="M487" s="207">
        <v>21780.5</v>
      </c>
      <c r="N487" s="208">
        <v>2881</v>
      </c>
      <c r="O487" s="81">
        <f t="shared" si="49"/>
        <v>7.560048594238112</v>
      </c>
    </row>
    <row r="488" spans="1:15" ht="15">
      <c r="A488" s="91">
        <v>485</v>
      </c>
      <c r="B488" s="56" t="s">
        <v>398</v>
      </c>
      <c r="C488" s="41">
        <v>39437</v>
      </c>
      <c r="D488" s="46" t="s">
        <v>260</v>
      </c>
      <c r="E488" s="46" t="s">
        <v>413</v>
      </c>
      <c r="F488" s="43">
        <v>49</v>
      </c>
      <c r="G488" s="43">
        <v>1</v>
      </c>
      <c r="H488" s="43">
        <v>15</v>
      </c>
      <c r="I488" s="195">
        <v>50</v>
      </c>
      <c r="J488" s="196">
        <v>8</v>
      </c>
      <c r="K488" s="214">
        <f t="shared" si="48"/>
        <v>8</v>
      </c>
      <c r="L488" s="215">
        <f>I488/J488</f>
        <v>6.25</v>
      </c>
      <c r="M488" s="199">
        <f>265356+150950+36636+752+2313+871+2481+84+743+187+110+488+748+1242+50</f>
        <v>463011</v>
      </c>
      <c r="N488" s="197">
        <f>28419+15898+4109+157+424+163+412+14+140+31+21+106+161+211+8</f>
        <v>50274</v>
      </c>
      <c r="O488" s="226">
        <f t="shared" si="49"/>
        <v>9.209750566893424</v>
      </c>
    </row>
    <row r="489" spans="1:16" ht="15">
      <c r="A489" s="91">
        <v>486</v>
      </c>
      <c r="B489" s="56" t="s">
        <v>317</v>
      </c>
      <c r="C489" s="42">
        <v>39430</v>
      </c>
      <c r="D489" s="46" t="s">
        <v>262</v>
      </c>
      <c r="E489" s="46" t="s">
        <v>318</v>
      </c>
      <c r="F489" s="43">
        <v>43</v>
      </c>
      <c r="G489" s="43">
        <v>1</v>
      </c>
      <c r="H489" s="43">
        <v>5</v>
      </c>
      <c r="I489" s="195">
        <v>50</v>
      </c>
      <c r="J489" s="196">
        <v>5</v>
      </c>
      <c r="K489" s="197">
        <f t="shared" si="48"/>
        <v>5</v>
      </c>
      <c r="L489" s="198">
        <f>+I489/J489</f>
        <v>10</v>
      </c>
      <c r="M489" s="199">
        <f>43240+25728.5+5226.5+5207.5+50</f>
        <v>79452.5</v>
      </c>
      <c r="N489" s="197">
        <f>5272+3593+870+1171+5</f>
        <v>10911</v>
      </c>
      <c r="O489" s="223">
        <f t="shared" si="49"/>
        <v>7.281871505819815</v>
      </c>
      <c r="P489" s="251"/>
    </row>
    <row r="490" spans="1:16" ht="15">
      <c r="A490" s="91">
        <v>487</v>
      </c>
      <c r="B490" s="56" t="s">
        <v>332</v>
      </c>
      <c r="C490" s="41">
        <v>39395</v>
      </c>
      <c r="D490" s="46" t="s">
        <v>260</v>
      </c>
      <c r="E490" s="46" t="s">
        <v>265</v>
      </c>
      <c r="F490" s="43">
        <v>56</v>
      </c>
      <c r="G490" s="43">
        <v>1</v>
      </c>
      <c r="H490" s="43">
        <v>10</v>
      </c>
      <c r="I490" s="195">
        <v>48</v>
      </c>
      <c r="J490" s="196">
        <v>12</v>
      </c>
      <c r="K490" s="214">
        <f t="shared" si="48"/>
        <v>12</v>
      </c>
      <c r="L490" s="215">
        <f>I490/J490</f>
        <v>4</v>
      </c>
      <c r="M490" s="199">
        <f>1295+255300+147780+51761+8278+8834+918+1598+1039+1455+48</f>
        <v>478306</v>
      </c>
      <c r="N490" s="197">
        <f>119+28097+15891+6021+1461+2448+162+667+158+291+12</f>
        <v>55327</v>
      </c>
      <c r="O490" s="226">
        <f t="shared" si="49"/>
        <v>8.645073833752056</v>
      </c>
      <c r="P490" s="336"/>
    </row>
    <row r="491" spans="1:16" ht="15">
      <c r="A491" s="91">
        <v>488</v>
      </c>
      <c r="B491" s="56" t="s">
        <v>214</v>
      </c>
      <c r="C491" s="41">
        <v>39444</v>
      </c>
      <c r="D491" s="339" t="s">
        <v>260</v>
      </c>
      <c r="E491" s="339" t="s">
        <v>107</v>
      </c>
      <c r="F491" s="43">
        <v>60</v>
      </c>
      <c r="G491" s="43">
        <v>1</v>
      </c>
      <c r="H491" s="43">
        <v>8</v>
      </c>
      <c r="I491" s="195">
        <v>44</v>
      </c>
      <c r="J491" s="196">
        <v>11</v>
      </c>
      <c r="K491" s="214">
        <f t="shared" si="48"/>
        <v>11</v>
      </c>
      <c r="L491" s="215">
        <f>I491/J491</f>
        <v>4</v>
      </c>
      <c r="M491" s="199">
        <f>211429+90759+13033+2807+2520+52+375+44</f>
        <v>321019</v>
      </c>
      <c r="N491" s="197">
        <f>22982+9879+1560+450+434+13+81+11</f>
        <v>35410</v>
      </c>
      <c r="O491" s="226">
        <f t="shared" si="49"/>
        <v>9.065772380683423</v>
      </c>
      <c r="P491" s="336">
        <v>1</v>
      </c>
    </row>
    <row r="492" spans="1:15" ht="15">
      <c r="A492" s="91">
        <v>489</v>
      </c>
      <c r="B492" s="300" t="s">
        <v>338</v>
      </c>
      <c r="C492" s="42">
        <v>39402</v>
      </c>
      <c r="D492" s="294" t="s">
        <v>261</v>
      </c>
      <c r="E492" s="294" t="s">
        <v>50</v>
      </c>
      <c r="F492" s="43">
        <v>130</v>
      </c>
      <c r="G492" s="43">
        <v>1</v>
      </c>
      <c r="H492" s="43">
        <v>14</v>
      </c>
      <c r="I492" s="195">
        <v>41</v>
      </c>
      <c r="J492" s="196">
        <v>7</v>
      </c>
      <c r="K492" s="214">
        <f t="shared" si="48"/>
        <v>7</v>
      </c>
      <c r="L492" s="215">
        <f>I492/J492</f>
        <v>5.857142857142857</v>
      </c>
      <c r="M492" s="199">
        <v>2095521</v>
      </c>
      <c r="N492" s="197">
        <v>264938</v>
      </c>
      <c r="O492" s="226">
        <f t="shared" si="49"/>
        <v>7.909476934226121</v>
      </c>
    </row>
    <row r="493" spans="1:16" ht="18">
      <c r="A493" s="91">
        <v>490</v>
      </c>
      <c r="B493" s="56" t="s">
        <v>311</v>
      </c>
      <c r="C493" s="41">
        <v>39430</v>
      </c>
      <c r="D493" s="46" t="s">
        <v>261</v>
      </c>
      <c r="E493" s="46" t="s">
        <v>177</v>
      </c>
      <c r="F493" s="43">
        <v>242</v>
      </c>
      <c r="G493" s="43">
        <v>1</v>
      </c>
      <c r="H493" s="43">
        <v>18</v>
      </c>
      <c r="I493" s="86">
        <v>40</v>
      </c>
      <c r="J493" s="95">
        <v>8</v>
      </c>
      <c r="K493" s="144">
        <f t="shared" si="48"/>
        <v>8</v>
      </c>
      <c r="L493" s="145">
        <f>+I493/J493</f>
        <v>5</v>
      </c>
      <c r="M493" s="136">
        <v>15280922</v>
      </c>
      <c r="N493" s="134">
        <v>1984849</v>
      </c>
      <c r="O493" s="81">
        <f t="shared" si="49"/>
        <v>7.698783131613538</v>
      </c>
      <c r="P493" s="360"/>
    </row>
    <row r="494" spans="1:16" ht="15">
      <c r="A494" s="91">
        <v>491</v>
      </c>
      <c r="B494" s="56" t="s">
        <v>438</v>
      </c>
      <c r="C494" s="41">
        <v>39416</v>
      </c>
      <c r="D494" s="46" t="s">
        <v>60</v>
      </c>
      <c r="E494" s="46" t="s">
        <v>254</v>
      </c>
      <c r="F494" s="43">
        <v>45</v>
      </c>
      <c r="G494" s="43">
        <v>1</v>
      </c>
      <c r="H494" s="43">
        <v>15</v>
      </c>
      <c r="I494" s="195">
        <v>36</v>
      </c>
      <c r="J494" s="196">
        <v>5</v>
      </c>
      <c r="K494" s="214">
        <v>92.17647058823529</v>
      </c>
      <c r="L494" s="215">
        <v>5.0644543714103385</v>
      </c>
      <c r="M494" s="199">
        <v>184426.5</v>
      </c>
      <c r="N494" s="197">
        <v>27823</v>
      </c>
      <c r="O494" s="226">
        <f>M494/N494</f>
        <v>6.628562699924523</v>
      </c>
      <c r="P494" s="336"/>
    </row>
    <row r="495" spans="1:16" ht="15">
      <c r="A495" s="91">
        <v>492</v>
      </c>
      <c r="B495" s="300" t="s">
        <v>338</v>
      </c>
      <c r="C495" s="42">
        <v>39402</v>
      </c>
      <c r="D495" s="294" t="s">
        <v>261</v>
      </c>
      <c r="E495" s="294" t="s">
        <v>50</v>
      </c>
      <c r="F495" s="43">
        <v>130</v>
      </c>
      <c r="G495" s="43">
        <v>1</v>
      </c>
      <c r="H495" s="43">
        <v>15</v>
      </c>
      <c r="I495" s="86">
        <v>32</v>
      </c>
      <c r="J495" s="95">
        <v>6</v>
      </c>
      <c r="K495" s="144">
        <f aca="true" t="shared" si="50" ref="K495:K500">J495/G495</f>
        <v>6</v>
      </c>
      <c r="L495" s="215">
        <f>I495/J495</f>
        <v>5.333333333333333</v>
      </c>
      <c r="M495" s="136">
        <v>2095553</v>
      </c>
      <c r="N495" s="134">
        <v>264944</v>
      </c>
      <c r="O495" s="226">
        <f aca="true" t="shared" si="51" ref="O495:O501">+M495/N495</f>
        <v>7.909418594118002</v>
      </c>
      <c r="P495" s="336"/>
    </row>
    <row r="496" spans="1:16" ht="18">
      <c r="A496" s="91">
        <v>493</v>
      </c>
      <c r="B496" s="56" t="s">
        <v>434</v>
      </c>
      <c r="C496" s="42">
        <v>39318</v>
      </c>
      <c r="D496" s="87" t="s">
        <v>261</v>
      </c>
      <c r="E496" s="87" t="s">
        <v>264</v>
      </c>
      <c r="F496" s="43">
        <v>116</v>
      </c>
      <c r="G496" s="43">
        <v>1</v>
      </c>
      <c r="H496" s="43">
        <v>189</v>
      </c>
      <c r="I496" s="195">
        <v>27</v>
      </c>
      <c r="J496" s="196">
        <v>22</v>
      </c>
      <c r="K496" s="197">
        <f t="shared" si="50"/>
        <v>22</v>
      </c>
      <c r="L496" s="198">
        <f>+I496/J496</f>
        <v>1.2272727272727273</v>
      </c>
      <c r="M496" s="199">
        <v>2643760</v>
      </c>
      <c r="N496" s="197">
        <v>331546</v>
      </c>
      <c r="O496" s="223">
        <f t="shared" si="51"/>
        <v>7.97403678524247</v>
      </c>
      <c r="P496" s="360"/>
    </row>
    <row r="497" spans="1:16" ht="15">
      <c r="A497" s="91">
        <v>494</v>
      </c>
      <c r="B497" s="56" t="s">
        <v>46</v>
      </c>
      <c r="C497" s="41">
        <v>39087</v>
      </c>
      <c r="D497" s="46" t="s">
        <v>260</v>
      </c>
      <c r="E497" s="46" t="s">
        <v>265</v>
      </c>
      <c r="F497" s="43">
        <v>80</v>
      </c>
      <c r="G497" s="43">
        <v>1</v>
      </c>
      <c r="H497" s="43">
        <v>40</v>
      </c>
      <c r="I497" s="195">
        <v>15</v>
      </c>
      <c r="J497" s="196">
        <v>3</v>
      </c>
      <c r="K497" s="214">
        <f t="shared" si="50"/>
        <v>3</v>
      </c>
      <c r="L497" s="215">
        <f>I497/J497</f>
        <v>5</v>
      </c>
      <c r="M497" s="199">
        <f>1367+686114+384405+247619+146119+85619+63759-1+18934+11869+10791+11315+6907+8812+6730+2628+1465+749+1063+756+276+1198+612+510+45+1062+592+1782+205+893+893+2490+691+2542+60+12+1977+1181+455+192+233+12+15</f>
        <v>1714948</v>
      </c>
      <c r="N497" s="197">
        <f>80773+116+46317+29887+17891+10484+7685+2801+1917+1334+1333+755+1517+932+417+307+136+369+126+23+122+85+45+5+126+49+510+33+296+296+415+68+356+20+4+312+121+50+20+26+4+3</f>
        <v>208086</v>
      </c>
      <c r="O497" s="226">
        <f t="shared" si="51"/>
        <v>8.241534750055266</v>
      </c>
      <c r="P497" s="336"/>
    </row>
    <row r="498" spans="1:16" ht="15">
      <c r="A498" s="91">
        <v>495</v>
      </c>
      <c r="B498" s="56" t="s">
        <v>46</v>
      </c>
      <c r="C498" s="41">
        <v>39087</v>
      </c>
      <c r="D498" s="46" t="s">
        <v>260</v>
      </c>
      <c r="E498" s="46" t="s">
        <v>265</v>
      </c>
      <c r="F498" s="43">
        <v>80</v>
      </c>
      <c r="G498" s="43">
        <v>1</v>
      </c>
      <c r="H498" s="43">
        <v>39</v>
      </c>
      <c r="I498" s="195">
        <v>12</v>
      </c>
      <c r="J498" s="196">
        <v>4</v>
      </c>
      <c r="K498" s="214">
        <f t="shared" si="50"/>
        <v>4</v>
      </c>
      <c r="L498" s="215">
        <f>I498/J498</f>
        <v>3</v>
      </c>
      <c r="M498" s="199">
        <f>1367+686114+384405+247619+146119+85619+63759-1+18934+11869+10791+11315+6907+8812+6730+2628+1465+749+1063+756+276+1198+612+510+45+1062+592+1782+205+893+893+2490+691+2542+60+12+1977+1181+455+192+233+12</f>
        <v>1714933</v>
      </c>
      <c r="N498" s="197">
        <f>80773+116+46317+29887+17891+10484+7685+2801+1917+1334+1333+755+1517+932+417+307+136+369+126+23+122+85+45+5+126+49+510+33+296+296+415+68+356+20+4+312+121+50+20+26+4</f>
        <v>208083</v>
      </c>
      <c r="O498" s="226">
        <f t="shared" si="51"/>
        <v>8.24158148431155</v>
      </c>
      <c r="P498" s="336"/>
    </row>
    <row r="499" spans="1:16" ht="15">
      <c r="A499" s="91">
        <v>496</v>
      </c>
      <c r="B499" s="56" t="s">
        <v>46</v>
      </c>
      <c r="C499" s="41">
        <v>39087</v>
      </c>
      <c r="D499" s="46" t="s">
        <v>260</v>
      </c>
      <c r="E499" s="46" t="s">
        <v>265</v>
      </c>
      <c r="F499" s="43">
        <v>80</v>
      </c>
      <c r="G499" s="43">
        <v>1</v>
      </c>
      <c r="H499" s="43">
        <v>33</v>
      </c>
      <c r="I499" s="86">
        <v>12</v>
      </c>
      <c r="J499" s="95">
        <v>4</v>
      </c>
      <c r="K499" s="144">
        <f t="shared" si="50"/>
        <v>4</v>
      </c>
      <c r="L499" s="145">
        <f>I499/J499</f>
        <v>3</v>
      </c>
      <c r="M499" s="136">
        <f>1367+686114+384405+247619+146119+85619+63759-1+18934+11869+10791+11315+6907+8812+6730+2628+1465+749+1063+756+276+1198+612+510+45+1062+592+1782+205+893+893+2490+691+2542+60+12</f>
        <v>1710883</v>
      </c>
      <c r="N499" s="134">
        <f>80773+116+46317+29887+17891+10484+7685+2801+1917+1334+1333+755+1517+932+417+307+136+369+126+23+122+85+45+5+126+49+510+33+296+296+415+68+356+20+4</f>
        <v>207550</v>
      </c>
      <c r="O499" s="81">
        <f t="shared" si="51"/>
        <v>8.243232955914237</v>
      </c>
      <c r="P499" s="336">
        <v>1</v>
      </c>
    </row>
    <row r="500" spans="1:16" ht="15">
      <c r="A500" s="91">
        <v>497</v>
      </c>
      <c r="B500" s="56" t="s">
        <v>316</v>
      </c>
      <c r="C500" s="41">
        <v>39430</v>
      </c>
      <c r="D500" s="46" t="s">
        <v>262</v>
      </c>
      <c r="E500" s="46" t="s">
        <v>263</v>
      </c>
      <c r="F500" s="43">
        <v>64</v>
      </c>
      <c r="G500" s="43">
        <v>1</v>
      </c>
      <c r="H500" s="43">
        <v>14</v>
      </c>
      <c r="I500" s="368">
        <v>12</v>
      </c>
      <c r="J500" s="369">
        <v>4</v>
      </c>
      <c r="K500" s="214">
        <f t="shared" si="50"/>
        <v>4</v>
      </c>
      <c r="L500" s="215">
        <f>I500/J500</f>
        <v>3</v>
      </c>
      <c r="M500" s="199">
        <f>183581+192120.5+67824+23763.5+5798.5+5467+22027+14042+2947+442+3097+2408.5+78+12</f>
        <v>523608</v>
      </c>
      <c r="N500" s="197">
        <f>20071+21989+8620+4128+850+1010+3719+2499+595+78+775+602+26+4</f>
        <v>64966</v>
      </c>
      <c r="O500" s="226">
        <f t="shared" si="51"/>
        <v>8.059723547701875</v>
      </c>
      <c r="P500" s="336"/>
    </row>
    <row r="501" spans="1:16" ht="15.75" thickBot="1">
      <c r="A501" s="91">
        <v>498</v>
      </c>
      <c r="B501" s="132" t="s">
        <v>160</v>
      </c>
      <c r="C501" s="162">
        <v>39423</v>
      </c>
      <c r="D501" s="283" t="s">
        <v>309</v>
      </c>
      <c r="E501" s="283" t="s">
        <v>309</v>
      </c>
      <c r="F501" s="133">
        <v>1</v>
      </c>
      <c r="G501" s="133">
        <v>1</v>
      </c>
      <c r="H501" s="133">
        <v>19</v>
      </c>
      <c r="I501" s="229">
        <v>10</v>
      </c>
      <c r="J501" s="230">
        <v>2</v>
      </c>
      <c r="K501" s="352">
        <f>+J501/G501</f>
        <v>2</v>
      </c>
      <c r="L501" s="353">
        <f>+I501/J501</f>
        <v>5</v>
      </c>
      <c r="M501" s="233">
        <v>26922</v>
      </c>
      <c r="N501" s="231">
        <v>2440</v>
      </c>
      <c r="O501" s="354">
        <f t="shared" si="51"/>
        <v>11.033606557377048</v>
      </c>
      <c r="P501" s="336"/>
    </row>
    <row r="502" spans="1:15" ht="12.75">
      <c r="A502" s="125"/>
      <c r="B502" s="126"/>
      <c r="C502" s="127"/>
      <c r="D502" s="127"/>
      <c r="E502" s="127"/>
      <c r="F502" s="167"/>
      <c r="G502" s="168"/>
      <c r="H502" s="169"/>
      <c r="I502" s="287">
        <f>SUM(I4:I501)</f>
        <v>10320922.559999999</v>
      </c>
      <c r="J502" s="288">
        <f>SUM(J4:J501)</f>
        <v>1464092</v>
      </c>
      <c r="K502" s="129"/>
      <c r="L502" s="289"/>
      <c r="M502" s="128"/>
      <c r="N502" s="129"/>
      <c r="O502" s="289"/>
    </row>
    <row r="503" spans="1:7" ht="12.75">
      <c r="A503" s="34"/>
      <c r="B503" s="32"/>
      <c r="C503" s="24"/>
      <c r="D503" s="24"/>
      <c r="E503" s="24"/>
      <c r="F503" s="170"/>
      <c r="G503" s="171"/>
    </row>
    <row r="504" spans="1:15" ht="13.5">
      <c r="A504" s="34"/>
      <c r="B504" s="32"/>
      <c r="C504" s="122"/>
      <c r="D504" s="123"/>
      <c r="E504" s="123"/>
      <c r="F504" s="24"/>
      <c r="G504" s="24"/>
      <c r="K504" s="444" t="s">
        <v>205</v>
      </c>
      <c r="L504" s="481"/>
      <c r="M504" s="481"/>
      <c r="N504" s="481"/>
      <c r="O504" s="481"/>
    </row>
    <row r="505" spans="1:15" ht="12.75">
      <c r="A505" s="34"/>
      <c r="B505" s="32"/>
      <c r="C505" s="123"/>
      <c r="D505" s="123"/>
      <c r="E505" s="123"/>
      <c r="F505" s="24"/>
      <c r="G505" s="24"/>
      <c r="K505" s="481"/>
      <c r="L505" s="481"/>
      <c r="M505" s="481"/>
      <c r="N505" s="481"/>
      <c r="O505" s="481"/>
    </row>
    <row r="506" spans="1:15" ht="12.75">
      <c r="A506" s="34"/>
      <c r="B506" s="32"/>
      <c r="C506" s="123"/>
      <c r="D506" s="123"/>
      <c r="E506" s="123"/>
      <c r="F506" s="24"/>
      <c r="G506" s="24"/>
      <c r="K506" s="481"/>
      <c r="L506" s="481"/>
      <c r="M506" s="481"/>
      <c r="N506" s="481"/>
      <c r="O506" s="481"/>
    </row>
    <row r="507" spans="1:15" ht="12.75">
      <c r="A507" s="34"/>
      <c r="B507" s="32"/>
      <c r="C507" s="123"/>
      <c r="D507" s="123"/>
      <c r="E507" s="123"/>
      <c r="F507" s="24"/>
      <c r="G507" s="24"/>
      <c r="K507" s="481"/>
      <c r="L507" s="481"/>
      <c r="M507" s="481"/>
      <c r="N507" s="481"/>
      <c r="O507" s="481"/>
    </row>
    <row r="508" spans="1:15" ht="12.75">
      <c r="A508" s="34"/>
      <c r="B508" s="32"/>
      <c r="C508" s="123"/>
      <c r="D508" s="123"/>
      <c r="E508" s="123"/>
      <c r="F508" s="24"/>
      <c r="G508" s="24"/>
      <c r="K508" s="481"/>
      <c r="L508" s="481"/>
      <c r="M508" s="481"/>
      <c r="N508" s="481"/>
      <c r="O508" s="481"/>
    </row>
    <row r="509" spans="1:15" ht="12.75">
      <c r="A509" s="34"/>
      <c r="B509" s="32"/>
      <c r="C509" s="123"/>
      <c r="D509" s="123"/>
      <c r="E509" s="123"/>
      <c r="F509" s="24"/>
      <c r="G509" s="24"/>
      <c r="K509" s="481"/>
      <c r="L509" s="481"/>
      <c r="M509" s="481"/>
      <c r="N509" s="481"/>
      <c r="O509" s="481"/>
    </row>
    <row r="510" spans="1:15" ht="12.75">
      <c r="A510" s="34"/>
      <c r="B510" s="32"/>
      <c r="C510" s="24"/>
      <c r="D510" s="123"/>
      <c r="E510" s="123"/>
      <c r="F510" s="170"/>
      <c r="G510" s="171"/>
      <c r="K510" s="293"/>
      <c r="L510" s="291"/>
      <c r="M510" s="286"/>
      <c r="N510" s="92"/>
      <c r="O510" s="292"/>
    </row>
    <row r="511" spans="1:15" ht="13.5">
      <c r="A511" s="34"/>
      <c r="B511" s="32"/>
      <c r="C511" s="124"/>
      <c r="D511" s="123"/>
      <c r="E511" s="123"/>
      <c r="F511" s="24"/>
      <c r="G511" s="24"/>
      <c r="K511" s="486" t="s">
        <v>124</v>
      </c>
      <c r="L511" s="481"/>
      <c r="M511" s="481"/>
      <c r="N511" s="481"/>
      <c r="O511" s="481"/>
    </row>
    <row r="512" spans="1:15" ht="12.75">
      <c r="A512" s="34"/>
      <c r="B512" s="32"/>
      <c r="C512" s="123"/>
      <c r="D512" s="123"/>
      <c r="E512" s="123"/>
      <c r="F512" s="24"/>
      <c r="G512" s="24"/>
      <c r="K512" s="481"/>
      <c r="L512" s="481"/>
      <c r="M512" s="481"/>
      <c r="N512" s="481"/>
      <c r="O512" s="481"/>
    </row>
    <row r="513" spans="1:15" ht="12.75">
      <c r="A513" s="34"/>
      <c r="B513" s="32"/>
      <c r="C513" s="123"/>
      <c r="D513" s="123"/>
      <c r="E513" s="123"/>
      <c r="F513" s="24"/>
      <c r="G513" s="24"/>
      <c r="K513" s="481"/>
      <c r="L513" s="481"/>
      <c r="M513" s="481"/>
      <c r="N513" s="481"/>
      <c r="O513" s="481"/>
    </row>
    <row r="514" spans="1:15" ht="12.75">
      <c r="A514" s="34"/>
      <c r="B514" s="32"/>
      <c r="C514" s="123"/>
      <c r="D514" s="123"/>
      <c r="E514" s="123"/>
      <c r="F514" s="24"/>
      <c r="G514" s="24"/>
      <c r="K514" s="481"/>
      <c r="L514" s="481"/>
      <c r="M514" s="481"/>
      <c r="N514" s="481"/>
      <c r="O514" s="481"/>
    </row>
    <row r="515" spans="1:15" ht="12.75">
      <c r="A515" s="34"/>
      <c r="B515" s="32"/>
      <c r="C515" s="123"/>
      <c r="D515" s="123"/>
      <c r="E515" s="123"/>
      <c r="F515" s="24"/>
      <c r="G515" s="24"/>
      <c r="K515" s="481"/>
      <c r="L515" s="481"/>
      <c r="M515" s="481"/>
      <c r="N515" s="481"/>
      <c r="O515" s="481"/>
    </row>
    <row r="516" spans="1:15" ht="12.75">
      <c r="A516" s="34"/>
      <c r="B516" s="32"/>
      <c r="C516" s="123"/>
      <c r="D516" s="123"/>
      <c r="E516" s="123"/>
      <c r="F516" s="24"/>
      <c r="G516" s="24"/>
      <c r="K516" s="481"/>
      <c r="L516" s="481"/>
      <c r="M516" s="481"/>
      <c r="N516" s="481"/>
      <c r="O516" s="481"/>
    </row>
    <row r="517" spans="1:15" ht="12.75">
      <c r="A517" s="34"/>
      <c r="B517" s="32"/>
      <c r="C517" s="32"/>
      <c r="D517" s="32"/>
      <c r="E517" s="32"/>
      <c r="F517" s="24"/>
      <c r="G517" s="24"/>
      <c r="K517" s="487"/>
      <c r="L517" s="487"/>
      <c r="M517" s="487"/>
      <c r="N517" s="487"/>
      <c r="O517" s="487"/>
    </row>
    <row r="518" spans="1:7" ht="12.75">
      <c r="A518" s="34"/>
      <c r="B518" s="32"/>
      <c r="C518" s="24"/>
      <c r="D518" s="24"/>
      <c r="E518" s="24"/>
      <c r="F518" s="170"/>
      <c r="G518" s="171"/>
    </row>
    <row r="519" spans="1:7" ht="12.75">
      <c r="A519" s="34"/>
      <c r="B519" s="32"/>
      <c r="C519" s="24"/>
      <c r="D519" s="24"/>
      <c r="E519" s="24"/>
      <c r="F519" s="170"/>
      <c r="G519" s="171"/>
    </row>
  </sheetData>
  <sheetProtection/>
  <mergeCells count="12">
    <mergeCell ref="K511:O517"/>
    <mergeCell ref="G2:G3"/>
    <mergeCell ref="H2:H3"/>
    <mergeCell ref="I2:L2"/>
    <mergeCell ref="M2:O2"/>
    <mergeCell ref="E2:E3"/>
    <mergeCell ref="F2:F3"/>
    <mergeCell ref="A1:O1"/>
    <mergeCell ref="K504:O509"/>
    <mergeCell ref="B2:B3"/>
    <mergeCell ref="C2:C3"/>
    <mergeCell ref="D2:D3"/>
  </mergeCells>
  <printOptions/>
  <pageMargins left="0.75" right="0.75" top="1" bottom="1" header="0.5" footer="0.5"/>
  <pageSetup orientation="portrait" paperSize="9"/>
  <ignoredErrors>
    <ignoredError sqref="Q10:Q23 Q24:Q34 K10:K23 L10:L125 M10:M18 O10:P128" formula="1"/>
    <ignoredError sqref="F24:J131 K126:K131" numberStoredAsText="1"/>
    <ignoredError sqref="K24:K125 M19:M125" numberStoredAsText="1" formula="1"/>
    <ignoredError sqref="M19:M125" formula="1" unlockedFormula="1"/>
    <ignoredError sqref="N19:N131 M126:M131" unlockedFormula="1"/>
  </ignoredErrors>
</worksheet>
</file>

<file path=xl/worksheets/sheet4.xml><?xml version="1.0" encoding="utf-8"?>
<worksheet xmlns="http://schemas.openxmlformats.org/spreadsheetml/2006/main" xmlns:r="http://schemas.openxmlformats.org/officeDocument/2006/relationships">
  <dimension ref="A1:S35"/>
  <sheetViews>
    <sheetView zoomScale="130" zoomScaleNormal="130" zoomScalePageLayoutView="0" workbookViewId="0" topLeftCell="A1">
      <selection activeCell="A29" sqref="A29:C29"/>
    </sheetView>
  </sheetViews>
  <sheetFormatPr defaultColWidth="9.140625" defaultRowHeight="12.75"/>
  <cols>
    <col min="1" max="1" width="3.421875" style="324" bestFit="1" customWidth="1"/>
    <col min="2" max="2" width="6.421875" style="325" bestFit="1" customWidth="1"/>
    <col min="3" max="3" width="9.7109375" style="326" bestFit="1" customWidth="1"/>
    <col min="4" max="4" width="6.421875" style="327" bestFit="1" customWidth="1"/>
    <col min="5" max="5" width="16.28125" style="328" bestFit="1" customWidth="1"/>
    <col min="6" max="6" width="12.00390625" style="327" bestFit="1" customWidth="1"/>
    <col min="7" max="7" width="2.421875" style="324" bestFit="1" customWidth="1"/>
    <col min="8" max="8" width="15.140625" style="329" customWidth="1"/>
    <col min="9" max="9" width="10.8515625" style="330" bestFit="1" customWidth="1"/>
    <col min="10" max="10" width="8.00390625" style="331" bestFit="1" customWidth="1"/>
    <col min="11" max="11" width="3.421875" style="332" bestFit="1" customWidth="1"/>
    <col min="12" max="12" width="15.140625" style="328" bestFit="1" customWidth="1"/>
    <col min="13" max="13" width="10.8515625" style="327" bestFit="1" customWidth="1"/>
    <col min="14" max="14" width="8.00390625" style="333" bestFit="1" customWidth="1"/>
    <col min="15" max="15" width="9.140625" style="313" customWidth="1"/>
    <col min="16" max="16" width="10.421875" style="313" bestFit="1" customWidth="1"/>
    <col min="17" max="16384" width="9.140625" style="313" customWidth="1"/>
  </cols>
  <sheetData>
    <row r="1" spans="1:14" ht="15.75" thickBot="1">
      <c r="A1" s="307">
        <v>1</v>
      </c>
      <c r="B1" s="308" t="s">
        <v>330</v>
      </c>
      <c r="C1" s="344" t="s">
        <v>206</v>
      </c>
      <c r="D1" s="343">
        <v>58</v>
      </c>
      <c r="E1" s="309">
        <v>5529440.2</v>
      </c>
      <c r="F1" s="346">
        <v>704032</v>
      </c>
      <c r="G1" s="342">
        <v>5</v>
      </c>
      <c r="H1" s="310">
        <v>1746028.5</v>
      </c>
      <c r="I1" s="311">
        <v>193534</v>
      </c>
      <c r="J1" s="348">
        <f aca="true" t="shared" si="0" ref="J1:J21">SUM(I1/F1)</f>
        <v>0.27489375482932593</v>
      </c>
      <c r="K1" s="343">
        <v>11</v>
      </c>
      <c r="L1" s="309">
        <v>2912032.2</v>
      </c>
      <c r="M1" s="312">
        <v>397934</v>
      </c>
      <c r="N1" s="350">
        <f aca="true" t="shared" si="1" ref="N1:N21">SUM(M1/F1)</f>
        <v>0.565221467206036</v>
      </c>
    </row>
    <row r="2" spans="1:14" ht="15.75" thickBot="1">
      <c r="A2" s="307">
        <v>2</v>
      </c>
      <c r="B2" s="308" t="s">
        <v>173</v>
      </c>
      <c r="C2" s="344" t="s">
        <v>206</v>
      </c>
      <c r="D2" s="312">
        <v>48</v>
      </c>
      <c r="E2" s="309">
        <v>7393668.19</v>
      </c>
      <c r="F2" s="346">
        <v>988537</v>
      </c>
      <c r="G2" s="342">
        <v>5</v>
      </c>
      <c r="H2" s="310">
        <v>4601743.5</v>
      </c>
      <c r="I2" s="311">
        <v>619525</v>
      </c>
      <c r="J2" s="348">
        <f t="shared" si="0"/>
        <v>0.6267089648642388</v>
      </c>
      <c r="K2" s="343">
        <v>11</v>
      </c>
      <c r="L2" s="309">
        <v>6046921.69</v>
      </c>
      <c r="M2" s="312">
        <v>829474</v>
      </c>
      <c r="N2" s="350">
        <f t="shared" si="1"/>
        <v>0.8390925175284284</v>
      </c>
    </row>
    <row r="3" spans="1:14" ht="15.75" thickBot="1">
      <c r="A3" s="307">
        <v>3</v>
      </c>
      <c r="B3" s="308" t="s">
        <v>150</v>
      </c>
      <c r="C3" s="344" t="s">
        <v>206</v>
      </c>
      <c r="D3" s="312">
        <v>57</v>
      </c>
      <c r="E3" s="309">
        <v>6770805.99</v>
      </c>
      <c r="F3" s="346">
        <v>912282</v>
      </c>
      <c r="G3" s="342">
        <v>6</v>
      </c>
      <c r="H3" s="310">
        <v>1362691</v>
      </c>
      <c r="I3" s="311">
        <v>150257</v>
      </c>
      <c r="J3" s="348">
        <f t="shared" si="0"/>
        <v>0.16470455407428844</v>
      </c>
      <c r="K3" s="343">
        <v>11</v>
      </c>
      <c r="L3" s="309">
        <v>4604346.99</v>
      </c>
      <c r="M3" s="312">
        <v>653796</v>
      </c>
      <c r="N3" s="350">
        <f t="shared" si="1"/>
        <v>0.7166599801377206</v>
      </c>
    </row>
    <row r="4" spans="1:14" ht="15.75" thickBot="1">
      <c r="A4" s="307">
        <v>4</v>
      </c>
      <c r="B4" s="308" t="s">
        <v>64</v>
      </c>
      <c r="C4" s="344" t="s">
        <v>206</v>
      </c>
      <c r="D4" s="312">
        <v>57</v>
      </c>
      <c r="E4" s="309">
        <v>7832354.38</v>
      </c>
      <c r="F4" s="346">
        <v>1009793</v>
      </c>
      <c r="G4" s="342">
        <v>5</v>
      </c>
      <c r="H4" s="310">
        <v>3882685</v>
      </c>
      <c r="I4" s="311">
        <v>469767</v>
      </c>
      <c r="J4" s="348">
        <f t="shared" si="0"/>
        <v>0.4652111868472053</v>
      </c>
      <c r="K4" s="343">
        <v>13</v>
      </c>
      <c r="L4" s="309">
        <v>4384975.89</v>
      </c>
      <c r="M4" s="312">
        <v>594193</v>
      </c>
      <c r="N4" s="350">
        <f t="shared" si="1"/>
        <v>0.5884305001123993</v>
      </c>
    </row>
    <row r="5" spans="1:14" ht="15.75" thickBot="1">
      <c r="A5" s="307">
        <v>5</v>
      </c>
      <c r="B5" s="308" t="s">
        <v>297</v>
      </c>
      <c r="C5" s="344" t="s">
        <v>298</v>
      </c>
      <c r="D5" s="312">
        <v>65</v>
      </c>
      <c r="E5" s="309">
        <v>7417932.18</v>
      </c>
      <c r="F5" s="346">
        <v>953505</v>
      </c>
      <c r="G5" s="342">
        <v>6</v>
      </c>
      <c r="H5" s="310">
        <v>2267238</v>
      </c>
      <c r="I5" s="311">
        <v>255970</v>
      </c>
      <c r="J5" s="348">
        <f t="shared" si="0"/>
        <v>0.26845165992836956</v>
      </c>
      <c r="K5" s="343">
        <v>15</v>
      </c>
      <c r="L5" s="309">
        <v>3220337.48</v>
      </c>
      <c r="M5" s="312">
        <v>450645</v>
      </c>
      <c r="N5" s="350">
        <f t="shared" si="1"/>
        <v>0.472619440904872</v>
      </c>
    </row>
    <row r="6" spans="1:14" ht="15.75" thickBot="1">
      <c r="A6" s="307">
        <v>6</v>
      </c>
      <c r="B6" s="308" t="s">
        <v>108</v>
      </c>
      <c r="C6" s="344" t="s">
        <v>298</v>
      </c>
      <c r="D6" s="312">
        <v>59</v>
      </c>
      <c r="E6" s="309">
        <v>5973210.4</v>
      </c>
      <c r="F6" s="346">
        <v>762952</v>
      </c>
      <c r="G6" s="342">
        <v>4</v>
      </c>
      <c r="H6" s="310">
        <v>1923349.5</v>
      </c>
      <c r="I6" s="311">
        <v>248258</v>
      </c>
      <c r="J6" s="348">
        <f t="shared" si="0"/>
        <v>0.32539137455567324</v>
      </c>
      <c r="K6" s="343">
        <v>12</v>
      </c>
      <c r="L6" s="309">
        <v>3023745.9</v>
      </c>
      <c r="M6" s="312">
        <v>423130</v>
      </c>
      <c r="N6" s="350">
        <f t="shared" si="1"/>
        <v>0.5545958330275037</v>
      </c>
    </row>
    <row r="7" spans="1:14" ht="15.75" thickBot="1">
      <c r="A7" s="307">
        <v>7</v>
      </c>
      <c r="B7" s="308" t="s">
        <v>52</v>
      </c>
      <c r="C7" s="344" t="s">
        <v>298</v>
      </c>
      <c r="D7" s="312">
        <v>63</v>
      </c>
      <c r="E7" s="309">
        <v>5101620.01</v>
      </c>
      <c r="F7" s="346">
        <v>663567</v>
      </c>
      <c r="G7" s="342">
        <v>8</v>
      </c>
      <c r="H7" s="310">
        <v>2638950</v>
      </c>
      <c r="I7" s="311">
        <v>320159</v>
      </c>
      <c r="J7" s="348">
        <f t="shared" si="0"/>
        <v>0.48248179912503186</v>
      </c>
      <c r="K7" s="343">
        <v>14</v>
      </c>
      <c r="L7" s="309">
        <v>2361343.51</v>
      </c>
      <c r="M7" s="312">
        <v>345515</v>
      </c>
      <c r="N7" s="350">
        <f t="shared" si="1"/>
        <v>0.5206934642620866</v>
      </c>
    </row>
    <row r="8" spans="1:14" ht="15.75" thickBot="1">
      <c r="A8" s="307">
        <v>8</v>
      </c>
      <c r="B8" s="308" t="s">
        <v>289</v>
      </c>
      <c r="C8" s="344" t="s">
        <v>298</v>
      </c>
      <c r="D8" s="312">
        <v>55</v>
      </c>
      <c r="E8" s="309">
        <v>14830113.61</v>
      </c>
      <c r="F8" s="346">
        <v>2015951</v>
      </c>
      <c r="G8" s="342">
        <v>5</v>
      </c>
      <c r="H8" s="310">
        <v>12271233.5</v>
      </c>
      <c r="I8" s="311">
        <v>1664501</v>
      </c>
      <c r="J8" s="348">
        <f t="shared" si="0"/>
        <v>0.8256654055579724</v>
      </c>
      <c r="K8" s="343">
        <v>14</v>
      </c>
      <c r="L8" s="309">
        <v>12916630.5</v>
      </c>
      <c r="M8" s="312">
        <v>1790601</v>
      </c>
      <c r="N8" s="350">
        <f t="shared" si="1"/>
        <v>0.8882165290723832</v>
      </c>
    </row>
    <row r="9" spans="1:14" ht="15.75" thickBot="1">
      <c r="A9" s="307">
        <v>9</v>
      </c>
      <c r="B9" s="308" t="s">
        <v>355</v>
      </c>
      <c r="C9" s="344" t="s">
        <v>356</v>
      </c>
      <c r="D9" s="312">
        <v>65</v>
      </c>
      <c r="E9" s="309">
        <v>12198717.51</v>
      </c>
      <c r="F9" s="346">
        <v>1654297</v>
      </c>
      <c r="G9" s="342">
        <v>8</v>
      </c>
      <c r="H9" s="310">
        <v>1829414.5</v>
      </c>
      <c r="I9" s="311">
        <v>224586</v>
      </c>
      <c r="J9" s="348">
        <f t="shared" si="0"/>
        <v>0.1357591774632971</v>
      </c>
      <c r="K9" s="343">
        <v>14</v>
      </c>
      <c r="L9" s="309">
        <v>10280301.99</v>
      </c>
      <c r="M9" s="312">
        <v>1423575</v>
      </c>
      <c r="N9" s="350">
        <f t="shared" si="1"/>
        <v>0.8605316941274753</v>
      </c>
    </row>
    <row r="10" spans="1:14" ht="15.75" thickBot="1">
      <c r="A10" s="307">
        <v>10</v>
      </c>
      <c r="B10" s="308" t="s">
        <v>374</v>
      </c>
      <c r="C10" s="344" t="s">
        <v>356</v>
      </c>
      <c r="D10" s="312">
        <v>82</v>
      </c>
      <c r="E10" s="309">
        <v>9179565.21</v>
      </c>
      <c r="F10" s="346">
        <v>1247776</v>
      </c>
      <c r="G10" s="342">
        <v>7</v>
      </c>
      <c r="H10" s="310">
        <v>2278725</v>
      </c>
      <c r="I10" s="311">
        <v>274038</v>
      </c>
      <c r="J10" s="348">
        <f t="shared" si="0"/>
        <v>0.21962114994999102</v>
      </c>
      <c r="K10" s="343">
        <v>22</v>
      </c>
      <c r="L10" s="309">
        <v>6019969.2</v>
      </c>
      <c r="M10" s="312">
        <v>856751</v>
      </c>
      <c r="N10" s="350">
        <f t="shared" si="1"/>
        <v>0.6866224386428333</v>
      </c>
    </row>
    <row r="11" spans="1:14" ht="15.75" thickBot="1">
      <c r="A11" s="307">
        <v>11</v>
      </c>
      <c r="B11" s="308" t="s">
        <v>202</v>
      </c>
      <c r="C11" s="344" t="s">
        <v>356</v>
      </c>
      <c r="D11" s="312">
        <v>67</v>
      </c>
      <c r="E11" s="309">
        <v>6027035.01</v>
      </c>
      <c r="F11" s="346">
        <v>839105</v>
      </c>
      <c r="G11" s="342">
        <v>5</v>
      </c>
      <c r="H11" s="310">
        <v>1277866.5</v>
      </c>
      <c r="I11" s="311">
        <v>142984</v>
      </c>
      <c r="J11" s="348">
        <f t="shared" si="0"/>
        <v>0.17040060540695146</v>
      </c>
      <c r="K11" s="343">
        <v>16</v>
      </c>
      <c r="L11" s="309">
        <v>3247124.01</v>
      </c>
      <c r="M11" s="312">
        <v>498014</v>
      </c>
      <c r="N11" s="350">
        <f t="shared" si="1"/>
        <v>0.5935061762234762</v>
      </c>
    </row>
    <row r="12" spans="1:14" ht="15.75" thickBot="1">
      <c r="A12" s="307">
        <v>12</v>
      </c>
      <c r="B12" s="308" t="s">
        <v>299</v>
      </c>
      <c r="C12" s="344" t="s">
        <v>356</v>
      </c>
      <c r="D12" s="312">
        <v>90</v>
      </c>
      <c r="E12" s="309">
        <v>4748145.86</v>
      </c>
      <c r="F12" s="346">
        <v>672357</v>
      </c>
      <c r="G12" s="342">
        <v>7</v>
      </c>
      <c r="H12" s="310">
        <v>1159903.5</v>
      </c>
      <c r="I12" s="311">
        <v>130378</v>
      </c>
      <c r="J12" s="348">
        <f t="shared" si="0"/>
        <v>0.19391186527395415</v>
      </c>
      <c r="K12" s="343">
        <v>24</v>
      </c>
      <c r="L12" s="309">
        <v>2100382.36</v>
      </c>
      <c r="M12" s="312">
        <v>351476</v>
      </c>
      <c r="N12" s="350">
        <f t="shared" si="1"/>
        <v>0.5227520498782641</v>
      </c>
    </row>
    <row r="13" spans="1:14" ht="15.75" thickBot="1">
      <c r="A13" s="307">
        <v>13</v>
      </c>
      <c r="B13" s="308" t="s">
        <v>242</v>
      </c>
      <c r="C13" s="344" t="s">
        <v>243</v>
      </c>
      <c r="D13" s="312">
        <v>77</v>
      </c>
      <c r="E13" s="309">
        <v>3739038.17</v>
      </c>
      <c r="F13" s="346">
        <v>538850</v>
      </c>
      <c r="G13" s="342">
        <v>6</v>
      </c>
      <c r="H13" s="310">
        <v>886164</v>
      </c>
      <c r="I13" s="311">
        <v>98315</v>
      </c>
      <c r="J13" s="348">
        <f t="shared" si="0"/>
        <v>0.18245337292381925</v>
      </c>
      <c r="K13" s="343">
        <v>14</v>
      </c>
      <c r="L13" s="309">
        <v>1207101.17</v>
      </c>
      <c r="M13" s="312">
        <v>229801</v>
      </c>
      <c r="N13" s="350">
        <f t="shared" si="1"/>
        <v>0.42646562123039805</v>
      </c>
    </row>
    <row r="14" spans="1:14" ht="15.75" thickBot="1">
      <c r="A14" s="307">
        <v>14</v>
      </c>
      <c r="B14" s="308" t="s">
        <v>330</v>
      </c>
      <c r="C14" s="344" t="s">
        <v>243</v>
      </c>
      <c r="D14" s="312">
        <v>88</v>
      </c>
      <c r="E14" s="309">
        <v>3639650</v>
      </c>
      <c r="F14" s="346">
        <v>520652</v>
      </c>
      <c r="G14" s="342">
        <v>6</v>
      </c>
      <c r="H14" s="310">
        <v>1201410.5</v>
      </c>
      <c r="I14" s="311">
        <v>129258</v>
      </c>
      <c r="J14" s="348">
        <f t="shared" si="0"/>
        <v>0.2482617948264868</v>
      </c>
      <c r="K14" s="343">
        <v>22</v>
      </c>
      <c r="L14" s="309">
        <v>1008844.78</v>
      </c>
      <c r="M14" s="312">
        <v>194100</v>
      </c>
      <c r="N14" s="350">
        <f t="shared" si="1"/>
        <v>0.3728017946728333</v>
      </c>
    </row>
    <row r="15" spans="1:14" ht="15.75" thickBot="1">
      <c r="A15" s="342">
        <v>15</v>
      </c>
      <c r="B15" s="308" t="s">
        <v>173</v>
      </c>
      <c r="C15" s="344" t="s">
        <v>243</v>
      </c>
      <c r="D15" s="312">
        <v>98</v>
      </c>
      <c r="E15" s="309">
        <v>2509757.36</v>
      </c>
      <c r="F15" s="346">
        <v>378354</v>
      </c>
      <c r="G15" s="342">
        <v>7</v>
      </c>
      <c r="H15" s="310">
        <v>809443</v>
      </c>
      <c r="I15" s="311">
        <v>84981</v>
      </c>
      <c r="J15" s="348">
        <f t="shared" si="0"/>
        <v>0.2246071139726288</v>
      </c>
      <c r="K15" s="343">
        <v>23</v>
      </c>
      <c r="L15" s="309">
        <v>705654.97</v>
      </c>
      <c r="M15" s="312">
        <v>142433</v>
      </c>
      <c r="N15" s="350">
        <f t="shared" si="1"/>
        <v>0.3764543258429936</v>
      </c>
    </row>
    <row r="16" spans="1:14" ht="15.75" thickBot="1">
      <c r="A16" s="342">
        <v>16</v>
      </c>
      <c r="B16" s="308" t="s">
        <v>150</v>
      </c>
      <c r="C16" s="344" t="s">
        <v>243</v>
      </c>
      <c r="D16" s="312">
        <v>98</v>
      </c>
      <c r="E16" s="309">
        <v>3758510.6</v>
      </c>
      <c r="F16" s="346">
        <v>510496</v>
      </c>
      <c r="G16" s="342">
        <v>6</v>
      </c>
      <c r="H16" s="310">
        <v>1896403</v>
      </c>
      <c r="I16" s="311">
        <v>223945</v>
      </c>
      <c r="J16" s="348">
        <f t="shared" si="0"/>
        <v>0.43868120416222656</v>
      </c>
      <c r="K16" s="343">
        <v>22</v>
      </c>
      <c r="L16" s="309">
        <v>416493.1</v>
      </c>
      <c r="M16" s="312">
        <v>83980</v>
      </c>
      <c r="N16" s="350">
        <f t="shared" si="1"/>
        <v>0.16450667586033973</v>
      </c>
    </row>
    <row r="17" spans="1:14" ht="15.75" thickBot="1">
      <c r="A17" s="342">
        <v>17</v>
      </c>
      <c r="B17" s="308" t="s">
        <v>414</v>
      </c>
      <c r="C17" s="344" t="s">
        <v>415</v>
      </c>
      <c r="D17" s="312">
        <v>106</v>
      </c>
      <c r="E17" s="309">
        <v>2583957.72</v>
      </c>
      <c r="F17" s="346">
        <v>357393</v>
      </c>
      <c r="G17" s="342">
        <v>8</v>
      </c>
      <c r="H17" s="310">
        <v>951471</v>
      </c>
      <c r="I17" s="311">
        <v>113969</v>
      </c>
      <c r="J17" s="348">
        <f t="shared" si="0"/>
        <v>0.3188898495493756</v>
      </c>
      <c r="K17" s="343">
        <v>19</v>
      </c>
      <c r="L17" s="309">
        <v>449440.72</v>
      </c>
      <c r="M17" s="312">
        <v>89651</v>
      </c>
      <c r="N17" s="350">
        <f t="shared" si="1"/>
        <v>0.2508471066864768</v>
      </c>
    </row>
    <row r="18" spans="1:14" ht="15.75" thickBot="1">
      <c r="A18" s="342">
        <v>18</v>
      </c>
      <c r="B18" s="308" t="s">
        <v>78</v>
      </c>
      <c r="C18" s="344" t="s">
        <v>415</v>
      </c>
      <c r="D18" s="312">
        <v>110</v>
      </c>
      <c r="E18" s="309">
        <v>3239539.17</v>
      </c>
      <c r="F18" s="346">
        <v>475765</v>
      </c>
      <c r="G18" s="342">
        <v>7</v>
      </c>
      <c r="H18" s="310">
        <v>1643808</v>
      </c>
      <c r="I18" s="311">
        <v>187846</v>
      </c>
      <c r="J18" s="348">
        <f t="shared" si="0"/>
        <v>0.39482938005107565</v>
      </c>
      <c r="K18" s="343">
        <v>21</v>
      </c>
      <c r="L18" s="309">
        <v>425300.67</v>
      </c>
      <c r="M18" s="312">
        <v>120633</v>
      </c>
      <c r="N18" s="350">
        <f t="shared" si="1"/>
        <v>0.25355585215389953</v>
      </c>
    </row>
    <row r="19" spans="1:19" ht="15.75" thickBot="1">
      <c r="A19" s="342">
        <v>19</v>
      </c>
      <c r="B19" s="308" t="s">
        <v>89</v>
      </c>
      <c r="C19" s="344" t="s">
        <v>415</v>
      </c>
      <c r="D19" s="312">
        <v>98</v>
      </c>
      <c r="E19" s="309">
        <v>2823197.84</v>
      </c>
      <c r="F19" s="346">
        <v>397095</v>
      </c>
      <c r="G19" s="342">
        <v>9</v>
      </c>
      <c r="H19" s="310">
        <v>1392214.92</v>
      </c>
      <c r="I19" s="311">
        <v>160722</v>
      </c>
      <c r="J19" s="348">
        <f t="shared" si="0"/>
        <v>0.404744456616175</v>
      </c>
      <c r="K19" s="343">
        <v>15</v>
      </c>
      <c r="L19" s="309">
        <v>242805.5</v>
      </c>
      <c r="M19" s="312">
        <v>69566</v>
      </c>
      <c r="N19" s="350">
        <f t="shared" si="1"/>
        <v>0.1751872977499087</v>
      </c>
      <c r="R19" s="364"/>
      <c r="S19" s="365"/>
    </row>
    <row r="20" spans="1:16" ht="15.75" thickBot="1">
      <c r="A20" s="342">
        <v>20</v>
      </c>
      <c r="B20" s="308" t="s">
        <v>279</v>
      </c>
      <c r="C20" s="344" t="s">
        <v>415</v>
      </c>
      <c r="D20" s="312">
        <v>97</v>
      </c>
      <c r="E20" s="309">
        <v>3795665.08</v>
      </c>
      <c r="F20" s="346">
        <v>477662</v>
      </c>
      <c r="G20" s="342">
        <v>5</v>
      </c>
      <c r="H20" s="310">
        <v>2150400.58</v>
      </c>
      <c r="I20" s="311">
        <v>257358</v>
      </c>
      <c r="J20" s="348">
        <f t="shared" si="0"/>
        <v>0.5387868409042377</v>
      </c>
      <c r="K20" s="343">
        <v>19</v>
      </c>
      <c r="L20" s="309">
        <v>1856634.08</v>
      </c>
      <c r="M20" s="312">
        <v>239788</v>
      </c>
      <c r="N20" s="350">
        <f t="shared" si="1"/>
        <v>0.5020035087572384</v>
      </c>
      <c r="P20" s="364"/>
    </row>
    <row r="21" spans="1:14" ht="15.75" thickBot="1">
      <c r="A21" s="342">
        <v>21</v>
      </c>
      <c r="B21" s="308" t="s">
        <v>90</v>
      </c>
      <c r="C21" s="344" t="s">
        <v>415</v>
      </c>
      <c r="D21" s="312">
        <v>86</v>
      </c>
      <c r="E21" s="309">
        <v>3598727.13</v>
      </c>
      <c r="F21" s="346">
        <v>455975</v>
      </c>
      <c r="G21" s="342">
        <v>2</v>
      </c>
      <c r="H21" s="310">
        <v>1479769.5</v>
      </c>
      <c r="I21" s="311">
        <v>164061</v>
      </c>
      <c r="J21" s="348">
        <f t="shared" si="0"/>
        <v>0.35980262075771696</v>
      </c>
      <c r="K21" s="343">
        <v>16</v>
      </c>
      <c r="L21" s="309">
        <v>1320780.3</v>
      </c>
      <c r="M21" s="312">
        <v>182297</v>
      </c>
      <c r="N21" s="350">
        <f t="shared" si="1"/>
        <v>0.39979604144964087</v>
      </c>
    </row>
    <row r="22" spans="1:14" ht="15">
      <c r="A22" s="314"/>
      <c r="B22" s="315"/>
      <c r="C22" s="345"/>
      <c r="D22" s="317"/>
      <c r="E22" s="318"/>
      <c r="F22" s="347"/>
      <c r="G22" s="314"/>
      <c r="H22" s="319"/>
      <c r="I22" s="320"/>
      <c r="J22" s="349"/>
      <c r="K22" s="322"/>
      <c r="L22" s="318"/>
      <c r="M22" s="317"/>
      <c r="N22" s="351"/>
    </row>
    <row r="23" spans="1:14" ht="15">
      <c r="A23" s="314"/>
      <c r="B23" s="315"/>
      <c r="C23" s="345"/>
      <c r="D23" s="317"/>
      <c r="E23" s="318"/>
      <c r="F23" s="347"/>
      <c r="G23" s="314"/>
      <c r="H23" s="319"/>
      <c r="I23" s="320"/>
      <c r="J23" s="349"/>
      <c r="K23" s="322"/>
      <c r="L23" s="318"/>
      <c r="M23" s="317"/>
      <c r="N23" s="351"/>
    </row>
    <row r="24" spans="1:14" ht="15">
      <c r="A24" s="314"/>
      <c r="B24" s="315"/>
      <c r="C24" s="345"/>
      <c r="D24" s="317"/>
      <c r="E24" s="318"/>
      <c r="F24" s="347"/>
      <c r="G24" s="314"/>
      <c r="H24" s="319"/>
      <c r="I24" s="320"/>
      <c r="J24" s="349"/>
      <c r="K24" s="322"/>
      <c r="L24" s="318"/>
      <c r="M24" s="317"/>
      <c r="N24" s="351"/>
    </row>
    <row r="25" spans="1:14" ht="15">
      <c r="A25" s="314"/>
      <c r="B25" s="315"/>
      <c r="C25" s="316"/>
      <c r="D25" s="317"/>
      <c r="E25" s="318"/>
      <c r="F25" s="347"/>
      <c r="G25" s="314"/>
      <c r="H25" s="319"/>
      <c r="I25" s="320"/>
      <c r="J25" s="321"/>
      <c r="K25" s="322"/>
      <c r="L25" s="318"/>
      <c r="M25" s="317"/>
      <c r="N25" s="323"/>
    </row>
    <row r="29" spans="1:14" ht="15">
      <c r="A29" s="493">
        <v>2008</v>
      </c>
      <c r="B29" s="494"/>
      <c r="C29" s="494"/>
      <c r="D29" s="317">
        <f>SUM(D1:D28)</f>
        <v>1624</v>
      </c>
      <c r="E29" s="318">
        <f>SUM(E1:E28)</f>
        <v>122690651.62</v>
      </c>
      <c r="F29" s="317">
        <f>SUM(F1:F28)</f>
        <v>16536396</v>
      </c>
      <c r="G29" s="314"/>
      <c r="H29" s="319">
        <f>SUM(H1:H28)</f>
        <v>49650913</v>
      </c>
      <c r="I29" s="320">
        <f>SUM(I1:I28)</f>
        <v>6114412</v>
      </c>
      <c r="J29" s="321"/>
      <c r="K29" s="322"/>
      <c r="L29" s="318">
        <f>SUM(L1:L28)</f>
        <v>68751167.01</v>
      </c>
      <c r="M29" s="317">
        <f>SUM(M1:M28)</f>
        <v>9967353</v>
      </c>
      <c r="N29" s="323">
        <f>SUM(M29/F29)</f>
        <v>0.6027524377137558</v>
      </c>
    </row>
    <row r="30" spans="1:14" s="334" customFormat="1" ht="15">
      <c r="A30" s="495"/>
      <c r="B30" s="496"/>
      <c r="C30" s="496"/>
      <c r="D30" s="322"/>
      <c r="E30" s="318"/>
      <c r="F30" s="317"/>
      <c r="G30" s="314"/>
      <c r="H30" s="319"/>
      <c r="I30" s="320"/>
      <c r="J30" s="321"/>
      <c r="K30" s="322"/>
      <c r="L30" s="318"/>
      <c r="M30" s="317"/>
      <c r="N30" s="323"/>
    </row>
    <row r="31" spans="1:14" ht="15">
      <c r="A31" s="314"/>
      <c r="B31" s="315"/>
      <c r="C31" s="316"/>
      <c r="D31" s="317"/>
      <c r="E31" s="318"/>
      <c r="F31" s="317"/>
      <c r="G31" s="335"/>
      <c r="H31" s="319"/>
      <c r="I31" s="320"/>
      <c r="J31" s="321"/>
      <c r="K31" s="322"/>
      <c r="L31" s="318"/>
      <c r="M31" s="317"/>
      <c r="N31" s="323"/>
    </row>
    <row r="32" spans="1:14" ht="15">
      <c r="A32" s="314"/>
      <c r="B32" s="315"/>
      <c r="C32" s="316"/>
      <c r="D32" s="317"/>
      <c r="E32" s="318"/>
      <c r="F32" s="317"/>
      <c r="G32" s="314"/>
      <c r="H32" s="319"/>
      <c r="I32" s="320"/>
      <c r="J32" s="321"/>
      <c r="K32" s="322"/>
      <c r="L32" s="318"/>
      <c r="M32" s="317"/>
      <c r="N32" s="323"/>
    </row>
    <row r="35" ht="15">
      <c r="L35" s="327"/>
    </row>
  </sheetData>
  <sheetProtection/>
  <mergeCells count="2">
    <mergeCell ref="A29:C29"/>
    <mergeCell ref="A30:C30"/>
  </mergeCells>
  <printOptions/>
  <pageMargins left="0.75" right="0.75" top="1" bottom="1" header="0.5" footer="0.5"/>
  <pageSetup orientation="portrait" paperSize="9"/>
  <ignoredErrors>
    <ignoredError sqref="D29:K29 L29:M29" emptyCellReference="1"/>
    <ignoredError sqref="B2 B6 B10 B15" twoDigitTextYear="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Antrakt Sinema Gazetesi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Weekly Box Office</dc:title>
  <dc:subject>Türkiye Seyirci Raporları</dc:subject>
  <dc:creator>Deniz Yavuz</dc:creator>
  <cp:keywords/>
  <dc:description/>
  <cp:lastModifiedBy>Sadi Çilingir</cp:lastModifiedBy>
  <cp:lastPrinted>2008-01-10T15:01:25Z</cp:lastPrinted>
  <dcterms:created xsi:type="dcterms:W3CDTF">2006-03-17T12:24:26Z</dcterms:created>
  <dcterms:modified xsi:type="dcterms:W3CDTF">2008-06-04T08:24:31Z</dcterms:modified>
  <cp:category/>
  <cp:version/>
  <cp:contentType/>
  <cp:contentStatus/>
</cp:coreProperties>
</file>