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 yWindow="65191" windowWidth="15480" windowHeight="11640" tabRatio="647" activeTab="0"/>
  </bookViews>
  <sheets>
    <sheet name="25-31 Jan' '08 (WK 04)" sheetId="1" r:id="rId1"/>
    <sheet name="04-31 Jan'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'04-31 Jan'' (Annual)'!$A$4:$J$25</definedName>
    <definedName name="_xlnm.Print_Area" localSheetId="0">'25-31 Jan' '08 (WK 04)'!$A$1:$O$82</definedName>
  </definedNames>
  <calcPr fullCalcOnLoad="1"/>
</workbook>
</file>

<file path=xl/sharedStrings.xml><?xml version="1.0" encoding="utf-8"?>
<sst xmlns="http://schemas.openxmlformats.org/spreadsheetml/2006/main" count="898" uniqueCount="210">
  <si>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</si>
  <si>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</si>
  <si>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</si>
  <si>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</si>
  <si>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</si>
  <si>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</si>
  <si>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</si>
  <si>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</si>
  <si>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</si>
  <si>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</si>
  <si>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</si>
  <si>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</si>
  <si>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</si>
  <si>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</si>
  <si>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</si>
  <si>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t>NATIONAL TREASURE: BOOK OF SECRET</t>
  </si>
  <si>
    <t>RENDITION</t>
  </si>
  <si>
    <t>DEATHS OF IAN STONE</t>
  </si>
  <si>
    <t>TWICE UPON A TIME</t>
  </si>
  <si>
    <t>NANNY DIARIES</t>
  </si>
  <si>
    <t>RIZA</t>
  </si>
  <si>
    <t>ZUZI FILM</t>
  </si>
  <si>
    <t>DEATH A FUNERAL</t>
  </si>
  <si>
    <t>KREK</t>
  </si>
  <si>
    <t>CHURCHIL; HOLLYWOOD YEARS, THE</t>
  </si>
  <si>
    <t>ZEYNEP'IN SEKIZ GUNU</t>
  </si>
  <si>
    <t>MARADONA THE HAND OF GOD</t>
  </si>
  <si>
    <t>BELGE</t>
  </si>
  <si>
    <t>58 FILMS SHOWN</t>
  </si>
  <si>
    <t>11-17</t>
  </si>
  <si>
    <t>ÇILGIN DERSANE KAMPTA</t>
  </si>
  <si>
    <t>AKSOY YAPIM</t>
  </si>
  <si>
    <t>MASKELI BEŞLER KIBRIS</t>
  </si>
  <si>
    <t>FIDA-ARZU</t>
  </si>
  <si>
    <t>FIDA-FILMACASS</t>
  </si>
  <si>
    <t>MY BLUEBERRY NIGHTS</t>
  </si>
  <si>
    <t>PROMISE ME THIS</t>
  </si>
  <si>
    <t>4 MONTHS, 3 WEEKS, 2 DAYS</t>
  </si>
  <si>
    <t>7</t>
  </si>
  <si>
    <t>SURF'S UP</t>
  </si>
  <si>
    <t>ZEYNEP'İN SEKİZ GÜNÜ</t>
  </si>
  <si>
    <t>NANNY DIARIES, THE</t>
  </si>
  <si>
    <t>FİKRET BEY</t>
  </si>
  <si>
    <t>OYUNCULAR</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</si>
  <si>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</si>
  <si>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</si>
  <si>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</si>
  <si>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</si>
  <si>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</si>
  <si>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</si>
  <si>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</si>
  <si>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</si>
  <si>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</si>
  <si>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</si>
  <si>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</si>
  <si>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</si>
  <si>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</si>
  <si>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CINECLICK</t>
  </si>
  <si>
    <t>NEW LINE</t>
  </si>
  <si>
    <t>MARSH, THE</t>
  </si>
  <si>
    <t>WELCOME BACK PINOCCHIO</t>
  </si>
  <si>
    <t>HORIZON</t>
  </si>
  <si>
    <t>*Sorted according to Week Total G.B.O. - Haftalık toplam hasılat sütununa göre sıralanmıştır.</t>
  </si>
  <si>
    <t>MEDYAVIZYON</t>
  </si>
  <si>
    <t>TOTAL</t>
  </si>
  <si>
    <t>Company</t>
  </si>
  <si>
    <t>Distributor</t>
  </si>
  <si>
    <t>WB</t>
  </si>
  <si>
    <t>UIP</t>
  </si>
  <si>
    <t>OZEN</t>
  </si>
  <si>
    <t>FOX</t>
  </si>
  <si>
    <t>BUENA VISTA</t>
  </si>
  <si>
    <t>COLUMBIA</t>
  </si>
  <si>
    <t>UNIVERSAL</t>
  </si>
  <si>
    <t>CHANTIER</t>
  </si>
  <si>
    <t>PARAMOUNT</t>
  </si>
  <si>
    <t>TIGLON</t>
  </si>
  <si>
    <t>WEINSTEIN CO.</t>
  </si>
  <si>
    <t>FIDA</t>
  </si>
  <si>
    <t>Weekly Movie Magazine Antrakt Presents - Haftalık Antrakt Sinema Gazetesi Sunar</t>
  </si>
  <si>
    <t>35 MILIM</t>
  </si>
  <si>
    <t>AVSAR FILM</t>
  </si>
  <si>
    <t>IMPY'S ISLAND</t>
  </si>
  <si>
    <t>BESTLINE</t>
  </si>
  <si>
    <t>HARRY POTTER AND THE ORDER OF THE PHOENIX</t>
  </si>
  <si>
    <t>OZEN-UMUT</t>
  </si>
  <si>
    <t>4: RISE OF THE SILVER SURFER</t>
  </si>
  <si>
    <t>OUTLAW</t>
  </si>
  <si>
    <t>RATATOUILLE</t>
  </si>
  <si>
    <t xml:space="preserve">ELIZABETH: GOLDEN AGE                    </t>
  </si>
  <si>
    <t>EASTERN PROMISES</t>
  </si>
  <si>
    <t>36</t>
  </si>
  <si>
    <t>ISLAND OF LOST SOULS</t>
  </si>
  <si>
    <t>MY BROTHER IS ONLY CHILD</t>
  </si>
  <si>
    <t>40</t>
  </si>
  <si>
    <t>UNE VIEILLE MAITRESSE</t>
  </si>
  <si>
    <t>BRAVE ONE</t>
  </si>
  <si>
    <t>MICHAEL CLAYTON</t>
  </si>
  <si>
    <t>BEOWULF</t>
  </si>
  <si>
    <t>SUNA</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</si>
  <si>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</si>
  <si>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</si>
  <si>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</si>
  <si>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</si>
  <si>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</si>
  <si>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</si>
  <si>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</si>
  <si>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</si>
  <si>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</si>
  <si>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</si>
  <si>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</si>
  <si>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</si>
  <si>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</si>
  <si>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</si>
  <si>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</si>
  <si>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</si>
  <si>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</si>
  <si>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</si>
  <si>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</si>
  <si>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</si>
  <si>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</si>
  <si>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</si>
  <si>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</si>
  <si>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</si>
  <si>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</si>
  <si>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</si>
  <si>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</si>
  <si>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</si>
  <si>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</si>
  <si>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</si>
  <si>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</si>
  <si>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</si>
  <si>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</si>
  <si>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</si>
  <si>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</si>
  <si>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</si>
  <si>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</si>
  <si>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</si>
  <si>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</si>
  <si>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</si>
  <si>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</si>
  <si>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</si>
  <si>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</si>
  <si>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</si>
  <si>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</si>
  <si>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</si>
  <si>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</si>
  <si>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</si>
  <si>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</si>
  <si>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</si>
  <si>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</si>
  <si>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</si>
  <si>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</si>
  <si>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</si>
  <si>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</si>
  <si>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</si>
  <si>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</si>
  <si>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</si>
  <si>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</si>
  <si>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</si>
  <si>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</si>
  <si>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</si>
  <si>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</si>
  <si>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</si>
  <si>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</si>
  <si>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</si>
  <si>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</si>
  <si>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HAIRSPRAY</t>
  </si>
  <si>
    <t>WE OWN THE NIGHT</t>
  </si>
  <si>
    <t>ÇOCUK</t>
  </si>
  <si>
    <t>63</t>
  </si>
  <si>
    <t>DIVING BELL AND THE BUTTERFLY, THE</t>
  </si>
  <si>
    <t>DAN IN REAL LIFE</t>
  </si>
  <si>
    <t xml:space="preserve">GOLDEN COMPASS, THE </t>
  </si>
  <si>
    <t>BİR İHTİMAL DAHA VAR</t>
  </si>
  <si>
    <t>CINEMEDYA - E.S.E.K.</t>
  </si>
  <si>
    <t>DIE HARD 4.0</t>
  </si>
  <si>
    <t>DEATH AT A FUNERAL</t>
  </si>
  <si>
    <t>SINEMAJANS</t>
  </si>
  <si>
    <t>11</t>
  </si>
  <si>
    <t>SOOM</t>
  </si>
  <si>
    <t>EL VIOLIN</t>
  </si>
  <si>
    <t>ASKD</t>
  </si>
  <si>
    <t>NO RESERVATION</t>
  </si>
  <si>
    <t>GARFIELD 2</t>
  </si>
  <si>
    <t xml:space="preserve">NATIVITY STORY, THE </t>
  </si>
  <si>
    <t>25-31</t>
  </si>
  <si>
    <t>I AM LEGEND</t>
  </si>
  <si>
    <t>ULAK</t>
  </si>
  <si>
    <t>RED KIT</t>
  </si>
  <si>
    <t>DONKEY XOTE</t>
  </si>
  <si>
    <t>INSIDE</t>
  </si>
  <si>
    <t>TMC-AVSAR FILM</t>
  </si>
  <si>
    <t>CALL ME ELISABETH</t>
  </si>
  <si>
    <t>PYRAMIDE</t>
  </si>
  <si>
    <t>HALLOWEEN</t>
  </si>
  <si>
    <t>YUMURTA</t>
  </si>
  <si>
    <t>KAPLAN</t>
  </si>
  <si>
    <t>20</t>
  </si>
  <si>
    <t>12</t>
  </si>
  <si>
    <t xml:space="preserve">AN OLD MISTRESS </t>
  </si>
  <si>
    <t>ZEYNEP'İN SEKIZ GUNU</t>
  </si>
  <si>
    <t>BUCKET LIST</t>
  </si>
  <si>
    <t>GARFIELD: A TAIL OF TWO KITTIES,</t>
  </si>
  <si>
    <t>KREK FILM</t>
  </si>
  <si>
    <t>ICE AGE 2;  MELTDOWN, THE</t>
  </si>
  <si>
    <t>NO RESERVATIONS</t>
  </si>
  <si>
    <r>
      <t>2008 Türkiye Ex Years Releases Annual Box Office Report</t>
    </r>
    <r>
      <rPr>
        <sz val="26"/>
        <color indexed="9"/>
        <rFont val="Impact"/>
        <family val="2"/>
      </rPr>
      <t xml:space="preserve">  </t>
    </r>
    <r>
      <rPr>
        <sz val="16"/>
        <color indexed="9"/>
        <rFont val="Impact"/>
        <family val="2"/>
      </rPr>
      <t>04 January 2008 - 31 January 2008</t>
    </r>
  </si>
  <si>
    <r>
      <t xml:space="preserve">2008 Türkiye Annual Box Office Report  </t>
    </r>
    <r>
      <rPr>
        <sz val="16"/>
        <color indexed="9"/>
        <rFont val="Impact"/>
        <family val="2"/>
      </rPr>
      <t>04 January 2008 - 31 January 2008</t>
    </r>
  </si>
  <si>
    <t>PLATO FILM</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</si>
</sst>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2"/>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b/>
      <sz val="9"/>
      <name val="Arial Narrow"/>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sz val="26"/>
      <name val="Arial"/>
      <family val="0"/>
    </font>
    <font>
      <b/>
      <sz val="9"/>
      <color indexed="10"/>
      <name val="Arial Narrow"/>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b/>
      <sz val="9"/>
      <color indexed="61"/>
      <name val="Arial Narrow"/>
      <family val="2"/>
    </font>
    <font>
      <sz val="10"/>
      <color indexed="61"/>
      <name val="Arial"/>
      <family val="0"/>
    </font>
    <font>
      <sz val="20"/>
      <color indexed="61"/>
      <name val="GoudyLight"/>
      <family val="0"/>
    </font>
    <font>
      <sz val="8"/>
      <color indexed="9"/>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hair"/>
      <top style="hair"/>
      <bottom style="medium"/>
    </border>
    <border>
      <left style="medium"/>
      <right style="hair"/>
      <top style="medium"/>
      <bottom style="hair"/>
    </border>
    <border>
      <left style="medium"/>
      <right style="hair"/>
      <top style="hair"/>
      <bottom style="medium"/>
    </border>
    <border>
      <left style="hair"/>
      <right style="medium"/>
      <top style="medium"/>
      <bottom style="hair"/>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hair"/>
      <right style="medium"/>
      <top style="hair"/>
      <bottom>
        <color indexed="63"/>
      </bottom>
    </border>
    <border>
      <left style="thin"/>
      <right style="thin"/>
      <top style="thin"/>
      <bottom style="medium"/>
    </border>
    <border>
      <left style="thin"/>
      <right style="medium"/>
      <top style="thin"/>
      <bottom style="medium"/>
    </border>
    <border>
      <left>
        <color indexed="63"/>
      </left>
      <right style="hair"/>
      <top style="hair"/>
      <bottom style="hair"/>
    </border>
    <border>
      <left style="medium"/>
      <right style="hair"/>
      <top style="hair"/>
      <bottom>
        <color indexed="63"/>
      </bottom>
    </border>
    <border>
      <left style="medium"/>
      <right>
        <color indexed="63"/>
      </right>
      <top style="hair"/>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hair"/>
      <top>
        <color indexed="63"/>
      </top>
      <bottom style="hair"/>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medium"/>
      <right style="thin"/>
      <top style="medium"/>
      <bottom style="thin"/>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22">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4" fillId="0" borderId="10" xfId="0" applyNumberFormat="1" applyFont="1" applyFill="1" applyBorder="1" applyAlignment="1" applyProtection="1">
      <alignment horizontal="center" vertical="center" wrapText="1"/>
      <protection/>
    </xf>
    <xf numFmtId="193" fontId="25" fillId="0" borderId="11"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2" fillId="0" borderId="0" xfId="0" applyFont="1" applyBorder="1" applyAlignment="1">
      <alignment horizontal="right" vertical="center"/>
    </xf>
    <xf numFmtId="0" fontId="22" fillId="0" borderId="10" xfId="0" applyFont="1" applyFill="1" applyBorder="1" applyAlignment="1">
      <alignment horizontal="center" vertical="center"/>
    </xf>
    <xf numFmtId="184" fontId="16" fillId="33" borderId="12" xfId="0" applyNumberFormat="1"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2" xfId="0" applyFont="1" applyFill="1" applyBorder="1" applyAlignment="1">
      <alignment vertical="center"/>
    </xf>
    <xf numFmtId="3" fontId="16" fillId="33" borderId="12" xfId="0" applyNumberFormat="1" applyFont="1" applyFill="1" applyBorder="1" applyAlignment="1">
      <alignment horizontal="center" vertical="center"/>
    </xf>
    <xf numFmtId="192" fontId="16" fillId="33" borderId="13" xfId="0" applyNumberFormat="1" applyFont="1" applyFill="1" applyBorder="1" applyAlignment="1">
      <alignment horizontal="right" vertical="center"/>
    </xf>
    <xf numFmtId="0" fontId="32" fillId="0" borderId="0" xfId="0" applyFont="1" applyFill="1" applyBorder="1" applyAlignment="1" applyProtection="1">
      <alignment vertical="center"/>
      <protection locked="0"/>
    </xf>
    <xf numFmtId="184" fontId="13" fillId="0" borderId="14" xfId="0" applyNumberFormat="1" applyFont="1" applyFill="1" applyBorder="1" applyAlignment="1" applyProtection="1">
      <alignment horizontal="center" vertical="center"/>
      <protection locked="0"/>
    </xf>
    <xf numFmtId="184" fontId="13" fillId="0" borderId="14"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pplyProtection="1">
      <alignment horizontal="left" vertical="center"/>
      <protection locked="0"/>
    </xf>
    <xf numFmtId="184"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lignment horizontal="left" vertical="center"/>
    </xf>
    <xf numFmtId="49"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xf>
    <xf numFmtId="0" fontId="31" fillId="0" borderId="0" xfId="0" applyFont="1" applyFill="1" applyBorder="1" applyAlignment="1">
      <alignment horizontal="center" vertical="center"/>
    </xf>
    <xf numFmtId="184" fontId="0" fillId="0" borderId="0" xfId="0" applyNumberFormat="1" applyAlignment="1">
      <alignment horizontal="center" vertical="center"/>
    </xf>
    <xf numFmtId="184" fontId="13" fillId="0" borderId="15" xfId="0" applyNumberFormat="1" applyFont="1" applyFill="1" applyBorder="1" applyAlignment="1">
      <alignment horizontal="center" vertical="center"/>
    </xf>
    <xf numFmtId="0" fontId="23" fillId="0" borderId="16" xfId="0"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0" fontId="34" fillId="0" borderId="0" xfId="0" applyFont="1" applyFill="1" applyBorder="1" applyAlignment="1" applyProtection="1">
      <alignment vertical="center"/>
      <protection locked="0"/>
    </xf>
    <xf numFmtId="0" fontId="13" fillId="0" borderId="17" xfId="0" applyFont="1" applyFill="1" applyBorder="1" applyAlignment="1" applyProtection="1">
      <alignment horizontal="left" vertical="center"/>
      <protection locked="0"/>
    </xf>
    <xf numFmtId="0" fontId="13" fillId="0" borderId="17" xfId="0" applyFont="1" applyFill="1" applyBorder="1" applyAlignment="1">
      <alignment horizontal="left" vertical="center"/>
    </xf>
    <xf numFmtId="49" fontId="13" fillId="0" borderId="17" xfId="0" applyNumberFormat="1" applyFont="1" applyFill="1" applyBorder="1" applyAlignment="1" applyProtection="1">
      <alignment horizontal="left" vertical="center"/>
      <protection locked="0"/>
    </xf>
    <xf numFmtId="0" fontId="13" fillId="0" borderId="14" xfId="0" applyNumberFormat="1" applyFont="1" applyFill="1" applyBorder="1" applyAlignment="1" applyProtection="1">
      <alignment horizontal="center" vertical="center"/>
      <protection locked="0"/>
    </xf>
    <xf numFmtId="192" fontId="25" fillId="0" borderId="11" xfId="0" applyNumberFormat="1" applyFont="1" applyFill="1" applyBorder="1" applyAlignment="1" applyProtection="1">
      <alignment horizontal="center" wrapText="1"/>
      <protection/>
    </xf>
    <xf numFmtId="192" fontId="25" fillId="0" borderId="18" xfId="0" applyNumberFormat="1" applyFont="1" applyFill="1" applyBorder="1" applyAlignment="1" applyProtection="1">
      <alignment horizontal="center" wrapText="1"/>
      <protection/>
    </xf>
    <xf numFmtId="184" fontId="13" fillId="0" borderId="14" xfId="57"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protection locked="0"/>
    </xf>
    <xf numFmtId="3" fontId="25"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6" fillId="33" borderId="12" xfId="0" applyNumberFormat="1" applyFont="1" applyFill="1" applyBorder="1" applyAlignment="1">
      <alignment horizontal="right" vertical="center"/>
    </xf>
    <xf numFmtId="0" fontId="13" fillId="0" borderId="14" xfId="0" applyFont="1" applyFill="1" applyBorder="1" applyAlignment="1" applyProtection="1">
      <alignment horizontal="center" vertical="center"/>
      <protection/>
    </xf>
    <xf numFmtId="0" fontId="13" fillId="0" borderId="17" xfId="57" applyFont="1" applyFill="1" applyBorder="1" applyAlignment="1" applyProtection="1">
      <alignment horizontal="left" vertical="center"/>
      <protection/>
    </xf>
    <xf numFmtId="3" fontId="25" fillId="0" borderId="11" xfId="0" applyNumberFormat="1" applyFont="1" applyFill="1" applyBorder="1" applyAlignment="1" applyProtection="1">
      <alignment horizontal="center" wrapText="1"/>
      <protection/>
    </xf>
    <xf numFmtId="3" fontId="3" fillId="0" borderId="0" xfId="0" applyNumberFormat="1" applyFont="1" applyFill="1" applyBorder="1" applyAlignment="1" applyProtection="1">
      <alignment horizontal="right" vertical="center"/>
      <protection/>
    </xf>
    <xf numFmtId="3" fontId="16" fillId="33" borderId="12"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0" fillId="0" borderId="0" xfId="0" applyNumberFormat="1" applyAlignment="1">
      <alignment horizontal="right" vertical="center"/>
    </xf>
    <xf numFmtId="3" fontId="6" fillId="0" borderId="0" xfId="0" applyNumberFormat="1" applyFont="1" applyFill="1" applyBorder="1" applyAlignment="1" applyProtection="1">
      <alignment horizontal="right" vertical="center"/>
      <protection locked="0"/>
    </xf>
    <xf numFmtId="0" fontId="13" fillId="0" borderId="14" xfId="57" applyNumberFormat="1" applyFont="1" applyFill="1" applyBorder="1" applyAlignment="1" applyProtection="1">
      <alignment horizontal="center" vertical="center"/>
      <protection/>
    </xf>
    <xf numFmtId="0" fontId="13" fillId="0" borderId="14" xfId="57" applyFont="1" applyFill="1" applyBorder="1" applyAlignment="1" applyProtection="1">
      <alignment horizontal="center" vertical="center"/>
      <protection/>
    </xf>
    <xf numFmtId="0" fontId="13" fillId="0" borderId="14" xfId="57" applyFont="1" applyFill="1" applyBorder="1" applyAlignment="1" applyProtection="1">
      <alignment horizontal="left" vertical="center"/>
      <protection/>
    </xf>
    <xf numFmtId="192" fontId="13" fillId="0" borderId="19" xfId="42" applyNumberFormat="1" applyFont="1" applyFill="1" applyBorder="1" applyAlignment="1" applyProtection="1">
      <alignment horizontal="right" vertical="center"/>
      <protection/>
    </xf>
    <xf numFmtId="0" fontId="0" fillId="0" borderId="0" xfId="0" applyAlignment="1">
      <alignment horizontal="center"/>
    </xf>
    <xf numFmtId="0" fontId="33" fillId="0" borderId="20" xfId="0" applyFont="1" applyBorder="1" applyAlignment="1" applyProtection="1">
      <alignment vertical="center"/>
      <protection locked="0"/>
    </xf>
    <xf numFmtId="0" fontId="33" fillId="0" borderId="21" xfId="0" applyFont="1" applyBorder="1" applyAlignment="1" applyProtection="1">
      <alignment vertical="center"/>
      <protection locked="0"/>
    </xf>
    <xf numFmtId="200" fontId="33" fillId="0" borderId="14" xfId="42" applyNumberFormat="1" applyFont="1" applyFill="1" applyBorder="1" applyAlignment="1" applyProtection="1">
      <alignment horizontal="right" vertical="center"/>
      <protection locked="0"/>
    </xf>
    <xf numFmtId="200" fontId="33" fillId="0" borderId="14" xfId="0" applyNumberFormat="1" applyFont="1" applyFill="1" applyBorder="1" applyAlignment="1">
      <alignment horizontal="right" vertical="center"/>
    </xf>
    <xf numFmtId="14" fontId="13" fillId="0" borderId="14" xfId="0" applyNumberFormat="1" applyFont="1" applyFill="1" applyBorder="1" applyAlignment="1">
      <alignment horizontal="left" vertical="center"/>
    </xf>
    <xf numFmtId="1" fontId="13" fillId="0" borderId="14" xfId="0" applyNumberFormat="1" applyFont="1" applyFill="1" applyBorder="1" applyAlignment="1" applyProtection="1">
      <alignment horizontal="center" vertical="center"/>
      <protection locked="0"/>
    </xf>
    <xf numFmtId="1" fontId="13" fillId="0" borderId="14" xfId="0" applyNumberFormat="1" applyFont="1" applyFill="1" applyBorder="1" applyAlignment="1">
      <alignment horizontal="center" vertical="center"/>
    </xf>
    <xf numFmtId="200" fontId="25" fillId="0" borderId="11" xfId="0" applyNumberFormat="1" applyFont="1" applyFill="1" applyBorder="1" applyAlignment="1" applyProtection="1">
      <alignment horizontal="center" vertical="center" wrapText="1"/>
      <protection/>
    </xf>
    <xf numFmtId="0" fontId="22" fillId="0" borderId="22" xfId="0" applyFont="1" applyFill="1" applyBorder="1" applyAlignment="1" applyProtection="1">
      <alignment horizontal="right" vertical="center"/>
      <protection/>
    </xf>
    <xf numFmtId="0" fontId="0" fillId="0" borderId="0" xfId="0" applyBorder="1" applyAlignment="1">
      <alignment horizontal="right" vertical="center" wrapText="1"/>
    </xf>
    <xf numFmtId="0" fontId="0" fillId="0" borderId="0" xfId="0" applyBorder="1" applyAlignment="1">
      <alignment horizontal="center" vertical="center" wrapText="1"/>
    </xf>
    <xf numFmtId="0" fontId="29" fillId="0" borderId="0" xfId="0" applyFont="1" applyFill="1" applyAlignment="1">
      <alignment/>
    </xf>
    <xf numFmtId="0" fontId="36" fillId="0" borderId="0" xfId="0" applyFont="1" applyFill="1" applyAlignment="1">
      <alignment/>
    </xf>
    <xf numFmtId="193" fontId="11" fillId="0" borderId="0" xfId="0" applyNumberFormat="1" applyFont="1" applyBorder="1" applyAlignment="1">
      <alignment horizontal="right" vertical="center" wrapText="1"/>
    </xf>
    <xf numFmtId="193" fontId="33" fillId="0" borderId="14" xfId="42" applyNumberFormat="1" applyFont="1" applyFill="1" applyBorder="1" applyAlignment="1" applyProtection="1">
      <alignment horizontal="right" vertical="center"/>
      <protection locked="0"/>
    </xf>
    <xf numFmtId="200" fontId="33" fillId="0" borderId="14" xfId="42" applyNumberFormat="1" applyFont="1" applyFill="1" applyBorder="1" applyAlignment="1" applyProtection="1">
      <alignment horizontal="right" vertical="center"/>
      <protection/>
    </xf>
    <xf numFmtId="193" fontId="33" fillId="0" borderId="14" xfId="0" applyNumberFormat="1" applyFont="1" applyFill="1" applyBorder="1" applyAlignment="1">
      <alignment horizontal="right" vertical="center"/>
    </xf>
    <xf numFmtId="200" fontId="33" fillId="0" borderId="14" xfId="0" applyNumberFormat="1" applyFont="1" applyFill="1" applyBorder="1" applyAlignment="1" applyProtection="1">
      <alignment horizontal="right" vertical="center"/>
      <protection/>
    </xf>
    <xf numFmtId="184" fontId="13" fillId="0" borderId="23" xfId="0" applyNumberFormat="1" applyFont="1" applyFill="1" applyBorder="1" applyAlignment="1">
      <alignment horizontal="center" vertical="center"/>
    </xf>
    <xf numFmtId="193" fontId="33" fillId="0" borderId="14" xfId="0" applyNumberFormat="1" applyFont="1" applyFill="1" applyBorder="1" applyAlignment="1" applyProtection="1">
      <alignment horizontal="right" vertical="center"/>
      <protection/>
    </xf>
    <xf numFmtId="200" fontId="19" fillId="0" borderId="0" xfId="0" applyNumberFormat="1" applyFont="1" applyFill="1" applyBorder="1" applyAlignment="1" applyProtection="1">
      <alignment horizontal="right" vertical="center"/>
      <protection/>
    </xf>
    <xf numFmtId="200" fontId="25" fillId="0" borderId="11" xfId="0" applyNumberFormat="1" applyFont="1" applyFill="1" applyBorder="1" applyAlignment="1" applyProtection="1">
      <alignment horizontal="center" wrapText="1"/>
      <protection/>
    </xf>
    <xf numFmtId="200" fontId="15" fillId="33" borderId="12"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21" fillId="0" borderId="0" xfId="0" applyNumberFormat="1" applyFont="1" applyFill="1" applyBorder="1" applyAlignment="1" applyProtection="1">
      <alignment horizontal="right" vertical="center"/>
      <protection locked="0"/>
    </xf>
    <xf numFmtId="200" fontId="11"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6"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10"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6"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6" fillId="0" borderId="16" xfId="0" applyNumberFormat="1" applyFont="1" applyFill="1" applyBorder="1" applyAlignment="1" applyProtection="1">
      <alignment horizontal="center" vertical="center" wrapText="1"/>
      <protection/>
    </xf>
    <xf numFmtId="193" fontId="33" fillId="0" borderId="14" xfId="42" applyNumberFormat="1" applyFont="1" applyFill="1" applyBorder="1" applyAlignment="1" applyProtection="1">
      <alignment horizontal="right" vertical="center"/>
      <protection/>
    </xf>
    <xf numFmtId="200" fontId="33" fillId="0" borderId="14" xfId="57" applyNumberFormat="1" applyFont="1" applyFill="1" applyBorder="1" applyAlignment="1">
      <alignment horizontal="right" vertical="center"/>
      <protection/>
    </xf>
    <xf numFmtId="0" fontId="13" fillId="0" borderId="24" xfId="0" applyFont="1" applyFill="1" applyBorder="1" applyAlignment="1">
      <alignment horizontal="left" vertical="center"/>
    </xf>
    <xf numFmtId="14" fontId="13" fillId="0" borderId="15" xfId="0" applyNumberFormat="1" applyFont="1" applyFill="1" applyBorder="1" applyAlignment="1">
      <alignment horizontal="left" vertical="center"/>
    </xf>
    <xf numFmtId="0" fontId="13" fillId="0" borderId="15" xfId="0" applyFont="1" applyFill="1" applyBorder="1" applyAlignment="1">
      <alignment horizontal="center" vertical="center"/>
    </xf>
    <xf numFmtId="200" fontId="11" fillId="0" borderId="0" xfId="0" applyNumberFormat="1" applyFont="1" applyBorder="1" applyAlignment="1">
      <alignment horizontal="right" vertical="center" wrapText="1"/>
    </xf>
    <xf numFmtId="0" fontId="10"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10" fillId="0" borderId="0" xfId="0" applyFont="1" applyBorder="1" applyAlignment="1">
      <alignment horizontal="right" vertical="center"/>
    </xf>
    <xf numFmtId="0" fontId="23" fillId="33" borderId="0" xfId="0" applyFont="1" applyFill="1" applyBorder="1" applyAlignment="1">
      <alignment horizontal="right" vertical="center"/>
    </xf>
    <xf numFmtId="0" fontId="37" fillId="33" borderId="0" xfId="0" applyFont="1" applyFill="1" applyBorder="1" applyAlignment="1">
      <alignment vertical="center"/>
    </xf>
    <xf numFmtId="0" fontId="37" fillId="33" borderId="0" xfId="0" applyFont="1" applyFill="1" applyBorder="1" applyAlignment="1">
      <alignment horizontal="center" vertical="center"/>
    </xf>
    <xf numFmtId="0" fontId="37" fillId="33" borderId="0" xfId="0" applyFont="1" applyFill="1" applyAlignment="1">
      <alignment/>
    </xf>
    <xf numFmtId="200" fontId="37" fillId="33" borderId="0" xfId="0" applyNumberFormat="1" applyFont="1" applyFill="1" applyAlignment="1">
      <alignment/>
    </xf>
    <xf numFmtId="193" fontId="37" fillId="33" borderId="0" xfId="0" applyNumberFormat="1" applyFont="1" applyFill="1" applyAlignment="1">
      <alignment/>
    </xf>
    <xf numFmtId="200" fontId="15" fillId="33" borderId="12" xfId="0" applyNumberFormat="1" applyFont="1" applyFill="1" applyBorder="1" applyAlignment="1">
      <alignment vertical="center"/>
    </xf>
    <xf numFmtId="193" fontId="15" fillId="33" borderId="12" xfId="0" applyNumberFormat="1" applyFont="1" applyFill="1" applyBorder="1" applyAlignment="1">
      <alignment vertical="center"/>
    </xf>
    <xf numFmtId="0" fontId="13" fillId="0" borderId="25" xfId="0" applyFont="1" applyFill="1" applyBorder="1" applyAlignment="1">
      <alignment horizontal="left" vertical="center"/>
    </xf>
    <xf numFmtId="0" fontId="13" fillId="0" borderId="23" xfId="0" applyFont="1" applyFill="1" applyBorder="1" applyAlignment="1">
      <alignment horizontal="center" vertical="center"/>
    </xf>
    <xf numFmtId="4" fontId="0" fillId="0" borderId="0" xfId="0" applyNumberFormat="1" applyAlignment="1">
      <alignment/>
    </xf>
    <xf numFmtId="193" fontId="13" fillId="0" borderId="14" xfId="0" applyNumberFormat="1" applyFont="1" applyFill="1" applyBorder="1" applyAlignment="1">
      <alignment horizontal="right" vertical="center"/>
    </xf>
    <xf numFmtId="192" fontId="13" fillId="0" borderId="14" xfId="0" applyNumberFormat="1" applyFont="1" applyFill="1" applyBorder="1" applyAlignment="1">
      <alignment horizontal="right" vertical="center"/>
    </xf>
    <xf numFmtId="200" fontId="13" fillId="0" borderId="14" xfId="0" applyNumberFormat="1" applyFont="1" applyFill="1" applyBorder="1" applyAlignment="1">
      <alignment horizontal="right" vertical="center"/>
    </xf>
    <xf numFmtId="193" fontId="13" fillId="0" borderId="14" xfId="60" applyNumberFormat="1" applyFont="1" applyFill="1" applyBorder="1" applyAlignment="1" applyProtection="1">
      <alignment horizontal="right" vertical="center"/>
      <protection/>
    </xf>
    <xf numFmtId="192" fontId="13" fillId="0" borderId="14" xfId="60" applyNumberFormat="1" applyFont="1" applyFill="1" applyBorder="1" applyAlignment="1" applyProtection="1">
      <alignment horizontal="right" vertical="center"/>
      <protection/>
    </xf>
    <xf numFmtId="200" fontId="13" fillId="0" borderId="14" xfId="42" applyNumberFormat="1" applyFont="1" applyFill="1" applyBorder="1" applyAlignment="1" applyProtection="1">
      <alignment horizontal="right" vertical="center"/>
      <protection/>
    </xf>
    <xf numFmtId="193" fontId="33" fillId="0" borderId="14" xfId="57" applyNumberFormat="1" applyFont="1" applyFill="1" applyBorder="1" applyAlignment="1">
      <alignment horizontal="right" vertical="center"/>
      <protection/>
    </xf>
    <xf numFmtId="193" fontId="13" fillId="0" borderId="14" xfId="57" applyNumberFormat="1" applyFont="1" applyFill="1" applyBorder="1" applyAlignment="1" applyProtection="1">
      <alignment horizontal="right" vertical="center"/>
      <protection/>
    </xf>
    <xf numFmtId="192" fontId="13" fillId="0" borderId="14" xfId="57" applyNumberFormat="1" applyFont="1" applyFill="1" applyBorder="1" applyAlignment="1" applyProtection="1">
      <alignment horizontal="right" vertical="center"/>
      <protection/>
    </xf>
    <xf numFmtId="200" fontId="13" fillId="0" borderId="14" xfId="57" applyNumberFormat="1" applyFont="1" applyFill="1" applyBorder="1" applyAlignment="1">
      <alignment horizontal="right" vertical="center"/>
      <protection/>
    </xf>
    <xf numFmtId="193" fontId="13" fillId="0" borderId="14" xfId="42" applyNumberFormat="1" applyFont="1" applyFill="1" applyBorder="1" applyAlignment="1" applyProtection="1">
      <alignment horizontal="right" vertical="center"/>
      <protection/>
    </xf>
    <xf numFmtId="192" fontId="13" fillId="0" borderId="14" xfId="42" applyNumberFormat="1" applyFont="1" applyFill="1" applyBorder="1" applyAlignment="1" applyProtection="1">
      <alignment horizontal="right" vertical="center"/>
      <protection/>
    </xf>
    <xf numFmtId="200" fontId="13" fillId="0" borderId="14" xfId="42" applyNumberFormat="1" applyFont="1" applyFill="1" applyBorder="1" applyAlignment="1" applyProtection="1">
      <alignment horizontal="right" vertical="center"/>
      <protection locked="0"/>
    </xf>
    <xf numFmtId="193" fontId="13" fillId="0" borderId="14" xfId="42" applyNumberFormat="1" applyFont="1" applyFill="1" applyBorder="1" applyAlignment="1" applyProtection="1">
      <alignment horizontal="right" vertical="center"/>
      <protection locked="0"/>
    </xf>
    <xf numFmtId="193" fontId="13" fillId="0" borderId="14" xfId="0" applyNumberFormat="1" applyFont="1" applyFill="1" applyBorder="1" applyAlignment="1" applyProtection="1">
      <alignment horizontal="right" vertical="center"/>
      <protection/>
    </xf>
    <xf numFmtId="192" fontId="13" fillId="0" borderId="14" xfId="0" applyNumberFormat="1" applyFont="1" applyFill="1" applyBorder="1" applyAlignment="1" applyProtection="1">
      <alignment horizontal="right" vertical="center"/>
      <protection/>
    </xf>
    <xf numFmtId="200" fontId="13" fillId="0" borderId="14" xfId="0" applyNumberFormat="1" applyFont="1" applyFill="1" applyBorder="1" applyAlignment="1" applyProtection="1">
      <alignment horizontal="right" vertical="center"/>
      <protection/>
    </xf>
    <xf numFmtId="193" fontId="13" fillId="0" borderId="14" xfId="57" applyNumberFormat="1" applyFont="1" applyFill="1" applyBorder="1" applyAlignment="1">
      <alignment horizontal="right" vertical="center"/>
      <protection/>
    </xf>
    <xf numFmtId="200" fontId="33" fillId="0" borderId="15" xfId="0" applyNumberFormat="1" applyFont="1" applyFill="1" applyBorder="1" applyAlignment="1">
      <alignment horizontal="right" vertical="center"/>
    </xf>
    <xf numFmtId="193" fontId="33" fillId="0" borderId="15" xfId="0" applyNumberFormat="1" applyFont="1" applyFill="1" applyBorder="1" applyAlignment="1">
      <alignment horizontal="right" vertical="center"/>
    </xf>
    <xf numFmtId="193" fontId="13" fillId="0" borderId="15" xfId="0" applyNumberFormat="1" applyFont="1" applyFill="1" applyBorder="1" applyAlignment="1">
      <alignment horizontal="right" vertical="center"/>
    </xf>
    <xf numFmtId="192" fontId="13" fillId="0" borderId="15" xfId="0" applyNumberFormat="1" applyFont="1" applyFill="1" applyBorder="1" applyAlignment="1">
      <alignment horizontal="right" vertical="center"/>
    </xf>
    <xf numFmtId="200" fontId="13" fillId="0" borderId="15" xfId="0" applyNumberFormat="1" applyFont="1" applyFill="1" applyBorder="1" applyAlignment="1">
      <alignment horizontal="right" vertical="center"/>
    </xf>
    <xf numFmtId="192" fontId="13" fillId="0" borderId="26" xfId="0" applyNumberFormat="1" applyFont="1" applyFill="1" applyBorder="1" applyAlignment="1">
      <alignment horizontal="right" vertical="center"/>
    </xf>
    <xf numFmtId="192" fontId="13" fillId="0" borderId="19" xfId="0" applyNumberFormat="1" applyFont="1" applyFill="1" applyBorder="1" applyAlignment="1">
      <alignment horizontal="right" vertical="center"/>
    </xf>
    <xf numFmtId="192" fontId="13" fillId="0" borderId="19" xfId="60" applyNumberFormat="1" applyFont="1" applyFill="1" applyBorder="1" applyAlignment="1" applyProtection="1">
      <alignment horizontal="right" vertical="center"/>
      <protection/>
    </xf>
    <xf numFmtId="192" fontId="13" fillId="0" borderId="19" xfId="57" applyNumberFormat="1" applyFont="1" applyFill="1" applyBorder="1" applyAlignment="1" applyProtection="1">
      <alignment horizontal="right" vertical="center"/>
      <protection/>
    </xf>
    <xf numFmtId="192" fontId="13" fillId="0" borderId="19" xfId="0" applyNumberFormat="1" applyFont="1" applyFill="1" applyBorder="1" applyAlignment="1" applyProtection="1">
      <alignment horizontal="right" vertical="center"/>
      <protection/>
    </xf>
    <xf numFmtId="0" fontId="33" fillId="0" borderId="27" xfId="0" applyFont="1" applyBorder="1" applyAlignment="1" applyProtection="1">
      <alignment vertical="center"/>
      <protection locked="0"/>
    </xf>
    <xf numFmtId="184" fontId="13" fillId="0" borderId="23" xfId="0"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193" fontId="25" fillId="0" borderId="11" xfId="0" applyNumberFormat="1" applyFont="1" applyFill="1" applyBorder="1" applyAlignment="1" applyProtection="1">
      <alignment horizontal="center" wrapText="1"/>
      <protection/>
    </xf>
    <xf numFmtId="200" fontId="25" fillId="0" borderId="11" xfId="0" applyNumberFormat="1" applyFont="1" applyFill="1" applyBorder="1" applyAlignment="1" applyProtection="1">
      <alignment horizontal="right" wrapText="1"/>
      <protection/>
    </xf>
    <xf numFmtId="0" fontId="29" fillId="34" borderId="28" xfId="0" applyFont="1" applyFill="1" applyBorder="1" applyAlignment="1">
      <alignment horizontal="right"/>
    </xf>
    <xf numFmtId="49" fontId="29" fillId="34" borderId="29" xfId="0" applyNumberFormat="1" applyFont="1" applyFill="1" applyBorder="1" applyAlignment="1">
      <alignment horizontal="right"/>
    </xf>
    <xf numFmtId="0" fontId="29" fillId="34" borderId="29" xfId="0" applyFont="1" applyFill="1" applyBorder="1" applyAlignment="1">
      <alignment/>
    </xf>
    <xf numFmtId="0" fontId="29" fillId="34" borderId="0" xfId="0" applyFont="1" applyFill="1" applyBorder="1" applyAlignment="1">
      <alignment horizontal="right"/>
    </xf>
    <xf numFmtId="49" fontId="29" fillId="34" borderId="0" xfId="0" applyNumberFormat="1" applyFont="1" applyFill="1" applyBorder="1" applyAlignment="1">
      <alignment horizontal="right"/>
    </xf>
    <xf numFmtId="0" fontId="29" fillId="34" borderId="0" xfId="0" applyFont="1" applyFill="1" applyBorder="1" applyAlignment="1">
      <alignment/>
    </xf>
    <xf numFmtId="0" fontId="29" fillId="34" borderId="0" xfId="0" applyFont="1" applyFill="1" applyAlignment="1">
      <alignment horizontal="right"/>
    </xf>
    <xf numFmtId="49" fontId="29" fillId="34" borderId="0" xfId="0" applyNumberFormat="1" applyFont="1" applyFill="1" applyAlignment="1">
      <alignment horizontal="right"/>
    </xf>
    <xf numFmtId="0" fontId="29" fillId="34" borderId="0" xfId="0" applyFont="1" applyFill="1" applyAlignment="1">
      <alignment/>
    </xf>
    <xf numFmtId="0" fontId="29" fillId="35" borderId="28" xfId="0" applyFont="1" applyFill="1" applyBorder="1" applyAlignment="1">
      <alignment horizontal="right"/>
    </xf>
    <xf numFmtId="4" fontId="29" fillId="35" borderId="29" xfId="0" applyNumberFormat="1" applyFont="1" applyFill="1" applyBorder="1" applyAlignment="1">
      <alignment horizontal="right"/>
    </xf>
    <xf numFmtId="3" fontId="29" fillId="35" borderId="30" xfId="0" applyNumberFormat="1" applyFont="1" applyFill="1" applyBorder="1" applyAlignment="1">
      <alignment horizontal="right"/>
    </xf>
    <xf numFmtId="3" fontId="29" fillId="35" borderId="28" xfId="0" applyNumberFormat="1" applyFont="1" applyFill="1" applyBorder="1" applyAlignment="1">
      <alignment horizontal="right"/>
    </xf>
    <xf numFmtId="3" fontId="29" fillId="35" borderId="0" xfId="0" applyNumberFormat="1" applyFont="1" applyFill="1" applyBorder="1" applyAlignment="1">
      <alignment horizontal="right"/>
    </xf>
    <xf numFmtId="4" fontId="29" fillId="35" borderId="0" xfId="0" applyNumberFormat="1" applyFont="1" applyFill="1" applyBorder="1" applyAlignment="1">
      <alignment horizontal="right"/>
    </xf>
    <xf numFmtId="0" fontId="29" fillId="35" borderId="0" xfId="0" applyFont="1" applyFill="1" applyBorder="1" applyAlignment="1">
      <alignment horizontal="right"/>
    </xf>
    <xf numFmtId="3" fontId="29" fillId="35" borderId="0" xfId="0" applyNumberFormat="1" applyFont="1" applyFill="1" applyAlignment="1">
      <alignment horizontal="right"/>
    </xf>
    <xf numFmtId="4" fontId="29" fillId="35" borderId="0" xfId="0" applyNumberFormat="1" applyFont="1" applyFill="1" applyAlignment="1">
      <alignment horizontal="right"/>
    </xf>
    <xf numFmtId="4" fontId="29" fillId="34" borderId="29" xfId="0" applyNumberFormat="1" applyFont="1" applyFill="1" applyBorder="1" applyAlignment="1">
      <alignment horizontal="right"/>
    </xf>
    <xf numFmtId="3" fontId="29" fillId="34" borderId="29" xfId="0" applyNumberFormat="1" applyFont="1" applyFill="1" applyBorder="1" applyAlignment="1">
      <alignment horizontal="right"/>
    </xf>
    <xf numFmtId="10" fontId="29" fillId="34" borderId="30" xfId="0" applyNumberFormat="1" applyFont="1" applyFill="1" applyBorder="1" applyAlignment="1">
      <alignment horizontal="right"/>
    </xf>
    <xf numFmtId="4" fontId="29" fillId="34" borderId="0" xfId="0" applyNumberFormat="1" applyFont="1" applyFill="1" applyBorder="1" applyAlignment="1">
      <alignment horizontal="right"/>
    </xf>
    <xf numFmtId="3" fontId="29" fillId="34" borderId="0" xfId="0" applyNumberFormat="1" applyFont="1" applyFill="1" applyBorder="1" applyAlignment="1">
      <alignment horizontal="right"/>
    </xf>
    <xf numFmtId="10" fontId="29" fillId="34" borderId="0" xfId="0" applyNumberFormat="1" applyFont="1" applyFill="1" applyBorder="1" applyAlignment="1">
      <alignment horizontal="right"/>
    </xf>
    <xf numFmtId="2" fontId="29" fillId="34" borderId="0" xfId="0" applyNumberFormat="1" applyFont="1" applyFill="1" applyBorder="1" applyAlignment="1">
      <alignment horizontal="right"/>
    </xf>
    <xf numFmtId="4" fontId="29" fillId="34" borderId="0" xfId="0" applyNumberFormat="1" applyFont="1" applyFill="1" applyAlignment="1">
      <alignment horizontal="right"/>
    </xf>
    <xf numFmtId="3" fontId="29" fillId="34" borderId="0" xfId="0" applyNumberFormat="1" applyFont="1" applyFill="1" applyAlignment="1">
      <alignment horizontal="right"/>
    </xf>
    <xf numFmtId="10" fontId="29" fillId="34" borderId="0" xfId="0" applyNumberFormat="1" applyFont="1" applyFill="1" applyAlignment="1">
      <alignment horizontal="right"/>
    </xf>
    <xf numFmtId="3" fontId="29" fillId="35" borderId="29" xfId="0" applyNumberFormat="1" applyFont="1" applyFill="1" applyBorder="1" applyAlignment="1">
      <alignment horizontal="right"/>
    </xf>
    <xf numFmtId="10" fontId="29" fillId="35" borderId="30" xfId="0" applyNumberFormat="1" applyFont="1" applyFill="1" applyBorder="1" applyAlignment="1">
      <alignment horizontal="right"/>
    </xf>
    <xf numFmtId="10" fontId="29" fillId="35" borderId="0" xfId="0" applyNumberFormat="1" applyFont="1" applyFill="1" applyBorder="1" applyAlignment="1">
      <alignment horizontal="right"/>
    </xf>
    <xf numFmtId="0" fontId="29" fillId="35" borderId="0" xfId="0" applyFont="1" applyFill="1" applyAlignment="1">
      <alignment horizontal="right"/>
    </xf>
    <xf numFmtId="10" fontId="29" fillId="35" borderId="0" xfId="0" applyNumberFormat="1" applyFont="1" applyFill="1" applyAlignment="1">
      <alignment horizontal="right"/>
    </xf>
    <xf numFmtId="1" fontId="22" fillId="0" borderId="10" xfId="0" applyNumberFormat="1" applyFont="1" applyFill="1" applyBorder="1" applyAlignment="1" applyProtection="1">
      <alignment horizontal="center" vertical="center" wrapText="1"/>
      <protection/>
    </xf>
    <xf numFmtId="1" fontId="23" fillId="0" borderId="16" xfId="0" applyNumberFormat="1" applyFont="1" applyFill="1" applyBorder="1" applyAlignment="1" applyProtection="1">
      <alignment horizontal="center" vertical="center" wrapText="1"/>
      <protection/>
    </xf>
    <xf numFmtId="200" fontId="37" fillId="33" borderId="0" xfId="0" applyNumberFormat="1" applyFont="1" applyFill="1" applyBorder="1" applyAlignment="1">
      <alignment horizontal="center" vertical="center"/>
    </xf>
    <xf numFmtId="193" fontId="37" fillId="33" borderId="0" xfId="0" applyNumberFormat="1" applyFont="1" applyFill="1" applyBorder="1" applyAlignment="1">
      <alignment horizontal="center" vertical="center"/>
    </xf>
    <xf numFmtId="0" fontId="37" fillId="33" borderId="0" xfId="0" applyFont="1" applyFill="1" applyAlignment="1">
      <alignment horizontal="center"/>
    </xf>
    <xf numFmtId="200" fontId="11" fillId="0" borderId="0" xfId="0" applyNumberFormat="1" applyFont="1" applyBorder="1" applyAlignment="1">
      <alignment horizontal="center" vertical="center"/>
    </xf>
    <xf numFmtId="193" fontId="11" fillId="0" borderId="0" xfId="0" applyNumberFormat="1" applyFont="1" applyBorder="1" applyAlignment="1">
      <alignment horizontal="center" vertical="center"/>
    </xf>
    <xf numFmtId="200" fontId="11" fillId="0" borderId="0" xfId="0" applyNumberFormat="1" applyFont="1" applyAlignment="1">
      <alignment horizontal="center"/>
    </xf>
    <xf numFmtId="193" fontId="11" fillId="0" borderId="0" xfId="0" applyNumberFormat="1" applyFont="1" applyAlignment="1">
      <alignment horizontal="center"/>
    </xf>
    <xf numFmtId="0" fontId="31" fillId="0" borderId="0" xfId="0" applyFont="1" applyAlignment="1">
      <alignment/>
    </xf>
    <xf numFmtId="0" fontId="41" fillId="0" borderId="0" xfId="0" applyFont="1" applyFill="1" applyBorder="1" applyAlignment="1" applyProtection="1">
      <alignment horizontal="center" vertical="center" wrapText="1"/>
      <protection locked="0"/>
    </xf>
    <xf numFmtId="0" fontId="22"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5" fillId="33" borderId="12" xfId="0" applyNumberFormat="1" applyFont="1" applyFill="1" applyBorder="1" applyAlignment="1">
      <alignment horizontal="right" vertical="center"/>
    </xf>
    <xf numFmtId="4" fontId="43" fillId="0" borderId="0" xfId="0" applyNumberFormat="1" applyFont="1" applyFill="1" applyBorder="1" applyAlignment="1">
      <alignment vertical="center"/>
    </xf>
    <xf numFmtId="4" fontId="40" fillId="0" borderId="0" xfId="0" applyNumberFormat="1" applyFont="1" applyFill="1" applyBorder="1" applyAlignment="1">
      <alignment horizontal="center" vertical="center"/>
    </xf>
    <xf numFmtId="4" fontId="31" fillId="0" borderId="0" xfId="0" applyNumberFormat="1" applyFont="1" applyBorder="1" applyAlignment="1">
      <alignment vertical="center"/>
    </xf>
    <xf numFmtId="0" fontId="13" fillId="0" borderId="0" xfId="0" applyFont="1" applyFill="1" applyBorder="1" applyAlignment="1">
      <alignment horizontal="left" vertical="center"/>
    </xf>
    <xf numFmtId="184" fontId="13" fillId="0" borderId="0" xfId="0" applyNumberFormat="1" applyFont="1" applyFill="1" applyBorder="1" applyAlignment="1" applyProtection="1">
      <alignment horizontal="center" vertical="center"/>
      <protection locked="0"/>
    </xf>
    <xf numFmtId="14" fontId="13"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192" fontId="13" fillId="0" borderId="0" xfId="0" applyNumberFormat="1" applyFont="1" applyFill="1" applyBorder="1" applyAlignment="1">
      <alignment horizontal="right" vertical="center"/>
    </xf>
    <xf numFmtId="200" fontId="11" fillId="0" borderId="14" xfId="0" applyNumberFormat="1" applyFont="1" applyBorder="1" applyAlignment="1">
      <alignment vertical="center"/>
    </xf>
    <xf numFmtId="193" fontId="11" fillId="0" borderId="14" xfId="0" applyNumberFormat="1" applyFont="1" applyBorder="1" applyAlignment="1">
      <alignment vertical="center"/>
    </xf>
    <xf numFmtId="200" fontId="11" fillId="0" borderId="0" xfId="0" applyNumberFormat="1" applyFont="1" applyBorder="1" applyAlignment="1">
      <alignment vertical="center"/>
    </xf>
    <xf numFmtId="193" fontId="11" fillId="0" borderId="0" xfId="0" applyNumberFormat="1" applyFont="1" applyBorder="1" applyAlignment="1">
      <alignment vertical="center"/>
    </xf>
    <xf numFmtId="200"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indent="1"/>
    </xf>
    <xf numFmtId="200" fontId="33" fillId="0" borderId="0" xfId="0" applyNumberFormat="1" applyFont="1" applyFill="1" applyBorder="1" applyAlignment="1">
      <alignment horizontal="right" vertical="center"/>
    </xf>
    <xf numFmtId="193" fontId="33" fillId="0" borderId="0" xfId="0" applyNumberFormat="1" applyFont="1" applyFill="1" applyBorder="1" applyAlignment="1">
      <alignment horizontal="right" vertical="center"/>
    </xf>
    <xf numFmtId="184" fontId="13" fillId="0" borderId="15" xfId="0" applyNumberFormat="1" applyFont="1" applyFill="1" applyBorder="1" applyAlignment="1" applyProtection="1">
      <alignment horizontal="center" vertical="center"/>
      <protection locked="0"/>
    </xf>
    <xf numFmtId="184" fontId="13" fillId="0" borderId="12" xfId="0" applyNumberFormat="1" applyFont="1" applyFill="1" applyBorder="1" applyAlignment="1">
      <alignment horizontal="center" vertical="center"/>
    </xf>
    <xf numFmtId="200" fontId="33" fillId="0" borderId="14" xfId="0" applyNumberFormat="1" applyFont="1" applyFill="1" applyBorder="1" applyAlignment="1">
      <alignment vertical="center"/>
    </xf>
    <xf numFmtId="193" fontId="33" fillId="0" borderId="14" xfId="0" applyNumberFormat="1" applyFont="1" applyFill="1" applyBorder="1" applyAlignment="1">
      <alignment vertical="center"/>
    </xf>
    <xf numFmtId="193" fontId="13" fillId="0" borderId="14" xfId="0" applyNumberFormat="1" applyFont="1" applyFill="1" applyBorder="1" applyAlignment="1">
      <alignment vertical="center"/>
    </xf>
    <xf numFmtId="192" fontId="13" fillId="0" borderId="14" xfId="0" applyNumberFormat="1" applyFont="1" applyFill="1" applyBorder="1" applyAlignment="1">
      <alignment vertical="center"/>
    </xf>
    <xf numFmtId="200" fontId="13" fillId="0" borderId="14" xfId="0" applyNumberFormat="1" applyFont="1" applyFill="1" applyBorder="1" applyAlignment="1">
      <alignment vertical="center"/>
    </xf>
    <xf numFmtId="200" fontId="33" fillId="0" borderId="14" xfId="42" applyNumberFormat="1" applyFont="1" applyFill="1" applyBorder="1" applyAlignment="1" applyProtection="1">
      <alignment vertical="center"/>
      <protection/>
    </xf>
    <xf numFmtId="193" fontId="33" fillId="0" borderId="14" xfId="42" applyNumberFormat="1" applyFont="1" applyFill="1" applyBorder="1" applyAlignment="1" applyProtection="1">
      <alignment vertical="center"/>
      <protection/>
    </xf>
    <xf numFmtId="193" fontId="13" fillId="0" borderId="14" xfId="60" applyNumberFormat="1" applyFont="1" applyFill="1" applyBorder="1" applyAlignment="1" applyProtection="1">
      <alignment vertical="center"/>
      <protection/>
    </xf>
    <xf numFmtId="192" fontId="13" fillId="0" borderId="14" xfId="60" applyNumberFormat="1" applyFont="1" applyFill="1" applyBorder="1" applyAlignment="1" applyProtection="1">
      <alignment vertical="center"/>
      <protection/>
    </xf>
    <xf numFmtId="200" fontId="13" fillId="0" borderId="14" xfId="42" applyNumberFormat="1" applyFont="1" applyFill="1" applyBorder="1" applyAlignment="1" applyProtection="1">
      <alignment vertical="center"/>
      <protection/>
    </xf>
    <xf numFmtId="200" fontId="33" fillId="0" borderId="14" xfId="42" applyNumberFormat="1" applyFont="1" applyFill="1" applyBorder="1" applyAlignment="1" applyProtection="1">
      <alignment vertical="center"/>
      <protection locked="0"/>
    </xf>
    <xf numFmtId="193" fontId="33" fillId="0" borderId="14" xfId="42" applyNumberFormat="1" applyFont="1" applyFill="1" applyBorder="1" applyAlignment="1" applyProtection="1">
      <alignment vertical="center"/>
      <protection locked="0"/>
    </xf>
    <xf numFmtId="200" fontId="13" fillId="0" borderId="14" xfId="42" applyNumberFormat="1" applyFont="1" applyFill="1" applyBorder="1" applyAlignment="1" applyProtection="1">
      <alignment vertical="center"/>
      <protection locked="0"/>
    </xf>
    <xf numFmtId="193" fontId="13" fillId="0" borderId="14" xfId="42" applyNumberFormat="1" applyFont="1" applyFill="1" applyBorder="1" applyAlignment="1" applyProtection="1">
      <alignment vertical="center"/>
      <protection locked="0"/>
    </xf>
    <xf numFmtId="200" fontId="33" fillId="0" borderId="14" xfId="57" applyNumberFormat="1" applyFont="1" applyFill="1" applyBorder="1" applyAlignment="1">
      <alignment vertical="center"/>
      <protection/>
    </xf>
    <xf numFmtId="193" fontId="33" fillId="0" borderId="14" xfId="57" applyNumberFormat="1" applyFont="1" applyFill="1" applyBorder="1" applyAlignment="1">
      <alignment vertical="center"/>
      <protection/>
    </xf>
    <xf numFmtId="193" fontId="13" fillId="0" borderId="14" xfId="57" applyNumberFormat="1" applyFont="1" applyFill="1" applyBorder="1" applyAlignment="1" applyProtection="1">
      <alignment vertical="center"/>
      <protection/>
    </xf>
    <xf numFmtId="192" fontId="13" fillId="0" borderId="14" xfId="57" applyNumberFormat="1" applyFont="1" applyFill="1" applyBorder="1" applyAlignment="1" applyProtection="1">
      <alignment vertical="center"/>
      <protection/>
    </xf>
    <xf numFmtId="200" fontId="13" fillId="0" borderId="14" xfId="57" applyNumberFormat="1" applyFont="1" applyFill="1" applyBorder="1" applyAlignment="1">
      <alignment vertical="center"/>
      <protection/>
    </xf>
    <xf numFmtId="193" fontId="13" fillId="0" borderId="14" xfId="42" applyNumberFormat="1" applyFont="1" applyFill="1" applyBorder="1" applyAlignment="1" applyProtection="1">
      <alignment vertical="center"/>
      <protection/>
    </xf>
    <xf numFmtId="192" fontId="13" fillId="0" borderId="14" xfId="42" applyNumberFormat="1" applyFont="1" applyFill="1" applyBorder="1" applyAlignment="1" applyProtection="1">
      <alignment vertical="center"/>
      <protection/>
    </xf>
    <xf numFmtId="0" fontId="13" fillId="0" borderId="14" xfId="0" applyFont="1" applyFill="1" applyBorder="1" applyAlignment="1" applyProtection="1">
      <alignment horizontal="left" vertical="center" shrinkToFit="1"/>
      <protection locked="0"/>
    </xf>
    <xf numFmtId="200" fontId="33" fillId="0" borderId="14" xfId="0" applyNumberFormat="1" applyFont="1" applyFill="1" applyBorder="1" applyAlignment="1" applyProtection="1">
      <alignment vertical="center"/>
      <protection/>
    </xf>
    <xf numFmtId="193" fontId="33" fillId="0" borderId="14" xfId="0" applyNumberFormat="1" applyFont="1" applyFill="1" applyBorder="1" applyAlignment="1" applyProtection="1">
      <alignment vertical="center"/>
      <protection/>
    </xf>
    <xf numFmtId="193" fontId="13" fillId="0" borderId="14" xfId="0" applyNumberFormat="1" applyFont="1" applyFill="1" applyBorder="1" applyAlignment="1" applyProtection="1">
      <alignment vertical="center"/>
      <protection/>
    </xf>
    <xf numFmtId="192" fontId="13" fillId="0" borderId="14" xfId="0" applyNumberFormat="1" applyFont="1" applyFill="1" applyBorder="1" applyAlignment="1" applyProtection="1">
      <alignment vertical="center"/>
      <protection/>
    </xf>
    <xf numFmtId="200" fontId="13" fillId="0" borderId="14" xfId="0" applyNumberFormat="1" applyFont="1" applyFill="1" applyBorder="1" applyAlignment="1" applyProtection="1">
      <alignment vertical="center"/>
      <protection/>
    </xf>
    <xf numFmtId="193" fontId="13" fillId="0" borderId="14" xfId="57" applyNumberFormat="1" applyFont="1" applyFill="1" applyBorder="1" applyAlignment="1">
      <alignment vertical="center"/>
      <protection/>
    </xf>
    <xf numFmtId="193" fontId="13" fillId="0" borderId="15" xfId="0" applyNumberFormat="1" applyFont="1" applyFill="1" applyBorder="1" applyAlignment="1">
      <alignment vertical="center"/>
    </xf>
    <xf numFmtId="200" fontId="13" fillId="0" borderId="15" xfId="0" applyNumberFormat="1" applyFont="1" applyFill="1" applyBorder="1" applyAlignment="1">
      <alignment vertical="center"/>
    </xf>
    <xf numFmtId="192" fontId="13" fillId="0" borderId="19" xfId="0" applyNumberFormat="1" applyFont="1" applyFill="1" applyBorder="1" applyAlignment="1">
      <alignment vertical="center"/>
    </xf>
    <xf numFmtId="192" fontId="13" fillId="0" borderId="19" xfId="60" applyNumberFormat="1" applyFont="1" applyFill="1" applyBorder="1" applyAlignment="1" applyProtection="1">
      <alignment vertical="center"/>
      <protection/>
    </xf>
    <xf numFmtId="192" fontId="13" fillId="0" borderId="19" xfId="57" applyNumberFormat="1" applyFont="1" applyFill="1" applyBorder="1" applyAlignment="1" applyProtection="1">
      <alignment vertical="center"/>
      <protection/>
    </xf>
    <xf numFmtId="192" fontId="13" fillId="0" borderId="19" xfId="42" applyNumberFormat="1" applyFont="1" applyFill="1" applyBorder="1" applyAlignment="1" applyProtection="1">
      <alignment vertical="center"/>
      <protection/>
    </xf>
    <xf numFmtId="192" fontId="13" fillId="0" borderId="19" xfId="0" applyNumberFormat="1" applyFont="1" applyFill="1" applyBorder="1" applyAlignment="1" applyProtection="1">
      <alignment vertical="center"/>
      <protection/>
    </xf>
    <xf numFmtId="14" fontId="13" fillId="0" borderId="23" xfId="0" applyNumberFormat="1" applyFont="1" applyFill="1" applyBorder="1" applyAlignment="1">
      <alignment horizontal="left" vertical="center"/>
    </xf>
    <xf numFmtId="200" fontId="33" fillId="0" borderId="23" xfId="0" applyNumberFormat="1" applyFont="1" applyFill="1" applyBorder="1" applyAlignment="1">
      <alignment vertical="center"/>
    </xf>
    <xf numFmtId="193" fontId="33" fillId="0" borderId="23" xfId="0" applyNumberFormat="1" applyFont="1" applyFill="1" applyBorder="1" applyAlignment="1">
      <alignment vertical="center"/>
    </xf>
    <xf numFmtId="193" fontId="13" fillId="0" borderId="23" xfId="0" applyNumberFormat="1" applyFont="1" applyFill="1" applyBorder="1" applyAlignment="1">
      <alignment vertical="center"/>
    </xf>
    <xf numFmtId="192" fontId="13" fillId="0" borderId="23" xfId="0" applyNumberFormat="1" applyFont="1" applyFill="1" applyBorder="1" applyAlignment="1">
      <alignment vertical="center"/>
    </xf>
    <xf numFmtId="200" fontId="13" fillId="0" borderId="23" xfId="0" applyNumberFormat="1" applyFont="1" applyFill="1" applyBorder="1" applyAlignment="1">
      <alignment vertical="center"/>
    </xf>
    <xf numFmtId="192" fontId="13" fillId="0" borderId="31" xfId="0" applyNumberFormat="1" applyFont="1" applyFill="1" applyBorder="1" applyAlignment="1">
      <alignment vertical="center"/>
    </xf>
    <xf numFmtId="0" fontId="13" fillId="0" borderId="32" xfId="0" applyFont="1" applyFill="1" applyBorder="1" applyAlignment="1">
      <alignment horizontal="left" vertical="center"/>
    </xf>
    <xf numFmtId="14" fontId="13" fillId="0" borderId="12" xfId="0" applyNumberFormat="1" applyFont="1" applyFill="1" applyBorder="1" applyAlignment="1">
      <alignment horizontal="left" vertical="center"/>
    </xf>
    <xf numFmtId="0" fontId="13" fillId="0" borderId="12" xfId="0" applyFont="1" applyFill="1" applyBorder="1" applyAlignment="1">
      <alignment horizontal="center" vertical="center"/>
    </xf>
    <xf numFmtId="200" fontId="33" fillId="0" borderId="12" xfId="0" applyNumberFormat="1" applyFont="1" applyFill="1" applyBorder="1" applyAlignment="1">
      <alignment vertical="center"/>
    </xf>
    <xf numFmtId="193" fontId="33" fillId="0" borderId="12" xfId="0" applyNumberFormat="1" applyFont="1" applyFill="1" applyBorder="1" applyAlignment="1">
      <alignment vertical="center"/>
    </xf>
    <xf numFmtId="193" fontId="13" fillId="0" borderId="12" xfId="0" applyNumberFormat="1" applyFont="1" applyFill="1" applyBorder="1" applyAlignment="1">
      <alignment vertical="center"/>
    </xf>
    <xf numFmtId="192" fontId="13" fillId="0" borderId="12" xfId="0" applyNumberFormat="1" applyFont="1" applyFill="1" applyBorder="1" applyAlignment="1">
      <alignment vertical="center"/>
    </xf>
    <xf numFmtId="200" fontId="13" fillId="0" borderId="12" xfId="0" applyNumberFormat="1" applyFont="1" applyFill="1" applyBorder="1" applyAlignment="1">
      <alignment vertical="center"/>
    </xf>
    <xf numFmtId="192" fontId="13" fillId="0" borderId="13" xfId="0" applyNumberFormat="1" applyFont="1" applyFill="1" applyBorder="1" applyAlignment="1">
      <alignment vertical="center"/>
    </xf>
    <xf numFmtId="193" fontId="13" fillId="0" borderId="33" xfId="0" applyNumberFormat="1" applyFont="1" applyFill="1" applyBorder="1" applyAlignment="1">
      <alignment horizontal="right" vertical="center"/>
    </xf>
    <xf numFmtId="184" fontId="13" fillId="0" borderId="33" xfId="0" applyNumberFormat="1"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193" fontId="13" fillId="0" borderId="33" xfId="60" applyNumberFormat="1" applyFont="1" applyFill="1" applyBorder="1" applyAlignment="1" applyProtection="1">
      <alignment horizontal="right" vertical="center"/>
      <protection/>
    </xf>
    <xf numFmtId="192" fontId="13" fillId="0" borderId="33" xfId="60" applyNumberFormat="1" applyFont="1" applyFill="1" applyBorder="1" applyAlignment="1" applyProtection="1">
      <alignment horizontal="right" vertical="center"/>
      <protection/>
    </xf>
    <xf numFmtId="192" fontId="13" fillId="0" borderId="34" xfId="60" applyNumberFormat="1" applyFont="1" applyFill="1" applyBorder="1" applyAlignment="1" applyProtection="1">
      <alignment horizontal="right" vertical="center"/>
      <protection/>
    </xf>
    <xf numFmtId="0" fontId="31" fillId="0" borderId="0" xfId="0" applyFont="1" applyBorder="1" applyAlignment="1">
      <alignment/>
    </xf>
    <xf numFmtId="0" fontId="47" fillId="0" borderId="0" xfId="0" applyFont="1" applyFill="1" applyBorder="1" applyAlignment="1" applyProtection="1">
      <alignment vertical="center"/>
      <protection locked="0"/>
    </xf>
    <xf numFmtId="200" fontId="42" fillId="0" borderId="35" xfId="0" applyNumberFormat="1" applyFont="1" applyFill="1" applyBorder="1" applyAlignment="1" applyProtection="1">
      <alignment horizontal="center" wrapText="1"/>
      <protection/>
    </xf>
    <xf numFmtId="193" fontId="42" fillId="0" borderId="35" xfId="0" applyNumberFormat="1" applyFont="1" applyFill="1" applyBorder="1" applyAlignment="1" applyProtection="1">
      <alignment horizontal="center" wrapText="1"/>
      <protection/>
    </xf>
    <xf numFmtId="3" fontId="42" fillId="0" borderId="35" xfId="0" applyNumberFormat="1" applyFont="1" applyFill="1" applyBorder="1" applyAlignment="1" applyProtection="1">
      <alignment horizontal="center" wrapText="1"/>
      <protection/>
    </xf>
    <xf numFmtId="192" fontId="42" fillId="0" borderId="35" xfId="0" applyNumberFormat="1" applyFont="1" applyFill="1" applyBorder="1" applyAlignment="1" applyProtection="1">
      <alignment horizontal="center" wrapText="1"/>
      <protection/>
    </xf>
    <xf numFmtId="200" fontId="42" fillId="0" borderId="35" xfId="0" applyNumberFormat="1" applyFont="1" applyFill="1" applyBorder="1" applyAlignment="1" applyProtection="1">
      <alignment horizontal="right" wrapText="1"/>
      <protection/>
    </xf>
    <xf numFmtId="192" fontId="42" fillId="0" borderId="36" xfId="0" applyNumberFormat="1" applyFont="1" applyFill="1" applyBorder="1" applyAlignment="1" applyProtection="1">
      <alignment horizontal="center" wrapText="1"/>
      <protection/>
    </xf>
    <xf numFmtId="0" fontId="22" fillId="0" borderId="0" xfId="0" applyFont="1" applyFill="1" applyBorder="1" applyAlignment="1">
      <alignment horizontal="right" vertical="center"/>
    </xf>
    <xf numFmtId="3" fontId="28"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3" fontId="28" fillId="0" borderId="0" xfId="0" applyNumberFormat="1" applyFont="1" applyFill="1" applyBorder="1" applyAlignment="1" applyProtection="1">
      <alignment horizontal="center" vertical="center"/>
      <protection locked="0"/>
    </xf>
    <xf numFmtId="4" fontId="28" fillId="0" borderId="0" xfId="0" applyNumberFormat="1" applyFont="1" applyFill="1" applyBorder="1" applyAlignment="1" applyProtection="1">
      <alignment horizontal="center" vertical="center"/>
      <protection locked="0"/>
    </xf>
    <xf numFmtId="0" fontId="13" fillId="0" borderId="25"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6" fillId="0" borderId="37" xfId="0" applyFont="1" applyFill="1" applyBorder="1" applyAlignment="1" applyProtection="1">
      <alignment vertical="center"/>
      <protection locked="0"/>
    </xf>
    <xf numFmtId="0" fontId="13" fillId="0" borderId="38"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33" xfId="0" applyFont="1" applyFill="1" applyBorder="1" applyAlignment="1">
      <alignment horizontal="center" vertical="center"/>
    </xf>
    <xf numFmtId="200" fontId="33" fillId="0" borderId="33" xfId="0" applyNumberFormat="1" applyFont="1" applyFill="1" applyBorder="1" applyAlignment="1">
      <alignment horizontal="right" vertical="center"/>
    </xf>
    <xf numFmtId="193" fontId="33" fillId="0" borderId="33" xfId="0" applyNumberFormat="1" applyFont="1" applyFill="1" applyBorder="1" applyAlignment="1">
      <alignment horizontal="right" vertical="center"/>
    </xf>
    <xf numFmtId="193" fontId="13" fillId="0" borderId="12" xfId="42" applyNumberFormat="1" applyFont="1" applyFill="1" applyBorder="1" applyAlignment="1" applyProtection="1">
      <alignment vertical="center"/>
      <protection/>
    </xf>
    <xf numFmtId="192" fontId="13" fillId="0" borderId="12" xfId="42" applyNumberFormat="1" applyFont="1" applyFill="1" applyBorder="1" applyAlignment="1" applyProtection="1">
      <alignment vertical="center"/>
      <protection/>
    </xf>
    <xf numFmtId="200" fontId="13" fillId="0" borderId="33" xfId="0" applyNumberFormat="1" applyFont="1" applyFill="1" applyBorder="1" applyAlignment="1">
      <alignment horizontal="right" vertical="center"/>
    </xf>
    <xf numFmtId="200" fontId="13" fillId="0" borderId="12" xfId="42" applyNumberFormat="1" applyFont="1" applyFill="1" applyBorder="1" applyAlignment="1" applyProtection="1">
      <alignment vertical="center"/>
      <protection locked="0"/>
    </xf>
    <xf numFmtId="193" fontId="13" fillId="0" borderId="12" xfId="42" applyNumberFormat="1" applyFont="1" applyFill="1" applyBorder="1" applyAlignment="1" applyProtection="1">
      <alignment vertical="center"/>
      <protection locked="0"/>
    </xf>
    <xf numFmtId="192" fontId="13" fillId="0" borderId="13" xfId="42" applyNumberFormat="1" applyFont="1" applyFill="1" applyBorder="1" applyAlignment="1" applyProtection="1">
      <alignment vertical="center"/>
      <protection/>
    </xf>
    <xf numFmtId="192" fontId="13" fillId="0" borderId="26" xfId="42" applyNumberFormat="1" applyFont="1" applyFill="1" applyBorder="1" applyAlignment="1" applyProtection="1">
      <alignment vertical="center"/>
      <protection/>
    </xf>
    <xf numFmtId="0" fontId="13" fillId="0" borderId="24" xfId="0" applyFont="1" applyFill="1" applyBorder="1" applyAlignment="1" applyProtection="1">
      <alignment horizontal="left" vertical="center"/>
      <protection locked="0"/>
    </xf>
    <xf numFmtId="184" fontId="13" fillId="0" borderId="15" xfId="0" applyNumberFormat="1"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15" xfId="0" applyFont="1" applyFill="1" applyBorder="1" applyAlignment="1" applyProtection="1">
      <alignment horizontal="center" vertical="center"/>
      <protection locked="0"/>
    </xf>
    <xf numFmtId="200" fontId="33" fillId="0" borderId="15" xfId="42" applyNumberFormat="1" applyFont="1" applyFill="1" applyBorder="1" applyAlignment="1" applyProtection="1">
      <alignment vertical="center"/>
      <protection locked="0"/>
    </xf>
    <xf numFmtId="193" fontId="33" fillId="0" borderId="15" xfId="42" applyNumberFormat="1" applyFont="1" applyFill="1" applyBorder="1" applyAlignment="1" applyProtection="1">
      <alignment vertical="center"/>
      <protection locked="0"/>
    </xf>
    <xf numFmtId="193" fontId="13" fillId="0" borderId="15" xfId="42" applyNumberFormat="1" applyFont="1" applyFill="1" applyBorder="1" applyAlignment="1" applyProtection="1">
      <alignment vertical="center"/>
      <protection/>
    </xf>
    <xf numFmtId="192" fontId="13" fillId="0" borderId="15" xfId="42" applyNumberFormat="1" applyFont="1" applyFill="1" applyBorder="1" applyAlignment="1" applyProtection="1">
      <alignment vertical="center"/>
      <protection/>
    </xf>
    <xf numFmtId="200" fontId="13" fillId="0" borderId="15" xfId="42" applyNumberFormat="1" applyFont="1" applyFill="1" applyBorder="1" applyAlignment="1" applyProtection="1">
      <alignment vertical="center"/>
      <protection locked="0"/>
    </xf>
    <xf numFmtId="193" fontId="13" fillId="0" borderId="15" xfId="42" applyNumberFormat="1" applyFont="1" applyFill="1" applyBorder="1" applyAlignment="1" applyProtection="1">
      <alignment vertical="center"/>
      <protection locked="0"/>
    </xf>
    <xf numFmtId="184" fontId="13" fillId="0" borderId="23" xfId="0" applyNumberFormat="1" applyFont="1" applyFill="1" applyBorder="1" applyAlignment="1" applyProtection="1">
      <alignment horizontal="left" vertical="center"/>
      <protection locked="0"/>
    </xf>
    <xf numFmtId="200" fontId="33" fillId="0" borderId="23" xfId="42" applyNumberFormat="1" applyFont="1" applyFill="1" applyBorder="1" applyAlignment="1" applyProtection="1">
      <alignment vertical="center"/>
      <protection locked="0"/>
    </xf>
    <xf numFmtId="193" fontId="33" fillId="0" borderId="23" xfId="42" applyNumberFormat="1" applyFont="1" applyFill="1" applyBorder="1" applyAlignment="1" applyProtection="1">
      <alignment vertical="center"/>
      <protection locked="0"/>
    </xf>
    <xf numFmtId="193" fontId="13" fillId="0" borderId="23" xfId="42" applyNumberFormat="1" applyFont="1" applyFill="1" applyBorder="1" applyAlignment="1" applyProtection="1">
      <alignment vertical="center"/>
      <protection/>
    </xf>
    <xf numFmtId="192" fontId="13" fillId="0" borderId="23" xfId="42" applyNumberFormat="1" applyFont="1" applyFill="1" applyBorder="1" applyAlignment="1" applyProtection="1">
      <alignment vertical="center"/>
      <protection/>
    </xf>
    <xf numFmtId="200" fontId="13" fillId="0" borderId="23" xfId="42" applyNumberFormat="1" applyFont="1" applyFill="1" applyBorder="1" applyAlignment="1" applyProtection="1">
      <alignment vertical="center"/>
      <protection locked="0"/>
    </xf>
    <xf numFmtId="193" fontId="13" fillId="0" borderId="23" xfId="42" applyNumberFormat="1" applyFont="1" applyFill="1" applyBorder="1" applyAlignment="1" applyProtection="1">
      <alignment vertical="center"/>
      <protection locked="0"/>
    </xf>
    <xf numFmtId="192" fontId="13" fillId="0" borderId="31" xfId="42" applyNumberFormat="1" applyFont="1" applyFill="1" applyBorder="1" applyAlignment="1" applyProtection="1">
      <alignment vertical="center"/>
      <protection/>
    </xf>
    <xf numFmtId="184" fontId="13" fillId="0" borderId="12" xfId="0" applyNumberFormat="1" applyFont="1" applyFill="1" applyBorder="1" applyAlignment="1" applyProtection="1">
      <alignment horizontal="center" vertical="center"/>
      <protection locked="0"/>
    </xf>
    <xf numFmtId="0" fontId="13" fillId="0" borderId="12" xfId="0" applyFont="1" applyFill="1" applyBorder="1" applyAlignment="1">
      <alignment horizontal="left" vertical="center"/>
    </xf>
    <xf numFmtId="192" fontId="13" fillId="0" borderId="13" xfId="57" applyNumberFormat="1" applyFont="1" applyFill="1" applyBorder="1" applyAlignment="1" applyProtection="1">
      <alignment vertical="center"/>
      <protection/>
    </xf>
    <xf numFmtId="0" fontId="22" fillId="0" borderId="39" xfId="0" applyFont="1" applyFill="1" applyBorder="1" applyAlignment="1" applyProtection="1">
      <alignment horizontal="right" vertical="center"/>
      <protection/>
    </xf>
    <xf numFmtId="49" fontId="13" fillId="0" borderId="17" xfId="0" applyNumberFormat="1" applyFont="1" applyFill="1" applyBorder="1" applyAlignment="1" applyProtection="1">
      <alignment vertical="center"/>
      <protection locked="0"/>
    </xf>
    <xf numFmtId="0" fontId="13" fillId="0" borderId="32" xfId="0" applyFont="1" applyFill="1" applyBorder="1" applyAlignment="1" applyProtection="1">
      <alignment horizontal="left" vertical="center"/>
      <protection locked="0"/>
    </xf>
    <xf numFmtId="184" fontId="13" fillId="0" borderId="12" xfId="0" applyNumberFormat="1"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3" fillId="0" borderId="12" xfId="0" applyFont="1" applyFill="1" applyBorder="1" applyAlignment="1" applyProtection="1">
      <alignment horizontal="center" vertical="center"/>
      <protection locked="0"/>
    </xf>
    <xf numFmtId="0" fontId="22" fillId="0" borderId="40" xfId="0" applyFont="1" applyFill="1" applyBorder="1" applyAlignment="1">
      <alignment horizontal="right" vertical="center"/>
    </xf>
    <xf numFmtId="0" fontId="16" fillId="0" borderId="37" xfId="0" applyFont="1" applyFill="1" applyBorder="1" applyAlignment="1">
      <alignment/>
    </xf>
    <xf numFmtId="0" fontId="46"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41" xfId="0" applyNumberFormat="1" applyFont="1" applyFill="1" applyBorder="1" applyAlignment="1" applyProtection="1">
      <alignment horizontal="center" vertical="center" wrapText="1"/>
      <protection/>
    </xf>
    <xf numFmtId="181" fontId="25" fillId="0" borderId="42" xfId="0" applyNumberFormat="1" applyFont="1" applyFill="1" applyBorder="1" applyAlignment="1" applyProtection="1">
      <alignment horizontal="center" vertical="center" wrapText="1"/>
      <protection/>
    </xf>
    <xf numFmtId="0" fontId="25" fillId="0" borderId="4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xf>
    <xf numFmtId="171" fontId="25" fillId="0" borderId="41" xfId="42" applyFont="1" applyFill="1" applyBorder="1" applyAlignment="1" applyProtection="1">
      <alignment horizontal="center" vertical="center" wrapText="1"/>
      <protection/>
    </xf>
    <xf numFmtId="0" fontId="25" fillId="0" borderId="41" xfId="0" applyFont="1" applyFill="1" applyBorder="1" applyAlignment="1" applyProtection="1">
      <alignment horizontal="center" vertical="center" wrapText="1"/>
      <protection/>
    </xf>
    <xf numFmtId="0" fontId="25" fillId="0" borderId="43" xfId="0" applyNumberFormat="1" applyFont="1" applyFill="1" applyBorder="1" applyAlignment="1" applyProtection="1">
      <alignment horizontal="center" vertical="center" wrapText="1"/>
      <protection/>
    </xf>
    <xf numFmtId="0" fontId="27" fillId="0" borderId="44" xfId="0" applyFont="1" applyBorder="1" applyAlignment="1">
      <alignment horizontal="center" vertical="center" wrapText="1"/>
    </xf>
    <xf numFmtId="4" fontId="25" fillId="0" borderId="41" xfId="0" applyNumberFormat="1" applyFont="1" applyFill="1" applyBorder="1" applyAlignment="1" applyProtection="1">
      <alignment horizontal="center" vertical="center" wrapText="1"/>
      <protection/>
    </xf>
    <xf numFmtId="184" fontId="25" fillId="0" borderId="41" xfId="0" applyNumberFormat="1" applyFont="1" applyFill="1" applyBorder="1" applyAlignment="1" applyProtection="1">
      <alignment horizontal="center" vertical="center" wrapText="1"/>
      <protection/>
    </xf>
    <xf numFmtId="184" fontId="27" fillId="0" borderId="11" xfId="0" applyNumberFormat="1" applyFont="1" applyBorder="1" applyAlignment="1">
      <alignment horizontal="center" vertical="center"/>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22" xfId="0" applyFont="1" applyFill="1" applyBorder="1" applyAlignment="1">
      <alignment horizontal="right" vertical="center"/>
    </xf>
    <xf numFmtId="0" fontId="31" fillId="0" borderId="45" xfId="0" applyFont="1" applyBorder="1" applyAlignment="1">
      <alignment horizontal="right" vertical="center"/>
    </xf>
    <xf numFmtId="0" fontId="30"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18" fillId="0" borderId="0" xfId="0" applyFont="1" applyBorder="1" applyAlignment="1" applyProtection="1">
      <alignment horizontal="right" vertical="center" wrapText="1"/>
      <protection locked="0"/>
    </xf>
    <xf numFmtId="0" fontId="25" fillId="0" borderId="44" xfId="0" applyNumberFormat="1" applyFont="1" applyFill="1" applyBorder="1" applyAlignment="1" applyProtection="1">
      <alignment horizontal="center" vertical="center" wrapText="1"/>
      <protection/>
    </xf>
    <xf numFmtId="0" fontId="25" fillId="0" borderId="46" xfId="0" applyNumberFormat="1" applyFont="1" applyFill="1" applyBorder="1" applyAlignment="1" applyProtection="1">
      <alignment horizontal="center" vertical="center" wrapText="1"/>
      <protection/>
    </xf>
    <xf numFmtId="0" fontId="25" fillId="0" borderId="47" xfId="0" applyNumberFormat="1" applyFont="1" applyFill="1" applyBorder="1" applyAlignment="1" applyProtection="1">
      <alignment horizontal="center" vertical="center" wrapText="1"/>
      <protection/>
    </xf>
    <xf numFmtId="192" fontId="25" fillId="0" borderId="48" xfId="0" applyNumberFormat="1" applyFont="1" applyFill="1" applyBorder="1" applyAlignment="1" applyProtection="1">
      <alignment horizontal="center" vertical="center" wrapText="1"/>
      <protection/>
    </xf>
    <xf numFmtId="192" fontId="25" fillId="0" borderId="49" xfId="0" applyNumberFormat="1" applyFont="1" applyFill="1" applyBorder="1" applyAlignment="1" applyProtection="1">
      <alignment horizontal="center" vertical="center" wrapText="1"/>
      <protection/>
    </xf>
    <xf numFmtId="0" fontId="7" fillId="36" borderId="40" xfId="0" applyFont="1" applyFill="1" applyBorder="1" applyAlignment="1">
      <alignment horizontal="center" vertical="center" wrapText="1"/>
    </xf>
    <xf numFmtId="0" fontId="25" fillId="0" borderId="43" xfId="0" applyNumberFormat="1" applyFont="1" applyFill="1" applyBorder="1" applyAlignment="1">
      <alignment horizontal="center" vertical="center" wrapText="1"/>
    </xf>
    <xf numFmtId="0" fontId="25" fillId="0" borderId="44" xfId="0" applyNumberFormat="1" applyFont="1" applyFill="1" applyBorder="1" applyAlignment="1">
      <alignment horizontal="center" vertical="center" wrapText="1"/>
    </xf>
    <xf numFmtId="0" fontId="15" fillId="33" borderId="12" xfId="0" applyFont="1" applyFill="1" applyBorder="1" applyAlignment="1">
      <alignment horizontal="center" vertical="center"/>
    </xf>
    <xf numFmtId="0" fontId="10"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42" fillId="0" borderId="41" xfId="0" applyNumberFormat="1" applyFont="1" applyFill="1" applyBorder="1" applyAlignment="1" applyProtection="1">
      <alignment horizontal="center" vertical="center" wrapText="1"/>
      <protection/>
    </xf>
    <xf numFmtId="0" fontId="11" fillId="0" borderId="35" xfId="0" applyFont="1" applyBorder="1" applyAlignment="1">
      <alignment horizontal="center" vertical="center"/>
    </xf>
    <xf numFmtId="0" fontId="42" fillId="0" borderId="43" xfId="0" applyNumberFormat="1" applyFont="1" applyFill="1" applyBorder="1" applyAlignment="1" applyProtection="1">
      <alignment horizontal="center" vertical="center" wrapText="1"/>
      <protection/>
    </xf>
    <xf numFmtId="0" fontId="11" fillId="0" borderId="50" xfId="0" applyFont="1" applyBorder="1" applyAlignment="1">
      <alignment horizontal="center" vertical="center" wrapText="1"/>
    </xf>
    <xf numFmtId="4" fontId="42" fillId="0" borderId="41" xfId="0" applyNumberFormat="1" applyFont="1" applyFill="1" applyBorder="1" applyAlignment="1" applyProtection="1">
      <alignment horizontal="center" vertical="center" wrapText="1"/>
      <protection/>
    </xf>
    <xf numFmtId="181" fontId="42" fillId="0" borderId="41" xfId="0" applyNumberFormat="1" applyFont="1" applyFill="1" applyBorder="1" applyAlignment="1" applyProtection="1">
      <alignment horizontal="center" vertical="center" wrapText="1"/>
      <protection/>
    </xf>
    <xf numFmtId="181" fontId="42" fillId="0" borderId="42" xfId="0" applyNumberFormat="1" applyFont="1" applyFill="1" applyBorder="1" applyAlignment="1" applyProtection="1">
      <alignment horizontal="center" vertical="center" wrapText="1"/>
      <protection/>
    </xf>
    <xf numFmtId="0" fontId="42" fillId="0" borderId="41" xfId="0" applyFont="1" applyFill="1" applyBorder="1" applyAlignment="1" applyProtection="1">
      <alignment horizontal="center" vertical="center" wrapText="1"/>
      <protection/>
    </xf>
    <xf numFmtId="0" fontId="8" fillId="36" borderId="40" xfId="0" applyFont="1" applyFill="1" applyBorder="1" applyAlignment="1">
      <alignment horizontal="center" vertical="center" wrapText="1"/>
    </xf>
    <xf numFmtId="0" fontId="35" fillId="36" borderId="40" xfId="0" applyFont="1" applyFill="1" applyBorder="1" applyAlignment="1">
      <alignment vertical="center" wrapText="1"/>
    </xf>
    <xf numFmtId="0" fontId="0" fillId="36" borderId="40" xfId="0" applyFill="1" applyBorder="1" applyAlignment="1">
      <alignment wrapText="1"/>
    </xf>
    <xf numFmtId="171" fontId="42" fillId="0" borderId="51" xfId="42" applyFont="1" applyFill="1" applyBorder="1" applyAlignment="1" applyProtection="1">
      <alignment horizontal="center" vertical="center" wrapText="1"/>
      <protection/>
    </xf>
    <xf numFmtId="0" fontId="11" fillId="0" borderId="52" xfId="0" applyFont="1" applyBorder="1" applyAlignment="1">
      <alignment horizontal="center" vertical="center"/>
    </xf>
    <xf numFmtId="184" fontId="42" fillId="0" borderId="41" xfId="0" applyNumberFormat="1" applyFont="1" applyFill="1" applyBorder="1" applyAlignment="1" applyProtection="1">
      <alignment horizontal="center" vertical="center" wrapText="1"/>
      <protection/>
    </xf>
    <xf numFmtId="184" fontId="11" fillId="0" borderId="35" xfId="0" applyNumberFormat="1" applyFont="1" applyBorder="1" applyAlignment="1">
      <alignment horizontal="center" vertical="center"/>
    </xf>
    <xf numFmtId="0" fontId="29" fillId="34" borderId="0" xfId="0" applyNumberFormat="1" applyFont="1" applyFill="1" applyBorder="1" applyAlignment="1">
      <alignment horizontal="center" wrapText="1"/>
    </xf>
    <xf numFmtId="0" fontId="0" fillId="34" borderId="0" xfId="0" applyNumberFormat="1" applyFill="1" applyBorder="1" applyAlignment="1">
      <alignment horizontal="center" wrapText="1"/>
    </xf>
    <xf numFmtId="0" fontId="44" fillId="34" borderId="0" xfId="0" applyNumberFormat="1" applyFont="1" applyFill="1" applyBorder="1" applyAlignment="1">
      <alignment horizontal="center" wrapText="1"/>
    </xf>
    <xf numFmtId="0" fontId="45" fillId="34" borderId="0"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2153900" cy="10572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12</xdr:col>
      <xdr:colOff>152400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191750" y="466725"/>
          <a:ext cx="1866900"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04
</a:t>
          </a:r>
          <a:r>
            <a:rPr lang="en-US" cap="none" sz="1600" b="0" i="0" u="none" baseline="0">
              <a:solidFill>
                <a:srgbClr val="FFFFFF"/>
              </a:solidFill>
              <a:latin typeface="Impact"/>
              <a:ea typeface="Impact"/>
              <a:cs typeface="Impact"/>
            </a:rPr>
            <a:t>25-31 January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133350</xdr:rowOff>
    </xdr:from>
    <xdr:to>
      <xdr:col>13</xdr:col>
      <xdr:colOff>295275</xdr:colOff>
      <xdr:row>53</xdr:row>
      <xdr:rowOff>19050</xdr:rowOff>
    </xdr:to>
    <xdr:sp>
      <xdr:nvSpPr>
        <xdr:cNvPr id="1" name="Text Box 1"/>
        <xdr:cNvSpPr txBox="1">
          <a:spLocks noChangeArrowheads="1"/>
        </xdr:cNvSpPr>
      </xdr:nvSpPr>
      <xdr:spPr>
        <a:xfrm>
          <a:off x="57150" y="2667000"/>
          <a:ext cx="5038725" cy="723900"/>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98"/>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A1" sqref="A1:IV1"/>
    </sheetView>
  </sheetViews>
  <sheetFormatPr defaultColWidth="9.140625" defaultRowHeight="12.75"/>
  <cols>
    <col min="1" max="1" width="4.00390625" style="26" bestFit="1" customWidth="1"/>
    <col min="2" max="2" width="36.28125" style="4" customWidth="1"/>
    <col min="3" max="3" width="9.8515625" style="12" bestFit="1" customWidth="1"/>
    <col min="4" max="4" width="16.140625" style="15" bestFit="1" customWidth="1"/>
    <col min="5" max="5" width="16.00390625" style="15" bestFit="1" customWidth="1"/>
    <col min="6" max="6" width="6.8515625" style="6" bestFit="1" customWidth="1"/>
    <col min="7" max="7" width="9.00390625" style="6" bestFit="1" customWidth="1"/>
    <col min="8" max="8" width="10.421875" style="6" customWidth="1"/>
    <col min="9" max="9" width="15.140625" style="115" bestFit="1" customWidth="1"/>
    <col min="10" max="10" width="10.140625" style="125" bestFit="1" customWidth="1"/>
    <col min="11" max="11" width="9.00390625" style="85" customWidth="1"/>
    <col min="12" max="12" width="7.7109375" style="22" customWidth="1"/>
    <col min="13" max="13" width="14.140625" style="119" bestFit="1" customWidth="1"/>
    <col min="14" max="14" width="10.140625" style="125" bestFit="1" customWidth="1"/>
    <col min="15" max="15" width="7.7109375" style="22" customWidth="1"/>
    <col min="16" max="16" width="2.57421875" style="56" bestFit="1" customWidth="1"/>
    <col min="17" max="16384" width="9.140625" style="4" customWidth="1"/>
  </cols>
  <sheetData>
    <row r="1" spans="1:16" s="2" customFormat="1" ht="90.75" customHeight="1">
      <c r="A1" s="25"/>
      <c r="B1" s="1"/>
      <c r="C1" s="10"/>
      <c r="D1" s="13"/>
      <c r="E1" s="13"/>
      <c r="F1" s="5"/>
      <c r="G1" s="5"/>
      <c r="H1" s="5"/>
      <c r="I1" s="111"/>
      <c r="J1" s="126"/>
      <c r="K1" s="81"/>
      <c r="L1" s="20"/>
      <c r="M1" s="117"/>
      <c r="N1" s="123"/>
      <c r="O1" s="20"/>
      <c r="P1" s="56"/>
    </row>
    <row r="2" spans="1:16" s="9" customFormat="1" ht="27.75" thickBot="1">
      <c r="A2" s="370" t="s">
        <v>79</v>
      </c>
      <c r="B2" s="371"/>
      <c r="C2" s="371"/>
      <c r="D2" s="371"/>
      <c r="E2" s="371"/>
      <c r="F2" s="371"/>
      <c r="G2" s="371"/>
      <c r="H2" s="371"/>
      <c r="I2" s="371"/>
      <c r="J2" s="371"/>
      <c r="K2" s="371"/>
      <c r="L2" s="371"/>
      <c r="M2" s="371"/>
      <c r="N2" s="371"/>
      <c r="O2" s="371"/>
      <c r="P2" s="56"/>
    </row>
    <row r="3" spans="1:16" s="185" customFormat="1" ht="16.5">
      <c r="A3" s="28"/>
      <c r="B3" s="376" t="s">
        <v>149</v>
      </c>
      <c r="C3" s="381" t="s">
        <v>150</v>
      </c>
      <c r="D3" s="377" t="s">
        <v>66</v>
      </c>
      <c r="E3" s="377" t="s">
        <v>65</v>
      </c>
      <c r="F3" s="374" t="s">
        <v>151</v>
      </c>
      <c r="G3" s="374" t="s">
        <v>158</v>
      </c>
      <c r="H3" s="378" t="s">
        <v>160</v>
      </c>
      <c r="I3" s="380" t="s">
        <v>152</v>
      </c>
      <c r="J3" s="380"/>
      <c r="K3" s="380"/>
      <c r="L3" s="380"/>
      <c r="M3" s="372" t="s">
        <v>153</v>
      </c>
      <c r="N3" s="372"/>
      <c r="O3" s="373"/>
      <c r="P3" s="184"/>
    </row>
    <row r="4" spans="1:16" s="185" customFormat="1" ht="46.5" customHeight="1" thickBot="1">
      <c r="A4" s="133"/>
      <c r="B4" s="375"/>
      <c r="C4" s="382"/>
      <c r="D4" s="375"/>
      <c r="E4" s="375"/>
      <c r="F4" s="375"/>
      <c r="G4" s="375"/>
      <c r="H4" s="379"/>
      <c r="I4" s="112" t="s">
        <v>154</v>
      </c>
      <c r="J4" s="186" t="s">
        <v>155</v>
      </c>
      <c r="K4" s="80" t="s">
        <v>46</v>
      </c>
      <c r="L4" s="61" t="s">
        <v>156</v>
      </c>
      <c r="M4" s="187" t="s">
        <v>154</v>
      </c>
      <c r="N4" s="186" t="s">
        <v>155</v>
      </c>
      <c r="O4" s="62" t="s">
        <v>157</v>
      </c>
      <c r="P4" s="184"/>
    </row>
    <row r="5" spans="1:16" s="3" customFormat="1" ht="15">
      <c r="A5" s="91">
        <v>1</v>
      </c>
      <c r="B5" s="341" t="s">
        <v>187</v>
      </c>
      <c r="C5" s="253">
        <v>39472</v>
      </c>
      <c r="D5" s="342" t="s">
        <v>67</v>
      </c>
      <c r="E5" s="343" t="s">
        <v>159</v>
      </c>
      <c r="F5" s="344">
        <v>111</v>
      </c>
      <c r="G5" s="344">
        <v>111</v>
      </c>
      <c r="H5" s="344">
        <v>1</v>
      </c>
      <c r="I5" s="345">
        <v>1551506</v>
      </c>
      <c r="J5" s="346">
        <v>185165</v>
      </c>
      <c r="K5" s="347">
        <f aca="true" t="shared" si="0" ref="K5:K13">J5/G5</f>
        <v>1668.1531531531532</v>
      </c>
      <c r="L5" s="348">
        <f>I5/J5</f>
        <v>8.379045715983041</v>
      </c>
      <c r="M5" s="349">
        <v>1551506</v>
      </c>
      <c r="N5" s="350">
        <v>185165</v>
      </c>
      <c r="O5" s="340">
        <f>+M5/N5</f>
        <v>8.379045715983041</v>
      </c>
      <c r="P5" s="328"/>
    </row>
    <row r="6" spans="1:16" s="3" customFormat="1" ht="15">
      <c r="A6" s="91">
        <v>2</v>
      </c>
      <c r="B6" s="58" t="s">
        <v>188</v>
      </c>
      <c r="C6" s="42">
        <v>39472</v>
      </c>
      <c r="D6" s="47" t="s">
        <v>68</v>
      </c>
      <c r="E6" s="95" t="s">
        <v>81</v>
      </c>
      <c r="F6" s="44">
        <v>152</v>
      </c>
      <c r="G6" s="44">
        <v>160</v>
      </c>
      <c r="H6" s="44">
        <v>1</v>
      </c>
      <c r="I6" s="255">
        <v>1400661</v>
      </c>
      <c r="J6" s="256">
        <v>173235</v>
      </c>
      <c r="K6" s="257">
        <f t="shared" si="0"/>
        <v>1082.71875</v>
      </c>
      <c r="L6" s="258">
        <f>+I6/J6</f>
        <v>8.085323404623777</v>
      </c>
      <c r="M6" s="259">
        <v>1400661</v>
      </c>
      <c r="N6" s="257">
        <v>173235</v>
      </c>
      <c r="O6" s="288">
        <f>+M6/N6</f>
        <v>8.085323404623777</v>
      </c>
      <c r="P6" s="328">
        <v>1</v>
      </c>
    </row>
    <row r="7" spans="1:16" s="3" customFormat="1" ht="15.75" thickBot="1">
      <c r="A7" s="182">
        <v>3</v>
      </c>
      <c r="B7" s="151" t="s">
        <v>32</v>
      </c>
      <c r="C7" s="183">
        <v>39458</v>
      </c>
      <c r="D7" s="290" t="s">
        <v>68</v>
      </c>
      <c r="E7" s="290" t="s">
        <v>33</v>
      </c>
      <c r="F7" s="152">
        <v>233</v>
      </c>
      <c r="G7" s="152">
        <v>230</v>
      </c>
      <c r="H7" s="152">
        <v>3</v>
      </c>
      <c r="I7" s="291">
        <v>1359509</v>
      </c>
      <c r="J7" s="292">
        <v>189136</v>
      </c>
      <c r="K7" s="293">
        <f t="shared" si="0"/>
        <v>822.3304347826087</v>
      </c>
      <c r="L7" s="294">
        <f>+I7/J7</f>
        <v>7.187996996869977</v>
      </c>
      <c r="M7" s="295">
        <v>5239800</v>
      </c>
      <c r="N7" s="293">
        <v>729621</v>
      </c>
      <c r="O7" s="358">
        <f>+M7/N7</f>
        <v>7.1815367156372965</v>
      </c>
      <c r="P7" s="328">
        <v>1</v>
      </c>
    </row>
    <row r="8" spans="1:16" s="3" customFormat="1" ht="15">
      <c r="A8" s="92">
        <v>4</v>
      </c>
      <c r="B8" s="297" t="s">
        <v>30</v>
      </c>
      <c r="C8" s="359">
        <v>39458</v>
      </c>
      <c r="D8" s="360" t="s">
        <v>69</v>
      </c>
      <c r="E8" s="360" t="s">
        <v>31</v>
      </c>
      <c r="F8" s="299">
        <v>213</v>
      </c>
      <c r="G8" s="299">
        <v>213</v>
      </c>
      <c r="H8" s="299">
        <v>3</v>
      </c>
      <c r="I8" s="300">
        <v>1095820.5</v>
      </c>
      <c r="J8" s="301">
        <v>152671</v>
      </c>
      <c r="K8" s="334">
        <f t="shared" si="0"/>
        <v>716.7652582159625</v>
      </c>
      <c r="L8" s="335">
        <f>I8/J8</f>
        <v>7.177659804416032</v>
      </c>
      <c r="M8" s="304">
        <f>427669.5+1938073+150000+1380941+1095820.5</f>
        <v>4992504</v>
      </c>
      <c r="N8" s="302">
        <f>45000+279515+20000+201794+152671</f>
        <v>698980</v>
      </c>
      <c r="O8" s="361">
        <f>M8/N8</f>
        <v>7.142556296317491</v>
      </c>
      <c r="P8" s="328">
        <v>1</v>
      </c>
    </row>
    <row r="9" spans="1:16" s="7" customFormat="1" ht="15">
      <c r="A9" s="91">
        <v>5</v>
      </c>
      <c r="B9" s="79" t="s">
        <v>189</v>
      </c>
      <c r="C9" s="42">
        <v>39472</v>
      </c>
      <c r="D9" s="49" t="s">
        <v>74</v>
      </c>
      <c r="E9" s="49" t="s">
        <v>142</v>
      </c>
      <c r="F9" s="78">
        <v>70</v>
      </c>
      <c r="G9" s="78">
        <v>69</v>
      </c>
      <c r="H9" s="78">
        <v>1</v>
      </c>
      <c r="I9" s="277">
        <v>473436</v>
      </c>
      <c r="J9" s="278">
        <v>55882</v>
      </c>
      <c r="K9" s="274">
        <f t="shared" si="0"/>
        <v>809.8840579710145</v>
      </c>
      <c r="L9" s="275">
        <f>I9/J9</f>
        <v>8.47206613936509</v>
      </c>
      <c r="M9" s="281">
        <v>473436</v>
      </c>
      <c r="N9" s="279">
        <v>55882</v>
      </c>
      <c r="O9" s="289">
        <f>M9/N9</f>
        <v>8.47206613936509</v>
      </c>
      <c r="P9" s="328"/>
    </row>
    <row r="10" spans="1:16" s="7" customFormat="1" ht="15">
      <c r="A10" s="91">
        <v>6</v>
      </c>
      <c r="B10" s="58" t="s">
        <v>166</v>
      </c>
      <c r="C10" s="43">
        <v>39465</v>
      </c>
      <c r="D10" s="95" t="s">
        <v>68</v>
      </c>
      <c r="E10" s="95" t="s">
        <v>73</v>
      </c>
      <c r="F10" s="44">
        <v>113</v>
      </c>
      <c r="G10" s="44">
        <v>112</v>
      </c>
      <c r="H10" s="44">
        <v>2</v>
      </c>
      <c r="I10" s="255">
        <v>452609</v>
      </c>
      <c r="J10" s="256">
        <v>48597</v>
      </c>
      <c r="K10" s="257">
        <f t="shared" si="0"/>
        <v>433.9017857142857</v>
      </c>
      <c r="L10" s="258">
        <f>+I10/J10</f>
        <v>9.313517295306294</v>
      </c>
      <c r="M10" s="259">
        <v>1334978</v>
      </c>
      <c r="N10" s="257">
        <v>147107</v>
      </c>
      <c r="O10" s="288">
        <f>+M10/N10</f>
        <v>9.074877470140782</v>
      </c>
      <c r="P10" s="328"/>
    </row>
    <row r="11" spans="1:16" s="7" customFormat="1" ht="15">
      <c r="A11" s="91">
        <v>7</v>
      </c>
      <c r="B11" s="58" t="s">
        <v>190</v>
      </c>
      <c r="C11" s="43">
        <v>39472</v>
      </c>
      <c r="D11" s="47" t="s">
        <v>69</v>
      </c>
      <c r="E11" s="47" t="s">
        <v>85</v>
      </c>
      <c r="F11" s="65">
        <v>58</v>
      </c>
      <c r="G11" s="44">
        <v>58</v>
      </c>
      <c r="H11" s="44">
        <v>1</v>
      </c>
      <c r="I11" s="255">
        <v>395290.5</v>
      </c>
      <c r="J11" s="256">
        <v>47426</v>
      </c>
      <c r="K11" s="274">
        <f t="shared" si="0"/>
        <v>817.6896551724138</v>
      </c>
      <c r="L11" s="275">
        <f>I11/J11</f>
        <v>8.334890144646396</v>
      </c>
      <c r="M11" s="259">
        <f>395290.5</f>
        <v>395290.5</v>
      </c>
      <c r="N11" s="257">
        <f>47426</f>
        <v>47426</v>
      </c>
      <c r="O11" s="287">
        <f>M11/N11</f>
        <v>8.334890144646396</v>
      </c>
      <c r="P11" s="328"/>
    </row>
    <row r="12" spans="1:16" s="7" customFormat="1" ht="15">
      <c r="A12" s="91">
        <v>8</v>
      </c>
      <c r="B12" s="58" t="s">
        <v>104</v>
      </c>
      <c r="C12" s="43">
        <v>39430</v>
      </c>
      <c r="D12" s="95" t="s">
        <v>68</v>
      </c>
      <c r="E12" s="95" t="s">
        <v>78</v>
      </c>
      <c r="F12" s="44">
        <v>242</v>
      </c>
      <c r="G12" s="44">
        <v>185</v>
      </c>
      <c r="H12" s="44">
        <v>7</v>
      </c>
      <c r="I12" s="255">
        <v>299093</v>
      </c>
      <c r="J12" s="256">
        <v>42918</v>
      </c>
      <c r="K12" s="257">
        <f t="shared" si="0"/>
        <v>231.98918918918918</v>
      </c>
      <c r="L12" s="258">
        <f>+I12/J12</f>
        <v>6.9689407707721704</v>
      </c>
      <c r="M12" s="259">
        <v>15148054</v>
      </c>
      <c r="N12" s="257">
        <v>1961195</v>
      </c>
      <c r="O12" s="288">
        <f>+M12/N12</f>
        <v>7.7238897712874035</v>
      </c>
      <c r="P12" s="328">
        <v>1</v>
      </c>
    </row>
    <row r="13" spans="1:16" s="7" customFormat="1" ht="15">
      <c r="A13" s="91">
        <v>9</v>
      </c>
      <c r="B13" s="58" t="s">
        <v>15</v>
      </c>
      <c r="C13" s="42">
        <v>39451</v>
      </c>
      <c r="D13" s="95" t="s">
        <v>68</v>
      </c>
      <c r="E13" s="95" t="s">
        <v>12</v>
      </c>
      <c r="F13" s="44">
        <v>137</v>
      </c>
      <c r="G13" s="44">
        <v>101</v>
      </c>
      <c r="H13" s="44">
        <v>5</v>
      </c>
      <c r="I13" s="255">
        <v>164073</v>
      </c>
      <c r="J13" s="256">
        <v>23008</v>
      </c>
      <c r="K13" s="257">
        <f t="shared" si="0"/>
        <v>227.8019801980198</v>
      </c>
      <c r="L13" s="258">
        <f>+I13/J13</f>
        <v>7.131128303198888</v>
      </c>
      <c r="M13" s="259">
        <v>2718632</v>
      </c>
      <c r="N13" s="257">
        <v>321883</v>
      </c>
      <c r="O13" s="288">
        <f>+M13/N13</f>
        <v>8.446025419174047</v>
      </c>
      <c r="P13" s="328"/>
    </row>
    <row r="14" spans="1:16" s="7" customFormat="1" ht="15">
      <c r="A14" s="91">
        <v>10</v>
      </c>
      <c r="B14" s="57" t="s">
        <v>129</v>
      </c>
      <c r="C14" s="42">
        <v>39402</v>
      </c>
      <c r="D14" s="45" t="s">
        <v>63</v>
      </c>
      <c r="E14" s="45" t="s">
        <v>130</v>
      </c>
      <c r="F14" s="65">
        <v>165</v>
      </c>
      <c r="G14" s="65">
        <v>66</v>
      </c>
      <c r="H14" s="65">
        <v>11</v>
      </c>
      <c r="I14" s="260">
        <v>121597.5</v>
      </c>
      <c r="J14" s="261">
        <v>17959</v>
      </c>
      <c r="K14" s="262">
        <f>IF(I14&lt;&gt;0,J14/G14,"")</f>
        <v>272.1060606060606</v>
      </c>
      <c r="L14" s="263">
        <f>IF(I14&lt;&gt;0,I14/J14,"")</f>
        <v>6.770839133582048</v>
      </c>
      <c r="M14" s="264">
        <f>12736195.5+635116+336718.5+243017+121597.5</f>
        <v>14072644.5</v>
      </c>
      <c r="N14" s="257">
        <f>271934+322135+339926+262189+150199+208899+146862+92002+47008+33955+17959</f>
        <v>1893068</v>
      </c>
      <c r="O14" s="286">
        <f>IF(M14&lt;&gt;0,M14/N14,"")</f>
        <v>7.4337765468541015</v>
      </c>
      <c r="P14" s="328">
        <v>1</v>
      </c>
    </row>
    <row r="15" spans="1:16" s="7" customFormat="1" ht="15">
      <c r="A15" s="91">
        <v>11</v>
      </c>
      <c r="B15" s="58" t="s">
        <v>106</v>
      </c>
      <c r="C15" s="43">
        <v>39430</v>
      </c>
      <c r="D15" s="95" t="s">
        <v>68</v>
      </c>
      <c r="E15" s="95" t="s">
        <v>75</v>
      </c>
      <c r="F15" s="44">
        <v>137</v>
      </c>
      <c r="G15" s="44">
        <v>137</v>
      </c>
      <c r="H15" s="44">
        <v>7</v>
      </c>
      <c r="I15" s="255">
        <v>76083</v>
      </c>
      <c r="J15" s="256">
        <v>13888</v>
      </c>
      <c r="K15" s="257">
        <f>J15/G15</f>
        <v>101.37226277372262</v>
      </c>
      <c r="L15" s="258">
        <f>+I15/J15</f>
        <v>5.478326612903226</v>
      </c>
      <c r="M15" s="259">
        <v>3436598</v>
      </c>
      <c r="N15" s="257">
        <v>438616</v>
      </c>
      <c r="O15" s="288">
        <f>+M15/N15</f>
        <v>7.835094934977292</v>
      </c>
      <c r="P15" s="328"/>
    </row>
    <row r="16" spans="1:16" s="7" customFormat="1" ht="15">
      <c r="A16" s="91">
        <v>12</v>
      </c>
      <c r="B16" s="57" t="s">
        <v>167</v>
      </c>
      <c r="C16" s="42">
        <v>39465</v>
      </c>
      <c r="D16" s="45" t="s">
        <v>63</v>
      </c>
      <c r="E16" s="45" t="s">
        <v>58</v>
      </c>
      <c r="F16" s="65">
        <v>29</v>
      </c>
      <c r="G16" s="65">
        <v>29</v>
      </c>
      <c r="H16" s="65">
        <v>2</v>
      </c>
      <c r="I16" s="260">
        <v>69889.5</v>
      </c>
      <c r="J16" s="261">
        <v>6733</v>
      </c>
      <c r="K16" s="262">
        <f>IF(I16&lt;&gt;0,J16/G16,"")</f>
        <v>232.17241379310346</v>
      </c>
      <c r="L16" s="263">
        <f>IF(I16&lt;&gt;0,I16/J16,"")</f>
        <v>10.380142581315907</v>
      </c>
      <c r="M16" s="264">
        <f>126772.5+69889.5</f>
        <v>196662</v>
      </c>
      <c r="N16" s="257">
        <f>12681+6733</f>
        <v>19414</v>
      </c>
      <c r="O16" s="286">
        <f>IF(M16&lt;&gt;0,M16/N16,"")</f>
        <v>10.129906253219326</v>
      </c>
      <c r="P16" s="328"/>
    </row>
    <row r="17" spans="1:16" s="7" customFormat="1" ht="15">
      <c r="A17" s="91">
        <v>13</v>
      </c>
      <c r="B17" s="58" t="s">
        <v>191</v>
      </c>
      <c r="C17" s="43">
        <v>39472</v>
      </c>
      <c r="D17" s="47" t="s">
        <v>141</v>
      </c>
      <c r="E17" s="47" t="s">
        <v>164</v>
      </c>
      <c r="F17" s="97">
        <v>25</v>
      </c>
      <c r="G17" s="97">
        <v>25</v>
      </c>
      <c r="H17" s="97">
        <v>1</v>
      </c>
      <c r="I17" s="265">
        <v>61791.5</v>
      </c>
      <c r="J17" s="266">
        <v>8059</v>
      </c>
      <c r="K17" s="257">
        <f>J17/G17</f>
        <v>322.36</v>
      </c>
      <c r="L17" s="258">
        <f>+I17/J17</f>
        <v>7.667390495098648</v>
      </c>
      <c r="M17" s="267">
        <v>61791.5</v>
      </c>
      <c r="N17" s="268">
        <v>8059</v>
      </c>
      <c r="O17" s="288">
        <f aca="true" t="shared" si="1" ref="O17:O22">+M17/N17</f>
        <v>7.667390495098648</v>
      </c>
      <c r="P17" s="328"/>
    </row>
    <row r="18" spans="1:16" s="7" customFormat="1" ht="15">
      <c r="A18" s="91">
        <v>14</v>
      </c>
      <c r="B18" s="58" t="s">
        <v>116</v>
      </c>
      <c r="C18" s="42">
        <v>39437</v>
      </c>
      <c r="D18" s="47" t="s">
        <v>69</v>
      </c>
      <c r="E18" s="47" t="s">
        <v>117</v>
      </c>
      <c r="F18" s="44">
        <v>156</v>
      </c>
      <c r="G18" s="44">
        <v>35</v>
      </c>
      <c r="H18" s="44">
        <v>6</v>
      </c>
      <c r="I18" s="255">
        <v>56484.5</v>
      </c>
      <c r="J18" s="256">
        <v>10296</v>
      </c>
      <c r="K18" s="262">
        <f>IF(I18&lt;&gt;0,J18/G18,"")</f>
        <v>294.1714285714286</v>
      </c>
      <c r="L18" s="263">
        <f>IF(I18&lt;&gt;0,I18/J18,"")</f>
        <v>5.486062548562549</v>
      </c>
      <c r="M18" s="259">
        <f>1780127+1212579.5+721829.5+404706.5+230406+56484.5</f>
        <v>4406133</v>
      </c>
      <c r="N18" s="257">
        <f>240776+165120+97288+55998+35394+10296</f>
        <v>604872</v>
      </c>
      <c r="O18" s="288">
        <f t="shared" si="1"/>
        <v>7.284405626314328</v>
      </c>
      <c r="P18" s="328">
        <v>1</v>
      </c>
    </row>
    <row r="19" spans="1:16" s="7" customFormat="1" ht="15">
      <c r="A19" s="91">
        <v>15</v>
      </c>
      <c r="B19" s="58" t="s">
        <v>169</v>
      </c>
      <c r="C19" s="42">
        <v>39465</v>
      </c>
      <c r="D19" s="47" t="s">
        <v>80</v>
      </c>
      <c r="E19" s="47" t="s">
        <v>209</v>
      </c>
      <c r="F19" s="44">
        <v>63</v>
      </c>
      <c r="G19" s="44">
        <v>63</v>
      </c>
      <c r="H19" s="44">
        <v>2</v>
      </c>
      <c r="I19" s="255">
        <v>41006.5</v>
      </c>
      <c r="J19" s="256">
        <v>5535</v>
      </c>
      <c r="K19" s="257">
        <f>J19/G19</f>
        <v>87.85714285714286</v>
      </c>
      <c r="L19" s="258">
        <f>+I19/J19</f>
        <v>7.408581752484191</v>
      </c>
      <c r="M19" s="259">
        <v>132583</v>
      </c>
      <c r="N19" s="257">
        <v>17359</v>
      </c>
      <c r="O19" s="288">
        <f t="shared" si="1"/>
        <v>7.637709545480731</v>
      </c>
      <c r="P19" s="328"/>
    </row>
    <row r="20" spans="1:16" s="7" customFormat="1" ht="15">
      <c r="A20" s="91">
        <v>16</v>
      </c>
      <c r="B20" s="59" t="s">
        <v>171</v>
      </c>
      <c r="C20" s="43">
        <v>39465</v>
      </c>
      <c r="D20" s="48" t="s">
        <v>141</v>
      </c>
      <c r="E20" s="48" t="s">
        <v>76</v>
      </c>
      <c r="F20" s="96">
        <v>16</v>
      </c>
      <c r="G20" s="97">
        <v>13</v>
      </c>
      <c r="H20" s="96">
        <v>2</v>
      </c>
      <c r="I20" s="265">
        <v>33520.5</v>
      </c>
      <c r="J20" s="266">
        <v>3420</v>
      </c>
      <c r="K20" s="262">
        <f>IF(I20&lt;&gt;0,J20/G20,"")</f>
        <v>263.0769230769231</v>
      </c>
      <c r="L20" s="263">
        <f>IF(I20&lt;&gt;0,I20/J20,"")</f>
        <v>9.801315789473684</v>
      </c>
      <c r="M20" s="267">
        <v>120935</v>
      </c>
      <c r="N20" s="268">
        <v>12624</v>
      </c>
      <c r="O20" s="288">
        <f t="shared" si="1"/>
        <v>9.579768694550063</v>
      </c>
      <c r="P20" s="328"/>
    </row>
    <row r="21" spans="1:16" s="7" customFormat="1" ht="15">
      <c r="A21" s="91">
        <v>17</v>
      </c>
      <c r="B21" s="64" t="s">
        <v>35</v>
      </c>
      <c r="C21" s="42">
        <v>39458</v>
      </c>
      <c r="D21" s="48" t="s">
        <v>102</v>
      </c>
      <c r="E21" s="48" t="s">
        <v>55</v>
      </c>
      <c r="F21" s="60">
        <v>8</v>
      </c>
      <c r="G21" s="60">
        <v>6</v>
      </c>
      <c r="H21" s="60">
        <v>3</v>
      </c>
      <c r="I21" s="265">
        <v>29339</v>
      </c>
      <c r="J21" s="266">
        <v>2624</v>
      </c>
      <c r="K21" s="274">
        <f>J21/G21</f>
        <v>437.3333333333333</v>
      </c>
      <c r="L21" s="275">
        <f>I21/J21</f>
        <v>11.181021341463415</v>
      </c>
      <c r="M21" s="267">
        <v>228975</v>
      </c>
      <c r="N21" s="268">
        <v>20709</v>
      </c>
      <c r="O21" s="286">
        <f t="shared" si="1"/>
        <v>11.05678690424453</v>
      </c>
      <c r="P21" s="328"/>
    </row>
    <row r="22" spans="1:16" s="7" customFormat="1" ht="15">
      <c r="A22" s="91">
        <v>18</v>
      </c>
      <c r="B22" s="64" t="s">
        <v>168</v>
      </c>
      <c r="C22" s="42">
        <v>39465</v>
      </c>
      <c r="D22" s="48" t="s">
        <v>102</v>
      </c>
      <c r="E22" s="48" t="s">
        <v>102</v>
      </c>
      <c r="F22" s="60">
        <v>16</v>
      </c>
      <c r="G22" s="60">
        <v>8</v>
      </c>
      <c r="H22" s="60">
        <v>2</v>
      </c>
      <c r="I22" s="265">
        <v>29054</v>
      </c>
      <c r="J22" s="266">
        <v>2369</v>
      </c>
      <c r="K22" s="274">
        <f>J22/G22</f>
        <v>296.125</v>
      </c>
      <c r="L22" s="275">
        <f>I22/J22</f>
        <v>12.26424651751794</v>
      </c>
      <c r="M22" s="267">
        <v>130560</v>
      </c>
      <c r="N22" s="268">
        <v>12049</v>
      </c>
      <c r="O22" s="286">
        <f t="shared" si="1"/>
        <v>10.8357540044817</v>
      </c>
      <c r="P22" s="328"/>
    </row>
    <row r="23" spans="1:16" s="7" customFormat="1" ht="15">
      <c r="A23" s="91">
        <v>19</v>
      </c>
      <c r="B23" s="58" t="s">
        <v>109</v>
      </c>
      <c r="C23" s="43">
        <v>39430</v>
      </c>
      <c r="D23" s="47" t="s">
        <v>69</v>
      </c>
      <c r="E23" s="47" t="s">
        <v>70</v>
      </c>
      <c r="F23" s="65">
        <v>64</v>
      </c>
      <c r="G23" s="44">
        <v>26</v>
      </c>
      <c r="H23" s="44">
        <v>7</v>
      </c>
      <c r="I23" s="255">
        <v>22027</v>
      </c>
      <c r="J23" s="256">
        <v>3719</v>
      </c>
      <c r="K23" s="274">
        <f>J23/G23</f>
        <v>143.03846153846155</v>
      </c>
      <c r="L23" s="275">
        <f>I23/J23</f>
        <v>5.92282871739715</v>
      </c>
      <c r="M23" s="259">
        <f>183581+192120.5+67824+23763.5+5798.5+5467+22027</f>
        <v>500581.5</v>
      </c>
      <c r="N23" s="257">
        <f>20071+21989+8620+4128+850+1010+3719</f>
        <v>60387</v>
      </c>
      <c r="O23" s="287">
        <f>M23/N23</f>
        <v>8.289557355059864</v>
      </c>
      <c r="P23" s="328"/>
    </row>
    <row r="24" spans="1:16" s="7" customFormat="1" ht="15">
      <c r="A24" s="91">
        <v>20</v>
      </c>
      <c r="B24" s="59" t="s">
        <v>172</v>
      </c>
      <c r="C24" s="42">
        <v>39465</v>
      </c>
      <c r="D24" s="48" t="s">
        <v>80</v>
      </c>
      <c r="E24" s="48" t="s">
        <v>55</v>
      </c>
      <c r="F24" s="66" t="s">
        <v>121</v>
      </c>
      <c r="G24" s="66" t="s">
        <v>121</v>
      </c>
      <c r="H24" s="66" t="s">
        <v>147</v>
      </c>
      <c r="I24" s="265">
        <v>20353</v>
      </c>
      <c r="J24" s="266">
        <v>2295</v>
      </c>
      <c r="K24" s="274">
        <f>J24/G24</f>
        <v>91.8</v>
      </c>
      <c r="L24" s="275">
        <f>I24/J24</f>
        <v>8.868409586056645</v>
      </c>
      <c r="M24" s="267">
        <v>93404.5</v>
      </c>
      <c r="N24" s="268">
        <v>10653</v>
      </c>
      <c r="O24" s="288">
        <f>+M24/N24</f>
        <v>8.76790575424763</v>
      </c>
      <c r="P24" s="328"/>
    </row>
    <row r="25" spans="1:16" s="7" customFormat="1" ht="15">
      <c r="A25" s="91">
        <v>21</v>
      </c>
      <c r="B25" s="57" t="s">
        <v>103</v>
      </c>
      <c r="C25" s="42">
        <v>39423</v>
      </c>
      <c r="D25" s="45" t="s">
        <v>63</v>
      </c>
      <c r="E25" s="45" t="s">
        <v>58</v>
      </c>
      <c r="F25" s="65">
        <v>164</v>
      </c>
      <c r="G25" s="65">
        <v>12</v>
      </c>
      <c r="H25" s="65">
        <v>8</v>
      </c>
      <c r="I25" s="260">
        <v>11389</v>
      </c>
      <c r="J25" s="261">
        <v>2112</v>
      </c>
      <c r="K25" s="262">
        <f>IF(I25&lt;&gt;0,J25/G25,"")</f>
        <v>176</v>
      </c>
      <c r="L25" s="263">
        <f>IF(I25&lt;&gt;0,I25/J25,"")</f>
        <v>5.3925189393939394</v>
      </c>
      <c r="M25" s="264">
        <f>1455428+896564.5+785700+295594.5+45815.5+11311.5+13282+11389</f>
        <v>3515085</v>
      </c>
      <c r="N25" s="257">
        <f>172176+105411+97548+39201+8243+2114+2845+2112</f>
        <v>429650</v>
      </c>
      <c r="O25" s="286">
        <f>IF(M25&lt;&gt;0,M25/N25,"")</f>
        <v>8.181275456767136</v>
      </c>
      <c r="P25" s="328"/>
    </row>
    <row r="26" spans="1:16" s="7" customFormat="1" ht="15">
      <c r="A26" s="91">
        <v>22</v>
      </c>
      <c r="B26" s="79" t="s">
        <v>16</v>
      </c>
      <c r="C26" s="63">
        <v>39451</v>
      </c>
      <c r="D26" s="88" t="s">
        <v>83</v>
      </c>
      <c r="E26" s="88" t="s">
        <v>192</v>
      </c>
      <c r="F26" s="86">
        <v>22</v>
      </c>
      <c r="G26" s="87">
        <v>14</v>
      </c>
      <c r="H26" s="87">
        <v>4</v>
      </c>
      <c r="I26" s="269">
        <v>7593.5</v>
      </c>
      <c r="J26" s="270">
        <v>1473</v>
      </c>
      <c r="K26" s="274">
        <f aca="true" t="shared" si="2" ref="K26:K32">J26/G26</f>
        <v>105.21428571428571</v>
      </c>
      <c r="L26" s="275">
        <f aca="true" t="shared" si="3" ref="L26:L32">I26/J26</f>
        <v>5.155125594025797</v>
      </c>
      <c r="M26" s="273">
        <v>290735</v>
      </c>
      <c r="N26" s="274">
        <v>30088</v>
      </c>
      <c r="O26" s="287">
        <f>M26/N26</f>
        <v>9.662822387662855</v>
      </c>
      <c r="P26" s="328"/>
    </row>
    <row r="27" spans="1:16" s="7" customFormat="1" ht="15">
      <c r="A27" s="91">
        <v>23</v>
      </c>
      <c r="B27" s="59" t="s">
        <v>37</v>
      </c>
      <c r="C27" s="43">
        <v>39458</v>
      </c>
      <c r="D27" s="48" t="s">
        <v>141</v>
      </c>
      <c r="E27" s="48" t="s">
        <v>51</v>
      </c>
      <c r="F27" s="96">
        <v>4</v>
      </c>
      <c r="G27" s="97">
        <v>3</v>
      </c>
      <c r="H27" s="96">
        <v>3</v>
      </c>
      <c r="I27" s="265">
        <v>6823</v>
      </c>
      <c r="J27" s="266">
        <v>825</v>
      </c>
      <c r="K27" s="274">
        <f t="shared" si="2"/>
        <v>275</v>
      </c>
      <c r="L27" s="275">
        <f t="shared" si="3"/>
        <v>8.27030303030303</v>
      </c>
      <c r="M27" s="267">
        <v>74047</v>
      </c>
      <c r="N27" s="268">
        <v>7788</v>
      </c>
      <c r="O27" s="288">
        <f>+M27/N27</f>
        <v>9.507832562917308</v>
      </c>
      <c r="P27" s="328"/>
    </row>
    <row r="28" spans="1:16" s="7" customFormat="1" ht="15">
      <c r="A28" s="91">
        <v>24</v>
      </c>
      <c r="B28" s="59" t="s">
        <v>193</v>
      </c>
      <c r="C28" s="43">
        <v>39213</v>
      </c>
      <c r="D28" s="48" t="s">
        <v>141</v>
      </c>
      <c r="E28" s="48" t="s">
        <v>194</v>
      </c>
      <c r="F28" s="96">
        <v>4</v>
      </c>
      <c r="G28" s="97">
        <v>3</v>
      </c>
      <c r="H28" s="96">
        <v>18</v>
      </c>
      <c r="I28" s="265">
        <v>4632</v>
      </c>
      <c r="J28" s="266">
        <v>1158</v>
      </c>
      <c r="K28" s="274">
        <f t="shared" si="2"/>
        <v>386</v>
      </c>
      <c r="L28" s="275">
        <f t="shared" si="3"/>
        <v>4</v>
      </c>
      <c r="M28" s="267">
        <v>31476.5</v>
      </c>
      <c r="N28" s="268">
        <v>5319</v>
      </c>
      <c r="O28" s="288">
        <f>+M28/N28</f>
        <v>5.917747696935514</v>
      </c>
      <c r="P28" s="328"/>
    </row>
    <row r="29" spans="1:16" s="7" customFormat="1" ht="15">
      <c r="A29" s="91">
        <v>25</v>
      </c>
      <c r="B29" s="59" t="s">
        <v>17</v>
      </c>
      <c r="C29" s="43">
        <v>39451</v>
      </c>
      <c r="D29" s="48" t="s">
        <v>141</v>
      </c>
      <c r="E29" s="48" t="s">
        <v>76</v>
      </c>
      <c r="F29" s="96">
        <v>25</v>
      </c>
      <c r="G29" s="97">
        <v>9</v>
      </c>
      <c r="H29" s="96">
        <v>4</v>
      </c>
      <c r="I29" s="265">
        <v>4339</v>
      </c>
      <c r="J29" s="266">
        <v>691</v>
      </c>
      <c r="K29" s="274">
        <f t="shared" si="2"/>
        <v>76.77777777777777</v>
      </c>
      <c r="L29" s="275">
        <f t="shared" si="3"/>
        <v>6.279305354558611</v>
      </c>
      <c r="M29" s="267">
        <v>218248.5</v>
      </c>
      <c r="N29" s="268">
        <v>24366</v>
      </c>
      <c r="O29" s="288">
        <f>+M29/N29</f>
        <v>8.957091849298202</v>
      </c>
      <c r="P29" s="328"/>
    </row>
    <row r="30" spans="1:16" s="7" customFormat="1" ht="15">
      <c r="A30" s="91">
        <v>26</v>
      </c>
      <c r="B30" s="59" t="s">
        <v>36</v>
      </c>
      <c r="C30" s="43">
        <v>39458</v>
      </c>
      <c r="D30" s="48" t="s">
        <v>141</v>
      </c>
      <c r="E30" s="48" t="s">
        <v>76</v>
      </c>
      <c r="F30" s="96">
        <v>10</v>
      </c>
      <c r="G30" s="97">
        <v>4</v>
      </c>
      <c r="H30" s="96">
        <v>3</v>
      </c>
      <c r="I30" s="265">
        <v>3958.5</v>
      </c>
      <c r="J30" s="266">
        <v>604</v>
      </c>
      <c r="K30" s="274">
        <f t="shared" si="2"/>
        <v>151</v>
      </c>
      <c r="L30" s="275">
        <f t="shared" si="3"/>
        <v>6.553807947019868</v>
      </c>
      <c r="M30" s="267">
        <v>93101.5</v>
      </c>
      <c r="N30" s="268">
        <v>9769</v>
      </c>
      <c r="O30" s="288">
        <f>+M30/N30</f>
        <v>9.530299928344764</v>
      </c>
      <c r="P30" s="328"/>
    </row>
    <row r="31" spans="1:16" s="7" customFormat="1" ht="15">
      <c r="A31" s="91">
        <v>27</v>
      </c>
      <c r="B31" s="58" t="s">
        <v>132</v>
      </c>
      <c r="C31" s="43">
        <v>39402</v>
      </c>
      <c r="D31" s="47" t="s">
        <v>69</v>
      </c>
      <c r="E31" s="47" t="s">
        <v>101</v>
      </c>
      <c r="F31" s="65">
        <v>125</v>
      </c>
      <c r="G31" s="44">
        <v>2</v>
      </c>
      <c r="H31" s="44">
        <v>11</v>
      </c>
      <c r="I31" s="255">
        <v>3839.5</v>
      </c>
      <c r="J31" s="256">
        <v>898</v>
      </c>
      <c r="K31" s="274">
        <f t="shared" si="2"/>
        <v>449</v>
      </c>
      <c r="L31" s="275">
        <f t="shared" si="3"/>
        <v>4.275612472160357</v>
      </c>
      <c r="M31" s="259">
        <f>676439.5+554539.5+408532.5+265092+4+63975.5-30+36417+32233.5+29355.5+9292+4684+3839.75</f>
        <v>2084374.75</v>
      </c>
      <c r="N31" s="257">
        <f>91933+76364+57186+39863+2+10711+6714+6020+5300+2353+1269+898</f>
        <v>298613</v>
      </c>
      <c r="O31" s="287">
        <f>M31/N31</f>
        <v>6.980187567185622</v>
      </c>
      <c r="P31" s="328">
        <v>1</v>
      </c>
    </row>
    <row r="32" spans="1:16" s="7" customFormat="1" ht="15">
      <c r="A32" s="91">
        <v>28</v>
      </c>
      <c r="B32" s="57" t="s">
        <v>98</v>
      </c>
      <c r="C32" s="42">
        <v>39416</v>
      </c>
      <c r="D32" s="46" t="s">
        <v>67</v>
      </c>
      <c r="E32" s="45" t="s">
        <v>159</v>
      </c>
      <c r="F32" s="65">
        <v>123</v>
      </c>
      <c r="G32" s="65">
        <v>8</v>
      </c>
      <c r="H32" s="65">
        <v>9</v>
      </c>
      <c r="I32" s="265">
        <v>3403</v>
      </c>
      <c r="J32" s="266">
        <v>686</v>
      </c>
      <c r="K32" s="274">
        <f t="shared" si="2"/>
        <v>85.75</v>
      </c>
      <c r="L32" s="275">
        <f t="shared" si="3"/>
        <v>4.960641399416909</v>
      </c>
      <c r="M32" s="267">
        <f>155416+1136619+622980+528056+225392+174199+84508+58425+34257+3403</f>
        <v>3023255</v>
      </c>
      <c r="N32" s="268">
        <f>12079+122083+66530+52286+18245+17821+7913+4333+2998+686</f>
        <v>304974</v>
      </c>
      <c r="O32" s="288">
        <f>+M32/N32</f>
        <v>9.913156531376446</v>
      </c>
      <c r="P32" s="328"/>
    </row>
    <row r="33" spans="1:16" s="7" customFormat="1" ht="15">
      <c r="A33" s="91">
        <v>29</v>
      </c>
      <c r="B33" s="57" t="s">
        <v>126</v>
      </c>
      <c r="C33" s="42">
        <v>39381</v>
      </c>
      <c r="D33" s="45" t="s">
        <v>63</v>
      </c>
      <c r="E33" s="45" t="s">
        <v>162</v>
      </c>
      <c r="F33" s="65">
        <v>91</v>
      </c>
      <c r="G33" s="65">
        <v>2</v>
      </c>
      <c r="H33" s="65">
        <v>14</v>
      </c>
      <c r="I33" s="260">
        <v>3214</v>
      </c>
      <c r="J33" s="261">
        <v>690</v>
      </c>
      <c r="K33" s="262">
        <f>IF(I33&lt;&gt;0,J33/G33,"")</f>
        <v>345</v>
      </c>
      <c r="L33" s="263">
        <f>IF(I33&lt;&gt;0,I33/J33,"")</f>
        <v>4.6579710144927535</v>
      </c>
      <c r="M33" s="264">
        <f>964543+666618+447582+156310.5+90863+70894+37352.5+3350+1874+714.5+4126+4390+3896+3214</f>
        <v>2455727.5</v>
      </c>
      <c r="N33" s="257">
        <f>104009+73251+49929+20007+15751+12767+7228+691+416+233+781+895+779+690</f>
        <v>287427</v>
      </c>
      <c r="O33" s="286">
        <f>IF(M33&lt;&gt;0,M33/N33,"")</f>
        <v>8.54383025950937</v>
      </c>
      <c r="P33" s="328"/>
    </row>
    <row r="34" spans="1:16" s="7" customFormat="1" ht="15">
      <c r="A34" s="91">
        <v>30</v>
      </c>
      <c r="B34" s="58" t="s">
        <v>13</v>
      </c>
      <c r="C34" s="43">
        <v>39395</v>
      </c>
      <c r="D34" s="47" t="s">
        <v>69</v>
      </c>
      <c r="E34" s="47" t="s">
        <v>70</v>
      </c>
      <c r="F34" s="44">
        <v>35</v>
      </c>
      <c r="G34" s="44">
        <v>2</v>
      </c>
      <c r="H34" s="44">
        <v>11</v>
      </c>
      <c r="I34" s="255">
        <v>2857</v>
      </c>
      <c r="J34" s="256">
        <v>716</v>
      </c>
      <c r="K34" s="274">
        <f aca="true" t="shared" si="4" ref="K34:K42">J34/G34</f>
        <v>358</v>
      </c>
      <c r="L34" s="275">
        <f>I34/J34</f>
        <v>3.9902234636871508</v>
      </c>
      <c r="M34" s="259">
        <f>310876.5+189449.5+81911+30301+17300.5+2478+1808+1661.5+1269+1934+2857</f>
        <v>641846</v>
      </c>
      <c r="N34" s="257">
        <f>27485+16830+7465+3781+3026+485+290+393+249+683+716</f>
        <v>61403</v>
      </c>
      <c r="O34" s="287">
        <f>M34/N34</f>
        <v>10.453007182059508</v>
      </c>
      <c r="P34" s="328"/>
    </row>
    <row r="35" spans="1:16" s="7" customFormat="1" ht="15">
      <c r="A35" s="91">
        <v>31</v>
      </c>
      <c r="B35" s="57" t="s">
        <v>3</v>
      </c>
      <c r="C35" s="42">
        <v>39444</v>
      </c>
      <c r="D35" s="46" t="s">
        <v>67</v>
      </c>
      <c r="E35" s="45" t="s">
        <v>78</v>
      </c>
      <c r="F35" s="65">
        <v>60</v>
      </c>
      <c r="G35" s="65">
        <v>5</v>
      </c>
      <c r="H35" s="65">
        <v>5</v>
      </c>
      <c r="I35" s="265">
        <v>2520</v>
      </c>
      <c r="J35" s="266">
        <v>434</v>
      </c>
      <c r="K35" s="274">
        <f t="shared" si="4"/>
        <v>86.8</v>
      </c>
      <c r="L35" s="275">
        <f>I35/J35</f>
        <v>5.806451612903226</v>
      </c>
      <c r="M35" s="267">
        <f>211429+90759+13033+2807+2520</f>
        <v>320548</v>
      </c>
      <c r="N35" s="268">
        <f>22982+9879+1560+450+434</f>
        <v>35305</v>
      </c>
      <c r="O35" s="288">
        <f>+M35/N35</f>
        <v>9.079393853561818</v>
      </c>
      <c r="P35" s="328"/>
    </row>
    <row r="36" spans="1:16" s="7" customFormat="1" ht="15">
      <c r="A36" s="91">
        <v>32</v>
      </c>
      <c r="B36" s="57" t="s">
        <v>135</v>
      </c>
      <c r="C36" s="42">
        <v>39402</v>
      </c>
      <c r="D36" s="46" t="s">
        <v>67</v>
      </c>
      <c r="E36" s="45" t="s">
        <v>78</v>
      </c>
      <c r="F36" s="65">
        <v>64</v>
      </c>
      <c r="G36" s="65">
        <v>4</v>
      </c>
      <c r="H36" s="65">
        <v>11</v>
      </c>
      <c r="I36" s="265">
        <v>2264</v>
      </c>
      <c r="J36" s="266">
        <v>375</v>
      </c>
      <c r="K36" s="274">
        <f t="shared" si="4"/>
        <v>93.75</v>
      </c>
      <c r="L36" s="275">
        <f>I36/J36</f>
        <v>6.037333333333334</v>
      </c>
      <c r="M36" s="267">
        <f>299858+213967+97347+22667+8568+16509+4053+3337+284+4988+2264</f>
        <v>673842</v>
      </c>
      <c r="N36" s="268">
        <f>33225+24189+12517+4002+2479+2973+867+358+35+802+375</f>
        <v>81822</v>
      </c>
      <c r="O36" s="288">
        <f>+M36/N36</f>
        <v>8.235462345090562</v>
      </c>
      <c r="P36" s="328"/>
    </row>
    <row r="37" spans="1:16" s="7" customFormat="1" ht="15">
      <c r="A37" s="91">
        <v>33</v>
      </c>
      <c r="B37" s="58" t="s">
        <v>110</v>
      </c>
      <c r="C37" s="43">
        <v>39430</v>
      </c>
      <c r="D37" s="47" t="s">
        <v>69</v>
      </c>
      <c r="E37" s="47" t="s">
        <v>111</v>
      </c>
      <c r="F37" s="44">
        <v>43</v>
      </c>
      <c r="G37" s="44">
        <v>8</v>
      </c>
      <c r="H37" s="44">
        <v>7</v>
      </c>
      <c r="I37" s="255">
        <v>2247</v>
      </c>
      <c r="J37" s="256">
        <v>461</v>
      </c>
      <c r="K37" s="274">
        <f t="shared" si="4"/>
        <v>57.625</v>
      </c>
      <c r="L37" s="275">
        <f>I37/J37</f>
        <v>4.874186550976138</v>
      </c>
      <c r="M37" s="259">
        <f>43240+25728.5+5226.5+5207.5+50+1692+2247</f>
        <v>83391.5</v>
      </c>
      <c r="N37" s="257">
        <f>5272+3593+870+1171+5+336+461</f>
        <v>11708</v>
      </c>
      <c r="O37" s="287">
        <f>M37/N37</f>
        <v>7.122608472839085</v>
      </c>
      <c r="P37" s="328">
        <v>1</v>
      </c>
    </row>
    <row r="38" spans="1:16" s="7" customFormat="1" ht="15">
      <c r="A38" s="91">
        <v>34</v>
      </c>
      <c r="B38" s="58" t="s">
        <v>93</v>
      </c>
      <c r="C38" s="43">
        <v>39416</v>
      </c>
      <c r="D38" s="47" t="s">
        <v>69</v>
      </c>
      <c r="E38" s="47" t="s">
        <v>124</v>
      </c>
      <c r="F38" s="44">
        <v>20</v>
      </c>
      <c r="G38" s="44">
        <v>1</v>
      </c>
      <c r="H38" s="44">
        <v>9</v>
      </c>
      <c r="I38" s="255">
        <v>2244</v>
      </c>
      <c r="J38" s="256">
        <v>253</v>
      </c>
      <c r="K38" s="274">
        <f t="shared" si="4"/>
        <v>253</v>
      </c>
      <c r="L38" s="275">
        <f>I38/J38</f>
        <v>8.869565217391305</v>
      </c>
      <c r="M38" s="259">
        <f>75692.5+51302+12584.5+2036+2909.5+3347+4240.5+2626.5+2244</f>
        <v>156982.5</v>
      </c>
      <c r="N38" s="257">
        <f>7291+5230+1727+233+363+396+496+298+253</f>
        <v>16287</v>
      </c>
      <c r="O38" s="287">
        <f>M38/N38</f>
        <v>9.638515380364709</v>
      </c>
      <c r="P38" s="328"/>
    </row>
    <row r="39" spans="1:16" s="7" customFormat="1" ht="15">
      <c r="A39" s="91">
        <v>35</v>
      </c>
      <c r="B39" s="58" t="s">
        <v>118</v>
      </c>
      <c r="C39" s="42">
        <v>39437</v>
      </c>
      <c r="D39" s="95" t="s">
        <v>68</v>
      </c>
      <c r="E39" s="95" t="s">
        <v>71</v>
      </c>
      <c r="F39" s="44">
        <v>105</v>
      </c>
      <c r="G39" s="44">
        <v>3</v>
      </c>
      <c r="H39" s="44">
        <v>6</v>
      </c>
      <c r="I39" s="255">
        <v>2159</v>
      </c>
      <c r="J39" s="256">
        <v>392</v>
      </c>
      <c r="K39" s="257">
        <f t="shared" si="4"/>
        <v>130.66666666666666</v>
      </c>
      <c r="L39" s="258">
        <f>+I39/J39</f>
        <v>5.50765306122449</v>
      </c>
      <c r="M39" s="259">
        <v>711477</v>
      </c>
      <c r="N39" s="257">
        <v>81646</v>
      </c>
      <c r="O39" s="288">
        <f>+M39/N39</f>
        <v>8.714168483452955</v>
      </c>
      <c r="P39" s="328"/>
    </row>
    <row r="40" spans="1:16" s="7" customFormat="1" ht="15">
      <c r="A40" s="91">
        <v>36</v>
      </c>
      <c r="B40" s="59" t="s">
        <v>107</v>
      </c>
      <c r="C40" s="42">
        <v>39430</v>
      </c>
      <c r="D40" s="48" t="s">
        <v>148</v>
      </c>
      <c r="E40" s="48" t="s">
        <v>5</v>
      </c>
      <c r="F40" s="66" t="s">
        <v>108</v>
      </c>
      <c r="G40" s="66" t="s">
        <v>144</v>
      </c>
      <c r="H40" s="66" t="s">
        <v>38</v>
      </c>
      <c r="I40" s="265">
        <v>1974</v>
      </c>
      <c r="J40" s="266">
        <v>390</v>
      </c>
      <c r="K40" s="274">
        <f t="shared" si="4"/>
        <v>78</v>
      </c>
      <c r="L40" s="275">
        <f>I40/J40</f>
        <v>5.061538461538461</v>
      </c>
      <c r="M40" s="267">
        <v>1227657.44</v>
      </c>
      <c r="N40" s="268">
        <v>156725</v>
      </c>
      <c r="O40" s="288">
        <f>+M40/N40</f>
        <v>7.833194704099537</v>
      </c>
      <c r="P40" s="328">
        <v>1</v>
      </c>
    </row>
    <row r="41" spans="1:16" s="7" customFormat="1" ht="15">
      <c r="A41" s="91">
        <v>37</v>
      </c>
      <c r="B41" s="79" t="s">
        <v>92</v>
      </c>
      <c r="C41" s="63">
        <v>39416</v>
      </c>
      <c r="D41" s="88" t="s">
        <v>83</v>
      </c>
      <c r="E41" s="88" t="s">
        <v>61</v>
      </c>
      <c r="F41" s="86">
        <v>45</v>
      </c>
      <c r="G41" s="87">
        <v>5</v>
      </c>
      <c r="H41" s="87">
        <v>9</v>
      </c>
      <c r="I41" s="269">
        <v>1728</v>
      </c>
      <c r="J41" s="270">
        <v>347</v>
      </c>
      <c r="K41" s="274">
        <f t="shared" si="4"/>
        <v>69.4</v>
      </c>
      <c r="L41" s="275">
        <f>I41/J41</f>
        <v>4.979827089337176</v>
      </c>
      <c r="M41" s="273">
        <v>174465.5</v>
      </c>
      <c r="N41" s="282">
        <v>25491</v>
      </c>
      <c r="O41" s="287">
        <f>M41/N41</f>
        <v>6.84419991369503</v>
      </c>
      <c r="P41" s="328"/>
    </row>
    <row r="42" spans="1:16" s="7" customFormat="1" ht="15">
      <c r="A42" s="91">
        <v>38</v>
      </c>
      <c r="B42" s="59" t="s">
        <v>90</v>
      </c>
      <c r="C42" s="42">
        <v>39416</v>
      </c>
      <c r="D42" s="48" t="s">
        <v>80</v>
      </c>
      <c r="E42" s="48" t="s">
        <v>55</v>
      </c>
      <c r="F42" s="66" t="s">
        <v>91</v>
      </c>
      <c r="G42" s="66" t="s">
        <v>147</v>
      </c>
      <c r="H42" s="66" t="s">
        <v>53</v>
      </c>
      <c r="I42" s="265">
        <v>1304.99</v>
      </c>
      <c r="J42" s="266">
        <v>185</v>
      </c>
      <c r="K42" s="274">
        <f t="shared" si="4"/>
        <v>92.5</v>
      </c>
      <c r="L42" s="275">
        <f>I42/J42</f>
        <v>7.054</v>
      </c>
      <c r="M42" s="267">
        <v>260173.99</v>
      </c>
      <c r="N42" s="268">
        <v>27784</v>
      </c>
      <c r="O42" s="288">
        <v>9.38</v>
      </c>
      <c r="P42" s="328"/>
    </row>
    <row r="43" spans="1:16" s="7" customFormat="1" ht="15">
      <c r="A43" s="91">
        <v>39</v>
      </c>
      <c r="B43" s="57" t="s">
        <v>195</v>
      </c>
      <c r="C43" s="42">
        <v>39374</v>
      </c>
      <c r="D43" s="45" t="s">
        <v>63</v>
      </c>
      <c r="E43" s="45" t="s">
        <v>77</v>
      </c>
      <c r="F43" s="65">
        <v>86</v>
      </c>
      <c r="G43" s="65">
        <v>2</v>
      </c>
      <c r="H43" s="65">
        <v>10</v>
      </c>
      <c r="I43" s="260">
        <v>1210</v>
      </c>
      <c r="J43" s="261">
        <v>272</v>
      </c>
      <c r="K43" s="262">
        <f>IF(I43&lt;&gt;0,J43/G43,"")</f>
        <v>136</v>
      </c>
      <c r="L43" s="263">
        <f>IF(I43&lt;&gt;0,I43/J43,"")</f>
        <v>4.448529411764706</v>
      </c>
      <c r="M43" s="264">
        <v>333964</v>
      </c>
      <c r="N43" s="257">
        <v>46724</v>
      </c>
      <c r="O43" s="286">
        <f>IF(M43&lt;&gt;0,M43/N43,"")</f>
        <v>7.147590103587022</v>
      </c>
      <c r="P43" s="328"/>
    </row>
    <row r="44" spans="1:16" s="7" customFormat="1" ht="15">
      <c r="A44" s="91">
        <v>40</v>
      </c>
      <c r="B44" s="59" t="s">
        <v>196</v>
      </c>
      <c r="C44" s="42">
        <v>39395</v>
      </c>
      <c r="D44" s="48" t="s">
        <v>148</v>
      </c>
      <c r="E44" s="48" t="s">
        <v>197</v>
      </c>
      <c r="F44" s="66" t="s">
        <v>198</v>
      </c>
      <c r="G44" s="66" t="s">
        <v>140</v>
      </c>
      <c r="H44" s="66" t="s">
        <v>53</v>
      </c>
      <c r="I44" s="265">
        <v>1188</v>
      </c>
      <c r="J44" s="266">
        <v>396</v>
      </c>
      <c r="K44" s="274">
        <f aca="true" t="shared" si="5" ref="K44:K62">J44/G44</f>
        <v>396</v>
      </c>
      <c r="L44" s="275">
        <f aca="true" t="shared" si="6" ref="L44:L51">I44/J44</f>
        <v>3</v>
      </c>
      <c r="M44" s="267">
        <v>271632</v>
      </c>
      <c r="N44" s="268">
        <v>34018</v>
      </c>
      <c r="O44" s="288">
        <f>+M44/N44</f>
        <v>7.984949144570521</v>
      </c>
      <c r="P44" s="328">
        <v>1</v>
      </c>
    </row>
    <row r="45" spans="1:16" s="7" customFormat="1" ht="15">
      <c r="A45" s="91">
        <v>41</v>
      </c>
      <c r="B45" s="58" t="s">
        <v>100</v>
      </c>
      <c r="C45" s="43">
        <v>39423</v>
      </c>
      <c r="D45" s="47" t="s">
        <v>69</v>
      </c>
      <c r="E45" s="47" t="s">
        <v>70</v>
      </c>
      <c r="F45" s="44">
        <v>40</v>
      </c>
      <c r="G45" s="44">
        <v>2</v>
      </c>
      <c r="H45" s="44">
        <v>8</v>
      </c>
      <c r="I45" s="255">
        <v>1105</v>
      </c>
      <c r="J45" s="256">
        <v>221</v>
      </c>
      <c r="K45" s="274">
        <f t="shared" si="5"/>
        <v>110.5</v>
      </c>
      <c r="L45" s="275">
        <f t="shared" si="6"/>
        <v>5</v>
      </c>
      <c r="M45" s="259">
        <f>337397.5+246059+95618.5+43492.5+31631.5+2705+4609+1105</f>
        <v>762618</v>
      </c>
      <c r="N45" s="257">
        <f>35596+24953+11024+7059+5745+543+908+221</f>
        <v>86049</v>
      </c>
      <c r="O45" s="287">
        <f>M45/N45</f>
        <v>8.862601540982464</v>
      </c>
      <c r="P45" s="328"/>
    </row>
    <row r="46" spans="1:16" s="7" customFormat="1" ht="15">
      <c r="A46" s="91">
        <v>42</v>
      </c>
      <c r="B46" s="58" t="s">
        <v>24</v>
      </c>
      <c r="C46" s="43">
        <v>39444</v>
      </c>
      <c r="D46" s="47" t="s">
        <v>69</v>
      </c>
      <c r="E46" s="47" t="s">
        <v>7</v>
      </c>
      <c r="F46" s="65">
        <v>10</v>
      </c>
      <c r="G46" s="44">
        <v>3</v>
      </c>
      <c r="H46" s="44">
        <v>3</v>
      </c>
      <c r="I46" s="255">
        <v>1013.5</v>
      </c>
      <c r="J46" s="256">
        <v>157</v>
      </c>
      <c r="K46" s="274">
        <f t="shared" si="5"/>
        <v>52.333333333333336</v>
      </c>
      <c r="L46" s="275">
        <f t="shared" si="6"/>
        <v>6.455414012738854</v>
      </c>
      <c r="M46" s="259">
        <f>8804+1895+1013.5</f>
        <v>11712.5</v>
      </c>
      <c r="N46" s="257">
        <f>970+200+157</f>
        <v>1327</v>
      </c>
      <c r="O46" s="287">
        <f>M46/N46</f>
        <v>8.82629992464205</v>
      </c>
      <c r="P46" s="328"/>
    </row>
    <row r="47" spans="1:16" s="7" customFormat="1" ht="15">
      <c r="A47" s="91">
        <v>43</v>
      </c>
      <c r="B47" s="59" t="s">
        <v>127</v>
      </c>
      <c r="C47" s="42">
        <v>39395</v>
      </c>
      <c r="D47" s="48" t="s">
        <v>80</v>
      </c>
      <c r="E47" s="48" t="s">
        <v>178</v>
      </c>
      <c r="F47" s="66" t="s">
        <v>54</v>
      </c>
      <c r="G47" s="66" t="s">
        <v>140</v>
      </c>
      <c r="H47" s="66" t="s">
        <v>199</v>
      </c>
      <c r="I47" s="265">
        <v>950.39</v>
      </c>
      <c r="J47" s="266">
        <v>189</v>
      </c>
      <c r="K47" s="274">
        <f t="shared" si="5"/>
        <v>189</v>
      </c>
      <c r="L47" s="275">
        <f t="shared" si="6"/>
        <v>5.028518518518519</v>
      </c>
      <c r="M47" s="267">
        <v>141568.55</v>
      </c>
      <c r="N47" s="268">
        <v>23056</v>
      </c>
      <c r="O47" s="288">
        <f aca="true" t="shared" si="7" ref="O47:O54">+M47/N47</f>
        <v>6.140204285218598</v>
      </c>
      <c r="P47" s="328">
        <v>1</v>
      </c>
    </row>
    <row r="48" spans="1:16" s="7" customFormat="1" ht="15">
      <c r="A48" s="91">
        <v>44</v>
      </c>
      <c r="B48" s="57" t="s">
        <v>19</v>
      </c>
      <c r="C48" s="42">
        <v>39437</v>
      </c>
      <c r="D48" s="46" t="s">
        <v>67</v>
      </c>
      <c r="E48" s="45" t="s">
        <v>56</v>
      </c>
      <c r="F48" s="65">
        <v>49</v>
      </c>
      <c r="G48" s="65">
        <v>4</v>
      </c>
      <c r="H48" s="65">
        <v>6</v>
      </c>
      <c r="I48" s="265">
        <v>871</v>
      </c>
      <c r="J48" s="266">
        <v>163</v>
      </c>
      <c r="K48" s="274">
        <f t="shared" si="5"/>
        <v>40.75</v>
      </c>
      <c r="L48" s="275">
        <f t="shared" si="6"/>
        <v>5.343558282208589</v>
      </c>
      <c r="M48" s="267">
        <f>265356+150950+36636+752+2313+871</f>
        <v>456878</v>
      </c>
      <c r="N48" s="268">
        <f>28419+15898+4109+157+424+163</f>
        <v>49170</v>
      </c>
      <c r="O48" s="288">
        <f t="shared" si="7"/>
        <v>9.291803945495221</v>
      </c>
      <c r="P48" s="328"/>
    </row>
    <row r="49" spans="1:16" s="7" customFormat="1" ht="15">
      <c r="A49" s="91">
        <v>45</v>
      </c>
      <c r="B49" s="59" t="s">
        <v>200</v>
      </c>
      <c r="C49" s="43">
        <v>39416</v>
      </c>
      <c r="D49" s="48" t="s">
        <v>141</v>
      </c>
      <c r="E49" s="48" t="s">
        <v>51</v>
      </c>
      <c r="F49" s="96">
        <v>4</v>
      </c>
      <c r="G49" s="97">
        <v>1</v>
      </c>
      <c r="H49" s="96">
        <v>8</v>
      </c>
      <c r="I49" s="265">
        <v>860</v>
      </c>
      <c r="J49" s="266">
        <v>172</v>
      </c>
      <c r="K49" s="274">
        <f t="shared" si="5"/>
        <v>172</v>
      </c>
      <c r="L49" s="275">
        <f t="shared" si="6"/>
        <v>5</v>
      </c>
      <c r="M49" s="267">
        <v>44160</v>
      </c>
      <c r="N49" s="268">
        <v>4797</v>
      </c>
      <c r="O49" s="288">
        <f t="shared" si="7"/>
        <v>9.205753595997498</v>
      </c>
      <c r="P49" s="328"/>
    </row>
    <row r="50" spans="1:16" s="7" customFormat="1" ht="15">
      <c r="A50" s="91">
        <v>46</v>
      </c>
      <c r="B50" s="59" t="s">
        <v>4</v>
      </c>
      <c r="C50" s="42">
        <v>39444</v>
      </c>
      <c r="D50" s="48" t="s">
        <v>102</v>
      </c>
      <c r="E50" s="48" t="s">
        <v>102</v>
      </c>
      <c r="F50" s="60">
        <v>14</v>
      </c>
      <c r="G50" s="60">
        <v>2</v>
      </c>
      <c r="H50" s="60">
        <v>5</v>
      </c>
      <c r="I50" s="265">
        <v>840</v>
      </c>
      <c r="J50" s="266">
        <v>141</v>
      </c>
      <c r="K50" s="274">
        <f t="shared" si="5"/>
        <v>70.5</v>
      </c>
      <c r="L50" s="275">
        <f t="shared" si="6"/>
        <v>5.957446808510638</v>
      </c>
      <c r="M50" s="267">
        <v>231043</v>
      </c>
      <c r="N50" s="268">
        <v>22513</v>
      </c>
      <c r="O50" s="286">
        <f t="shared" si="7"/>
        <v>10.262648247679119</v>
      </c>
      <c r="P50" s="328"/>
    </row>
    <row r="51" spans="1:16" s="7" customFormat="1" ht="15">
      <c r="A51" s="91">
        <v>47</v>
      </c>
      <c r="B51" s="57" t="s">
        <v>97</v>
      </c>
      <c r="C51" s="42">
        <v>39409</v>
      </c>
      <c r="D51" s="46" t="s">
        <v>67</v>
      </c>
      <c r="E51" s="45" t="s">
        <v>78</v>
      </c>
      <c r="F51" s="65">
        <v>69</v>
      </c>
      <c r="G51" s="65">
        <v>1</v>
      </c>
      <c r="H51" s="65">
        <v>10</v>
      </c>
      <c r="I51" s="265">
        <v>831</v>
      </c>
      <c r="J51" s="266">
        <v>146</v>
      </c>
      <c r="K51" s="274">
        <f t="shared" si="5"/>
        <v>146</v>
      </c>
      <c r="L51" s="275">
        <f t="shared" si="6"/>
        <v>5.691780821917808</v>
      </c>
      <c r="M51" s="267">
        <f>387069+277494+166747+4993+4045+7291+3613+313+916+831</f>
        <v>853312</v>
      </c>
      <c r="N51" s="268">
        <f>37017+27892+17708+698+855+1523+696+56+479+146</f>
        <v>87070</v>
      </c>
      <c r="O51" s="288">
        <f t="shared" si="7"/>
        <v>9.800298610313542</v>
      </c>
      <c r="P51" s="328"/>
    </row>
    <row r="52" spans="1:16" s="7" customFormat="1" ht="15">
      <c r="A52" s="91">
        <v>48</v>
      </c>
      <c r="B52" s="58" t="s">
        <v>201</v>
      </c>
      <c r="C52" s="43">
        <v>39416</v>
      </c>
      <c r="D52" s="95" t="s">
        <v>68</v>
      </c>
      <c r="E52" s="95" t="s">
        <v>81</v>
      </c>
      <c r="F52" s="44">
        <v>11</v>
      </c>
      <c r="G52" s="44">
        <v>3</v>
      </c>
      <c r="H52" s="44">
        <v>9</v>
      </c>
      <c r="I52" s="255">
        <v>603</v>
      </c>
      <c r="J52" s="256">
        <v>109</v>
      </c>
      <c r="K52" s="257">
        <f t="shared" si="5"/>
        <v>36.333333333333336</v>
      </c>
      <c r="L52" s="258">
        <f>+I52/J52</f>
        <v>5.532110091743119</v>
      </c>
      <c r="M52" s="259">
        <v>33685</v>
      </c>
      <c r="N52" s="257">
        <v>4175</v>
      </c>
      <c r="O52" s="288">
        <f t="shared" si="7"/>
        <v>8.068263473053893</v>
      </c>
      <c r="P52" s="328">
        <v>1</v>
      </c>
    </row>
    <row r="53" spans="1:16" s="7" customFormat="1" ht="15">
      <c r="A53" s="91">
        <v>49</v>
      </c>
      <c r="B53" s="57" t="s">
        <v>202</v>
      </c>
      <c r="C53" s="42">
        <v>39479</v>
      </c>
      <c r="D53" s="46" t="s">
        <v>67</v>
      </c>
      <c r="E53" s="45" t="s">
        <v>159</v>
      </c>
      <c r="F53" s="65">
        <v>1</v>
      </c>
      <c r="G53" s="65">
        <v>1</v>
      </c>
      <c r="H53" s="65">
        <v>0</v>
      </c>
      <c r="I53" s="265">
        <v>300</v>
      </c>
      <c r="J53" s="266">
        <v>40</v>
      </c>
      <c r="K53" s="274">
        <f t="shared" si="5"/>
        <v>40</v>
      </c>
      <c r="L53" s="275">
        <f>I53/J53</f>
        <v>7.5</v>
      </c>
      <c r="M53" s="267">
        <v>300</v>
      </c>
      <c r="N53" s="268">
        <v>40</v>
      </c>
      <c r="O53" s="288">
        <f t="shared" si="7"/>
        <v>7.5</v>
      </c>
      <c r="P53" s="328"/>
    </row>
    <row r="54" spans="1:16" s="7" customFormat="1" ht="15">
      <c r="A54" s="91">
        <v>50</v>
      </c>
      <c r="B54" s="58" t="s">
        <v>131</v>
      </c>
      <c r="C54" s="43">
        <v>39402</v>
      </c>
      <c r="D54" s="95" t="s">
        <v>68</v>
      </c>
      <c r="E54" s="95" t="s">
        <v>105</v>
      </c>
      <c r="F54" s="44">
        <v>130</v>
      </c>
      <c r="G54" s="44">
        <v>21</v>
      </c>
      <c r="H54" s="44">
        <v>10</v>
      </c>
      <c r="I54" s="255">
        <v>204</v>
      </c>
      <c r="J54" s="256">
        <v>36</v>
      </c>
      <c r="K54" s="257">
        <f t="shared" si="5"/>
        <v>1.7142857142857142</v>
      </c>
      <c r="L54" s="258">
        <f>+I54/J54</f>
        <v>5.666666666666667</v>
      </c>
      <c r="M54" s="259">
        <v>2077806</v>
      </c>
      <c r="N54" s="257">
        <v>260719</v>
      </c>
      <c r="O54" s="288">
        <f t="shared" si="7"/>
        <v>7.96952274287643</v>
      </c>
      <c r="P54" s="328"/>
    </row>
    <row r="55" spans="1:16" s="7" customFormat="1" ht="15">
      <c r="A55" s="91">
        <v>51</v>
      </c>
      <c r="B55" s="58" t="s">
        <v>203</v>
      </c>
      <c r="C55" s="43">
        <v>38947</v>
      </c>
      <c r="D55" s="47" t="s">
        <v>69</v>
      </c>
      <c r="E55" s="47" t="s">
        <v>70</v>
      </c>
      <c r="F55" s="65">
        <v>106</v>
      </c>
      <c r="G55" s="44">
        <v>1</v>
      </c>
      <c r="H55" s="44">
        <v>34</v>
      </c>
      <c r="I55" s="255">
        <v>147</v>
      </c>
      <c r="J55" s="256">
        <v>21</v>
      </c>
      <c r="K55" s="274">
        <f t="shared" si="5"/>
        <v>21</v>
      </c>
      <c r="L55" s="275">
        <f aca="true" t="shared" si="8" ref="L55:L62">I55/J55</f>
        <v>7</v>
      </c>
      <c r="M55" s="259">
        <f>851045+613251.5+405140+216081+124391+88721.5+33772.5+20268.5+9628+2255.5+1314.5+2611.5+726.5+537.5+1115+625.5+6606+1330.5+1386+-611+1222+4532+530+28400+130+4027.5+416+3201.5+838+1128+2376+4027+2423+168+147</f>
        <v>2433762.5</v>
      </c>
      <c r="N55" s="257">
        <f>116878+84823+56865+31359+21609+17621+6633+4111+1582+390+233+473+110+78+157+95+2946+355+318+132+906+105+5667+18+806+100+801+209+188+594+1006+599+24+21</f>
        <v>357812</v>
      </c>
      <c r="O55" s="287">
        <f>M55/N55</f>
        <v>6.801791164074989</v>
      </c>
      <c r="P55" s="328"/>
    </row>
    <row r="56" spans="1:16" s="7" customFormat="1" ht="15">
      <c r="A56" s="91">
        <v>52</v>
      </c>
      <c r="B56" s="79" t="s">
        <v>60</v>
      </c>
      <c r="C56" s="63">
        <v>39339</v>
      </c>
      <c r="D56" s="88" t="s">
        <v>83</v>
      </c>
      <c r="E56" s="88" t="s">
        <v>61</v>
      </c>
      <c r="F56" s="86">
        <v>79</v>
      </c>
      <c r="G56" s="87">
        <v>1</v>
      </c>
      <c r="H56" s="87">
        <v>20</v>
      </c>
      <c r="I56" s="269">
        <v>144</v>
      </c>
      <c r="J56" s="270">
        <v>22</v>
      </c>
      <c r="K56" s="274">
        <f t="shared" si="5"/>
        <v>22</v>
      </c>
      <c r="L56" s="275">
        <f t="shared" si="8"/>
        <v>6.545454545454546</v>
      </c>
      <c r="M56" s="273">
        <v>308818</v>
      </c>
      <c r="N56" s="274">
        <v>48783</v>
      </c>
      <c r="O56" s="287">
        <f>M56/N56</f>
        <v>6.330442982186417</v>
      </c>
      <c r="P56" s="328"/>
    </row>
    <row r="57" spans="1:16" s="7" customFormat="1" ht="15">
      <c r="A57" s="91">
        <v>53</v>
      </c>
      <c r="B57" s="59" t="s">
        <v>6</v>
      </c>
      <c r="C57" s="42">
        <v>39444</v>
      </c>
      <c r="D57" s="48" t="s">
        <v>148</v>
      </c>
      <c r="E57" s="48" t="s">
        <v>204</v>
      </c>
      <c r="F57" s="66" t="s">
        <v>1</v>
      </c>
      <c r="G57" s="66" t="s">
        <v>140</v>
      </c>
      <c r="H57" s="66" t="s">
        <v>144</v>
      </c>
      <c r="I57" s="265">
        <v>109</v>
      </c>
      <c r="J57" s="266">
        <v>18</v>
      </c>
      <c r="K57" s="274">
        <f t="shared" si="5"/>
        <v>18</v>
      </c>
      <c r="L57" s="275">
        <f t="shared" si="8"/>
        <v>6.055555555555555</v>
      </c>
      <c r="M57" s="267">
        <v>20852.5</v>
      </c>
      <c r="N57" s="268">
        <v>2703</v>
      </c>
      <c r="O57" s="288">
        <f>+M57/N57</f>
        <v>7.7145763965963745</v>
      </c>
      <c r="P57" s="328"/>
    </row>
    <row r="58" spans="1:16" s="7" customFormat="1" ht="15">
      <c r="A58" s="91">
        <v>54</v>
      </c>
      <c r="B58" s="57" t="s">
        <v>96</v>
      </c>
      <c r="C58" s="42">
        <v>39360</v>
      </c>
      <c r="D58" s="46" t="s">
        <v>67</v>
      </c>
      <c r="E58" s="45" t="s">
        <v>159</v>
      </c>
      <c r="F58" s="65">
        <v>73</v>
      </c>
      <c r="G58" s="65">
        <v>1</v>
      </c>
      <c r="H58" s="65">
        <v>17</v>
      </c>
      <c r="I58" s="265">
        <v>105</v>
      </c>
      <c r="J58" s="266">
        <v>15</v>
      </c>
      <c r="K58" s="274">
        <f t="shared" si="5"/>
        <v>15</v>
      </c>
      <c r="L58" s="275">
        <f t="shared" si="8"/>
        <v>7</v>
      </c>
      <c r="M58" s="267">
        <f>2527+398811+325917+116748+8773+28+28081+14690+2838+221+3656+238+712+147+168+168+259+147+105</f>
        <v>904234</v>
      </c>
      <c r="N58" s="268">
        <f>228+40290+35016+12251+1468+5988+2689+521+31+1450+32+140+21+26+24+37+21+15</f>
        <v>100248</v>
      </c>
      <c r="O58" s="288">
        <f>+M58/N58</f>
        <v>9.0199704732264</v>
      </c>
      <c r="P58" s="328"/>
    </row>
    <row r="59" spans="1:16" s="7" customFormat="1" ht="15">
      <c r="A59" s="91">
        <v>55</v>
      </c>
      <c r="B59" s="58" t="s">
        <v>205</v>
      </c>
      <c r="C59" s="43">
        <v>38821</v>
      </c>
      <c r="D59" s="47" t="s">
        <v>69</v>
      </c>
      <c r="E59" s="47" t="s">
        <v>70</v>
      </c>
      <c r="F59" s="65">
        <v>118</v>
      </c>
      <c r="G59" s="44">
        <v>1</v>
      </c>
      <c r="H59" s="44">
        <v>39</v>
      </c>
      <c r="I59" s="255">
        <v>91</v>
      </c>
      <c r="J59" s="256">
        <v>13</v>
      </c>
      <c r="K59" s="274">
        <f t="shared" si="5"/>
        <v>13</v>
      </c>
      <c r="L59" s="275">
        <f t="shared" si="8"/>
        <v>7</v>
      </c>
      <c r="M59" s="259">
        <f>1908861+1583540+976953.5+606582.5+358386.5+257458.5+154619+107195+70567+37968.5+18157.5+11925.5+12529.5+11442+10137.5+11279.5+11047+23092+6089.5+13588+1331+1245+48+90+312+4271+1314+128+1008+10+610+1572+5035-409+4651.5+3349+2013.5+2852+91</f>
        <v>6220941.5</v>
      </c>
      <c r="N59" s="257">
        <f>267837+226672+141343+93283+56706+48660+34140+24736+15604+6640+3341+2116+2223+1865+2002+2375+2554+5432+1329+3323+245+218+8+15+52+1073+314+16+252+116+261+1007-77+884+645+503+712+13</f>
        <v>948438</v>
      </c>
      <c r="O59" s="287">
        <f>M59/N59</f>
        <v>6.559144087436396</v>
      </c>
      <c r="P59" s="328"/>
    </row>
    <row r="60" spans="1:16" s="7" customFormat="1" ht="15">
      <c r="A60" s="91">
        <v>56</v>
      </c>
      <c r="B60" s="57" t="s">
        <v>206</v>
      </c>
      <c r="C60" s="42">
        <v>39332</v>
      </c>
      <c r="D60" s="46" t="s">
        <v>67</v>
      </c>
      <c r="E60" s="45" t="s">
        <v>159</v>
      </c>
      <c r="F60" s="65">
        <v>61</v>
      </c>
      <c r="G60" s="65">
        <v>1</v>
      </c>
      <c r="H60" s="65">
        <v>13</v>
      </c>
      <c r="I60" s="265">
        <v>85</v>
      </c>
      <c r="J60" s="266">
        <v>21</v>
      </c>
      <c r="K60" s="274">
        <f t="shared" si="5"/>
        <v>21</v>
      </c>
      <c r="L60" s="275">
        <f t="shared" si="8"/>
        <v>4.0476190476190474</v>
      </c>
      <c r="M60" s="267">
        <f>1122962+173+85</f>
        <v>1123220</v>
      </c>
      <c r="N60" s="268">
        <f>117710+43+21</f>
        <v>117774</v>
      </c>
      <c r="O60" s="288">
        <f>+M60/N60</f>
        <v>9.537079491228964</v>
      </c>
      <c r="P60" s="328"/>
    </row>
    <row r="61" spans="1:16" s="7" customFormat="1" ht="15.75" thickBot="1">
      <c r="A61" s="91">
        <v>57</v>
      </c>
      <c r="B61" s="325" t="s">
        <v>128</v>
      </c>
      <c r="C61" s="183">
        <v>39402</v>
      </c>
      <c r="D61" s="351" t="s">
        <v>67</v>
      </c>
      <c r="E61" s="326" t="s">
        <v>159</v>
      </c>
      <c r="F61" s="327">
        <v>20</v>
      </c>
      <c r="G61" s="327">
        <v>1</v>
      </c>
      <c r="H61" s="327">
        <v>11</v>
      </c>
      <c r="I61" s="352">
        <v>64</v>
      </c>
      <c r="J61" s="353">
        <v>16</v>
      </c>
      <c r="K61" s="354">
        <f t="shared" si="5"/>
        <v>16</v>
      </c>
      <c r="L61" s="355">
        <f t="shared" si="8"/>
        <v>4</v>
      </c>
      <c r="M61" s="356">
        <f>8296+141704+66729+20126+11859+581+2076+3662+3777+6557+1754+64</f>
        <v>267185</v>
      </c>
      <c r="N61" s="357">
        <f>702+12499+6089+1727+1871+101+444+549+663+1089+276+16</f>
        <v>26026</v>
      </c>
      <c r="O61" s="358">
        <f>+M61/N61</f>
        <v>10.26608007377238</v>
      </c>
      <c r="P61" s="328"/>
    </row>
    <row r="62" spans="1:16" s="41" customFormat="1" ht="15">
      <c r="A62" s="386" t="s">
        <v>64</v>
      </c>
      <c r="B62" s="387"/>
      <c r="C62" s="36"/>
      <c r="D62" s="37" t="s">
        <v>28</v>
      </c>
      <c r="E62" s="38"/>
      <c r="F62" s="37"/>
      <c r="G62" s="39">
        <f>SUM(G5:G61)</f>
        <v>1778</v>
      </c>
      <c r="H62" s="37"/>
      <c r="I62" s="113">
        <f>SUM(I5:I61)</f>
        <v>7832354.38</v>
      </c>
      <c r="J62" s="124">
        <f>SUM(J5:J61)</f>
        <v>1009793</v>
      </c>
      <c r="K62" s="82">
        <f t="shared" si="5"/>
        <v>567.937570303712</v>
      </c>
      <c r="L62" s="77">
        <f t="shared" si="8"/>
        <v>7.756395994030459</v>
      </c>
      <c r="M62" s="118"/>
      <c r="N62" s="124"/>
      <c r="O62" s="40"/>
      <c r="P62" s="56"/>
    </row>
    <row r="63" spans="1:16" s="7" customFormat="1" ht="13.5">
      <c r="A63" s="26"/>
      <c r="C63" s="11"/>
      <c r="D63" s="14"/>
      <c r="E63" s="14"/>
      <c r="F63" s="8"/>
      <c r="G63" s="8"/>
      <c r="H63" s="8"/>
      <c r="I63" s="114"/>
      <c r="J63" s="127"/>
      <c r="K63" s="83"/>
      <c r="L63" s="21"/>
      <c r="M63" s="120"/>
      <c r="N63" s="129"/>
      <c r="O63" s="21"/>
      <c r="P63" s="56"/>
    </row>
    <row r="64" spans="1:16" s="7" customFormat="1" ht="13.5">
      <c r="A64" s="26"/>
      <c r="B64"/>
      <c r="C64" s="132"/>
      <c r="D64"/>
      <c r="E64"/>
      <c r="F64" s="90"/>
      <c r="G64" s="16"/>
      <c r="H64" s="8"/>
      <c r="I64" s="114"/>
      <c r="J64" s="127"/>
      <c r="K64" s="388" t="s">
        <v>62</v>
      </c>
      <c r="L64" s="389"/>
      <c r="M64" s="389"/>
      <c r="N64" s="389"/>
      <c r="O64" s="389"/>
      <c r="P64" s="56"/>
    </row>
    <row r="65" spans="1:16" s="7" customFormat="1" ht="13.5">
      <c r="A65" s="26"/>
      <c r="B65"/>
      <c r="C65" s="132"/>
      <c r="D65"/>
      <c r="E65"/>
      <c r="F65" s="90"/>
      <c r="G65" s="8"/>
      <c r="H65" s="17"/>
      <c r="I65" s="114"/>
      <c r="J65" s="127"/>
      <c r="K65" s="389"/>
      <c r="L65" s="389"/>
      <c r="M65" s="389"/>
      <c r="N65" s="389"/>
      <c r="O65" s="389"/>
      <c r="P65" s="56"/>
    </row>
    <row r="66" spans="1:16" s="7" customFormat="1" ht="13.5">
      <c r="A66" s="26"/>
      <c r="B66"/>
      <c r="C66" s="132"/>
      <c r="D66"/>
      <c r="E66"/>
      <c r="F66" s="90"/>
      <c r="G66" s="8"/>
      <c r="H66" s="17"/>
      <c r="I66" s="114"/>
      <c r="J66" s="127"/>
      <c r="K66" s="389"/>
      <c r="L66" s="389"/>
      <c r="M66" s="389"/>
      <c r="N66" s="389"/>
      <c r="O66" s="389"/>
      <c r="P66" s="56"/>
    </row>
    <row r="67" spans="1:16" s="7" customFormat="1" ht="13.5">
      <c r="A67" s="26"/>
      <c r="B67"/>
      <c r="C67" s="132"/>
      <c r="D67"/>
      <c r="E67"/>
      <c r="F67" s="90"/>
      <c r="G67" s="8"/>
      <c r="H67" s="17"/>
      <c r="I67" s="114"/>
      <c r="J67" s="127"/>
      <c r="K67" s="390"/>
      <c r="L67" s="390"/>
      <c r="M67" s="390"/>
      <c r="N67" s="390"/>
      <c r="O67" s="390"/>
      <c r="P67" s="56"/>
    </row>
    <row r="68" spans="1:16" s="7" customFormat="1" ht="13.5">
      <c r="A68" s="26"/>
      <c r="B68"/>
      <c r="C68" s="132"/>
      <c r="D68"/>
      <c r="E68"/>
      <c r="F68" s="90"/>
      <c r="G68" s="8"/>
      <c r="H68" s="383" t="s">
        <v>44</v>
      </c>
      <c r="I68" s="384"/>
      <c r="J68" s="384"/>
      <c r="K68" s="384"/>
      <c r="L68" s="384"/>
      <c r="M68" s="384"/>
      <c r="N68" s="384"/>
      <c r="O68" s="384"/>
      <c r="P68" s="56"/>
    </row>
    <row r="69" spans="1:16" s="19" customFormat="1" ht="15">
      <c r="A69" s="26"/>
      <c r="B69"/>
      <c r="C69" s="132"/>
      <c r="D69"/>
      <c r="E69"/>
      <c r="F69" s="90"/>
      <c r="G69" s="23"/>
      <c r="H69" s="384"/>
      <c r="I69" s="384"/>
      <c r="J69" s="384"/>
      <c r="K69" s="384"/>
      <c r="L69" s="384"/>
      <c r="M69" s="384"/>
      <c r="N69" s="384"/>
      <c r="O69" s="384"/>
      <c r="P69" s="56"/>
    </row>
    <row r="70" spans="1:16" s="19" customFormat="1" ht="15">
      <c r="A70" s="26"/>
      <c r="B70"/>
      <c r="C70" s="132"/>
      <c r="D70"/>
      <c r="E70"/>
      <c r="F70" s="90"/>
      <c r="G70" s="18"/>
      <c r="H70" s="384"/>
      <c r="I70" s="384"/>
      <c r="J70" s="384"/>
      <c r="K70" s="384"/>
      <c r="L70" s="384"/>
      <c r="M70" s="384"/>
      <c r="N70" s="384"/>
      <c r="O70" s="384"/>
      <c r="P70" s="56"/>
    </row>
    <row r="71" spans="1:16" s="19" customFormat="1" ht="15">
      <c r="A71" s="26"/>
      <c r="B71"/>
      <c r="C71" s="132"/>
      <c r="D71"/>
      <c r="E71"/>
      <c r="F71" s="90"/>
      <c r="G71" s="18"/>
      <c r="H71" s="384"/>
      <c r="I71" s="384"/>
      <c r="J71" s="384"/>
      <c r="K71" s="384"/>
      <c r="L71" s="384"/>
      <c r="M71" s="384"/>
      <c r="N71" s="384"/>
      <c r="O71" s="384"/>
      <c r="P71" s="56"/>
    </row>
    <row r="72" spans="1:16" s="19" customFormat="1" ht="15">
      <c r="A72" s="26"/>
      <c r="B72"/>
      <c r="C72" s="132"/>
      <c r="D72"/>
      <c r="E72"/>
      <c r="F72" s="90"/>
      <c r="G72" s="18"/>
      <c r="H72" s="384"/>
      <c r="I72" s="384"/>
      <c r="J72" s="384"/>
      <c r="K72" s="384"/>
      <c r="L72" s="384"/>
      <c r="M72" s="384"/>
      <c r="N72" s="384"/>
      <c r="O72" s="384"/>
      <c r="P72" s="56"/>
    </row>
    <row r="73" spans="1:16" s="19" customFormat="1" ht="15">
      <c r="A73" s="26"/>
      <c r="B73"/>
      <c r="C73" s="132"/>
      <c r="D73"/>
      <c r="E73"/>
      <c r="F73" s="90"/>
      <c r="G73" s="18"/>
      <c r="H73" s="384"/>
      <c r="I73" s="384"/>
      <c r="J73" s="384"/>
      <c r="K73" s="384"/>
      <c r="L73" s="384"/>
      <c r="M73" s="384"/>
      <c r="N73" s="384"/>
      <c r="O73" s="384"/>
      <c r="P73" s="56"/>
    </row>
    <row r="74" spans="1:16" s="19" customFormat="1" ht="15">
      <c r="A74" s="26"/>
      <c r="B74"/>
      <c r="C74" s="132"/>
      <c r="D74"/>
      <c r="E74"/>
      <c r="F74" s="90"/>
      <c r="G74" s="18"/>
      <c r="H74" s="385" t="s">
        <v>139</v>
      </c>
      <c r="I74" s="384"/>
      <c r="J74" s="384"/>
      <c r="K74" s="384"/>
      <c r="L74" s="384"/>
      <c r="M74" s="384"/>
      <c r="N74" s="384"/>
      <c r="O74" s="384"/>
      <c r="P74" s="56"/>
    </row>
    <row r="75" spans="1:16" s="19" customFormat="1" ht="15">
      <c r="A75" s="26"/>
      <c r="B75"/>
      <c r="C75" s="132"/>
      <c r="D75"/>
      <c r="E75"/>
      <c r="F75" s="90"/>
      <c r="G75" s="18"/>
      <c r="H75" s="384"/>
      <c r="I75" s="384"/>
      <c r="J75" s="384"/>
      <c r="K75" s="384"/>
      <c r="L75" s="384"/>
      <c r="M75" s="384"/>
      <c r="N75" s="384"/>
      <c r="O75" s="384"/>
      <c r="P75" s="56"/>
    </row>
    <row r="76" spans="1:16" s="19" customFormat="1" ht="15">
      <c r="A76" s="26"/>
      <c r="B76"/>
      <c r="C76" s="132"/>
      <c r="D76"/>
      <c r="E76"/>
      <c r="F76" s="90"/>
      <c r="G76" s="18"/>
      <c r="H76" s="384"/>
      <c r="I76" s="384"/>
      <c r="J76" s="384"/>
      <c r="K76" s="384"/>
      <c r="L76" s="384"/>
      <c r="M76" s="384"/>
      <c r="N76" s="384"/>
      <c r="O76" s="384"/>
      <c r="P76" s="56"/>
    </row>
    <row r="77" spans="1:16" s="19" customFormat="1" ht="15">
      <c r="A77" s="26"/>
      <c r="B77"/>
      <c r="C77" s="132"/>
      <c r="D77"/>
      <c r="E77"/>
      <c r="F77" s="90"/>
      <c r="G77" s="18"/>
      <c r="H77" s="384"/>
      <c r="I77" s="384"/>
      <c r="J77" s="384"/>
      <c r="K77" s="384"/>
      <c r="L77" s="384"/>
      <c r="M77" s="384"/>
      <c r="N77" s="384"/>
      <c r="O77" s="384"/>
      <c r="P77" s="56"/>
    </row>
    <row r="78" spans="1:16" s="19" customFormat="1" ht="15">
      <c r="A78" s="26"/>
      <c r="B78"/>
      <c r="C78" s="132"/>
      <c r="D78"/>
      <c r="E78"/>
      <c r="F78" s="90"/>
      <c r="G78" s="18"/>
      <c r="H78" s="384"/>
      <c r="I78" s="384"/>
      <c r="J78" s="384"/>
      <c r="K78" s="384"/>
      <c r="L78" s="384"/>
      <c r="M78" s="384"/>
      <c r="N78" s="384"/>
      <c r="O78" s="384"/>
      <c r="P78" s="56"/>
    </row>
    <row r="79" spans="1:16" s="19" customFormat="1" ht="15">
      <c r="A79" s="26"/>
      <c r="B79" s="27"/>
      <c r="C79" s="51"/>
      <c r="D79" s="27"/>
      <c r="E79" s="27"/>
      <c r="F79" s="75"/>
      <c r="G79" s="18"/>
      <c r="H79" s="384"/>
      <c r="I79" s="384"/>
      <c r="J79" s="384"/>
      <c r="K79" s="384"/>
      <c r="L79" s="384"/>
      <c r="M79" s="384"/>
      <c r="N79" s="384"/>
      <c r="O79" s="384"/>
      <c r="P79" s="56"/>
    </row>
    <row r="80" spans="1:16" s="19" customFormat="1" ht="15">
      <c r="A80" s="26"/>
      <c r="B80" s="27"/>
      <c r="C80" s="51"/>
      <c r="D80" s="27"/>
      <c r="E80" s="27"/>
      <c r="F80" s="75"/>
      <c r="G80" s="18"/>
      <c r="H80" s="384"/>
      <c r="I80" s="384"/>
      <c r="J80" s="384"/>
      <c r="K80" s="384"/>
      <c r="L80" s="384"/>
      <c r="M80" s="384"/>
      <c r="N80" s="384"/>
      <c r="O80" s="384"/>
      <c r="P80" s="56"/>
    </row>
    <row r="81" spans="1:16" s="19" customFormat="1" ht="15">
      <c r="A81" s="26"/>
      <c r="B81" s="27"/>
      <c r="C81" s="51"/>
      <c r="D81" s="27"/>
      <c r="E81" s="27"/>
      <c r="F81" s="75"/>
      <c r="G81" s="18"/>
      <c r="H81" s="75"/>
      <c r="I81" s="116"/>
      <c r="J81" s="128"/>
      <c r="K81" s="84"/>
      <c r="L81" s="76"/>
      <c r="M81" s="121"/>
      <c r="N81" s="130"/>
      <c r="O81" s="76"/>
      <c r="P81" s="56"/>
    </row>
    <row r="82" spans="1:16" s="19" customFormat="1" ht="15">
      <c r="A82" s="26"/>
      <c r="B82" s="27"/>
      <c r="C82" s="51"/>
      <c r="D82" s="27"/>
      <c r="E82" s="27"/>
      <c r="F82" s="75"/>
      <c r="G82" s="18"/>
      <c r="H82" s="75"/>
      <c r="I82" s="116"/>
      <c r="J82" s="128"/>
      <c r="K82" s="84"/>
      <c r="L82" s="76"/>
      <c r="M82" s="121"/>
      <c r="N82" s="130"/>
      <c r="O82" s="76"/>
      <c r="P82" s="56"/>
    </row>
    <row r="83" spans="2:6" ht="18">
      <c r="B83" s="27"/>
      <c r="C83" s="51"/>
      <c r="D83" s="27"/>
      <c r="E83" s="27"/>
      <c r="F83" s="75"/>
    </row>
    <row r="84" spans="2:6" ht="18">
      <c r="B84" s="27"/>
      <c r="C84" s="51"/>
      <c r="D84" s="27"/>
      <c r="E84" s="27"/>
      <c r="F84" s="75"/>
    </row>
    <row r="85" spans="2:15" ht="18">
      <c r="B85" s="27"/>
      <c r="C85" s="51"/>
      <c r="D85" s="27"/>
      <c r="E85" s="27"/>
      <c r="F85" s="75"/>
      <c r="G85" s="75"/>
      <c r="H85" s="75"/>
      <c r="I85" s="116"/>
      <c r="J85" s="128"/>
      <c r="K85" s="84"/>
      <c r="L85" s="76"/>
      <c r="M85" s="122"/>
      <c r="N85" s="131"/>
      <c r="O85" s="76"/>
    </row>
    <row r="86" spans="2:15" ht="18">
      <c r="B86" s="27"/>
      <c r="C86" s="51"/>
      <c r="D86" s="27"/>
      <c r="E86" s="27"/>
      <c r="F86" s="75"/>
      <c r="G86" s="75"/>
      <c r="H86" s="75"/>
      <c r="I86" s="116"/>
      <c r="J86" s="128"/>
      <c r="K86" s="84"/>
      <c r="L86" s="76"/>
      <c r="M86" s="122"/>
      <c r="N86" s="131"/>
      <c r="O86" s="76"/>
    </row>
    <row r="87" spans="2:15" ht="18">
      <c r="B87" s="27"/>
      <c r="C87" s="51"/>
      <c r="D87" s="27"/>
      <c r="E87" s="27"/>
      <c r="F87" s="75"/>
      <c r="G87" s="75"/>
      <c r="H87" s="75"/>
      <c r="I87" s="116"/>
      <c r="J87" s="128"/>
      <c r="K87" s="84"/>
      <c r="L87" s="76"/>
      <c r="M87" s="122"/>
      <c r="N87" s="131"/>
      <c r="O87" s="76"/>
    </row>
    <row r="88" spans="2:15" ht="18">
      <c r="B88" s="27"/>
      <c r="C88" s="51"/>
      <c r="D88" s="27"/>
      <c r="E88" s="27"/>
      <c r="F88" s="75"/>
      <c r="G88" s="75"/>
      <c r="H88" s="75"/>
      <c r="I88" s="116"/>
      <c r="J88" s="128"/>
      <c r="K88" s="84"/>
      <c r="L88" s="76"/>
      <c r="M88" s="122"/>
      <c r="N88" s="131"/>
      <c r="O88" s="76"/>
    </row>
    <row r="89" spans="2:15" ht="18">
      <c r="B89" s="27"/>
      <c r="C89" s="51"/>
      <c r="D89" s="27"/>
      <c r="E89" s="27"/>
      <c r="F89" s="75"/>
      <c r="G89" s="75"/>
      <c r="H89" s="75"/>
      <c r="I89" s="116"/>
      <c r="J89" s="128"/>
      <c r="K89" s="84"/>
      <c r="L89" s="76"/>
      <c r="M89" s="122"/>
      <c r="N89" s="131"/>
      <c r="O89" s="76"/>
    </row>
    <row r="90" spans="2:15" ht="18">
      <c r="B90" s="27"/>
      <c r="C90" s="51"/>
      <c r="D90" s="27"/>
      <c r="E90" s="27"/>
      <c r="F90" s="75"/>
      <c r="G90" s="75"/>
      <c r="H90" s="75"/>
      <c r="I90" s="116"/>
      <c r="J90" s="128"/>
      <c r="K90" s="84"/>
      <c r="L90" s="76"/>
      <c r="M90" s="122"/>
      <c r="N90" s="131"/>
      <c r="O90" s="76"/>
    </row>
    <row r="91" spans="2:15" ht="18">
      <c r="B91" s="27"/>
      <c r="C91" s="51"/>
      <c r="D91" s="27"/>
      <c r="E91" s="27"/>
      <c r="F91" s="75"/>
      <c r="G91" s="75"/>
      <c r="H91" s="75"/>
      <c r="I91" s="116"/>
      <c r="J91" s="128"/>
      <c r="K91" s="84"/>
      <c r="L91" s="76"/>
      <c r="M91" s="122"/>
      <c r="N91" s="131"/>
      <c r="O91" s="76"/>
    </row>
    <row r="92" spans="2:15" ht="18">
      <c r="B92" s="27"/>
      <c r="C92" s="51"/>
      <c r="D92" s="27"/>
      <c r="E92" s="27"/>
      <c r="F92" s="75"/>
      <c r="G92" s="75"/>
      <c r="H92" s="75"/>
      <c r="I92" s="116"/>
      <c r="J92" s="128"/>
      <c r="K92" s="84"/>
      <c r="L92" s="76"/>
      <c r="M92" s="122"/>
      <c r="N92" s="131"/>
      <c r="O92" s="76"/>
    </row>
    <row r="93" spans="7:15" ht="18">
      <c r="G93" s="75"/>
      <c r="H93" s="75"/>
      <c r="I93" s="116"/>
      <c r="J93" s="128"/>
      <c r="K93" s="84"/>
      <c r="L93" s="76"/>
      <c r="M93" s="122"/>
      <c r="N93" s="131"/>
      <c r="O93" s="76"/>
    </row>
    <row r="94" spans="7:15" ht="18">
      <c r="G94" s="75"/>
      <c r="H94" s="75"/>
      <c r="I94" s="116"/>
      <c r="J94" s="128"/>
      <c r="K94" s="84"/>
      <c r="L94" s="76"/>
      <c r="M94" s="122"/>
      <c r="N94" s="131"/>
      <c r="O94" s="76"/>
    </row>
    <row r="95" spans="7:15" ht="18">
      <c r="G95" s="75"/>
      <c r="H95" s="75"/>
      <c r="I95" s="116"/>
      <c r="J95" s="128"/>
      <c r="K95" s="84"/>
      <c r="L95" s="76"/>
      <c r="M95" s="122"/>
      <c r="N95" s="131"/>
      <c r="O95" s="76"/>
    </row>
    <row r="96" spans="7:15" ht="18">
      <c r="G96" s="75"/>
      <c r="H96" s="75"/>
      <c r="I96" s="116"/>
      <c r="J96" s="128"/>
      <c r="K96" s="84"/>
      <c r="L96" s="76"/>
      <c r="M96" s="122"/>
      <c r="N96" s="131"/>
      <c r="O96" s="76"/>
    </row>
    <row r="97" spans="7:15" ht="18">
      <c r="G97" s="75"/>
      <c r="H97" s="75"/>
      <c r="I97" s="116"/>
      <c r="J97" s="128"/>
      <c r="K97" s="84"/>
      <c r="L97" s="76"/>
      <c r="M97" s="122"/>
      <c r="N97" s="131"/>
      <c r="O97" s="76"/>
    </row>
    <row r="98" spans="7:15" ht="18">
      <c r="G98" s="75"/>
      <c r="H98" s="75"/>
      <c r="I98" s="116"/>
      <c r="J98" s="128"/>
      <c r="K98" s="84"/>
      <c r="L98" s="76"/>
      <c r="M98" s="122"/>
      <c r="N98" s="131"/>
      <c r="O98" s="76"/>
    </row>
  </sheetData>
  <sheetProtection insertRows="0" deleteRows="0" sort="0"/>
  <mergeCells count="15">
    <mergeCell ref="H68:O73"/>
    <mergeCell ref="H74:O80"/>
    <mergeCell ref="A62:B62"/>
    <mergeCell ref="K64:O66"/>
    <mergeCell ref="K67:O67"/>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ignoredErrors>
    <ignoredError sqref="L61 L11:N13 L21:L59 L14:L16 M20:N20 L60 K60 L10:O10 O17 K17:L20 M17:N18 K14:K16 K21:K59 M14:N16 O11:O16 O21:O59 M21:N31" formula="1"/>
    <ignoredError sqref="M61:N61 M32:N60" formula="1" unlockedFormula="1"/>
    <ignoredError sqref="F24:H47 F57:H57" numberStoredAsText="1"/>
  </ignoredErrors>
  <drawing r:id="rId1"/>
</worksheet>
</file>

<file path=xl/worksheets/sheet2.xml><?xml version="1.0" encoding="utf-8"?>
<worksheet xmlns="http://schemas.openxmlformats.org/spreadsheetml/2006/main" xmlns:r="http://schemas.openxmlformats.org/officeDocument/2006/relationships">
  <dimension ref="A1:P36"/>
  <sheetViews>
    <sheetView zoomScale="120" zoomScaleNormal="120" zoomScalePageLayoutView="0" workbookViewId="0" topLeftCell="A1">
      <selection activeCell="B2" sqref="B2:B3"/>
    </sheetView>
  </sheetViews>
  <sheetFormatPr defaultColWidth="13.28125" defaultRowHeight="12.75"/>
  <cols>
    <col min="1" max="1" width="3.8515625" style="34" bestFit="1" customWidth="1"/>
    <col min="2" max="2" width="35.8515625" style="32" bestFit="1" customWidth="1"/>
    <col min="3" max="3" width="11.28125" style="24" customWidth="1"/>
    <col min="4" max="4" width="17.00390625" style="24" bestFit="1" customWidth="1"/>
    <col min="5" max="5" width="20.00390625" style="24" bestFit="1" customWidth="1"/>
    <col min="6" max="6" width="6.00390625" style="24" bestFit="1" customWidth="1"/>
    <col min="7" max="7" width="10.00390625" style="24" customWidth="1"/>
    <col min="8" max="8" width="15.421875" style="249" bestFit="1" customWidth="1"/>
    <col min="9" max="9" width="11.140625" style="250" bestFit="1" customWidth="1"/>
    <col min="10" max="10" width="7.421875" style="33" customWidth="1"/>
    <col min="11" max="11" width="2.421875" style="239" bestFit="1" customWidth="1"/>
    <col min="12" max="12" width="13.140625" style="69" customWidth="1"/>
    <col min="13" max="13" width="15.140625" style="72" bestFit="1" customWidth="1"/>
    <col min="14" max="14" width="11.00390625" style="69" bestFit="1" customWidth="1"/>
    <col min="15" max="16" width="8.8515625" style="0" customWidth="1"/>
    <col min="17" max="16384" width="13.28125" style="32" customWidth="1"/>
  </cols>
  <sheetData>
    <row r="1" spans="1:14" s="30" customFormat="1" ht="81.75" customHeight="1" thickBot="1">
      <c r="A1" s="396" t="s">
        <v>208</v>
      </c>
      <c r="B1" s="396"/>
      <c r="C1" s="396"/>
      <c r="D1" s="396"/>
      <c r="E1" s="396"/>
      <c r="F1" s="396"/>
      <c r="G1" s="396"/>
      <c r="H1" s="396"/>
      <c r="I1" s="396"/>
      <c r="J1" s="396"/>
      <c r="K1" s="237"/>
      <c r="L1" s="74"/>
      <c r="M1" s="73"/>
      <c r="N1" s="74"/>
    </row>
    <row r="2" spans="1:14" s="31" customFormat="1" ht="14.25">
      <c r="A2" s="35"/>
      <c r="B2" s="397" t="s">
        <v>149</v>
      </c>
      <c r="C2" s="397" t="s">
        <v>47</v>
      </c>
      <c r="D2" s="397" t="s">
        <v>11</v>
      </c>
      <c r="E2" s="397" t="s">
        <v>10</v>
      </c>
      <c r="F2" s="378" t="s">
        <v>151</v>
      </c>
      <c r="G2" s="378" t="s">
        <v>48</v>
      </c>
      <c r="H2" s="392" t="s">
        <v>153</v>
      </c>
      <c r="I2" s="393"/>
      <c r="J2" s="394" t="s">
        <v>49</v>
      </c>
      <c r="K2" s="238"/>
      <c r="L2" s="67"/>
      <c r="M2" s="70"/>
      <c r="N2" s="67"/>
    </row>
    <row r="3" spans="1:14" s="31" customFormat="1" ht="33" customHeight="1" thickBot="1">
      <c r="A3" s="53"/>
      <c r="B3" s="398"/>
      <c r="C3" s="398"/>
      <c r="D3" s="398"/>
      <c r="E3" s="398"/>
      <c r="F3" s="391"/>
      <c r="G3" s="391"/>
      <c r="H3" s="98" t="s">
        <v>50</v>
      </c>
      <c r="I3" s="29" t="s">
        <v>143</v>
      </c>
      <c r="J3" s="395"/>
      <c r="K3" s="238"/>
      <c r="L3" s="67"/>
      <c r="M3" s="70"/>
      <c r="N3" s="67"/>
    </row>
    <row r="4" spans="1:14" s="31" customFormat="1" ht="15">
      <c r="A4" s="320">
        <v>1</v>
      </c>
      <c r="B4" s="136" t="s">
        <v>32</v>
      </c>
      <c r="C4" s="253">
        <v>39458</v>
      </c>
      <c r="D4" s="137" t="s">
        <v>68</v>
      </c>
      <c r="E4" s="137" t="s">
        <v>33</v>
      </c>
      <c r="F4" s="138">
        <v>233</v>
      </c>
      <c r="G4" s="138">
        <v>3</v>
      </c>
      <c r="H4" s="284">
        <v>5239800</v>
      </c>
      <c r="I4" s="283">
        <v>729621</v>
      </c>
      <c r="J4" s="340">
        <f>+H4/I4</f>
        <v>7.1815367156372965</v>
      </c>
      <c r="K4" s="328">
        <v>1</v>
      </c>
      <c r="L4" s="321"/>
      <c r="M4" s="322"/>
      <c r="N4" s="321"/>
    </row>
    <row r="5" spans="1:14" s="31" customFormat="1" ht="15">
      <c r="A5" s="320">
        <v>2</v>
      </c>
      <c r="B5" s="58" t="s">
        <v>30</v>
      </c>
      <c r="C5" s="42">
        <v>39458</v>
      </c>
      <c r="D5" s="47" t="s">
        <v>69</v>
      </c>
      <c r="E5" s="47" t="s">
        <v>31</v>
      </c>
      <c r="F5" s="44">
        <v>213</v>
      </c>
      <c r="G5" s="44">
        <v>3</v>
      </c>
      <c r="H5" s="259">
        <f>427669.5+1938073+150000+1380941+1095820.5</f>
        <v>4992504</v>
      </c>
      <c r="I5" s="257">
        <f>45000+279515+20000+201794+152671</f>
        <v>698980</v>
      </c>
      <c r="J5" s="287">
        <f>H5/I5</f>
        <v>7.142556296317491</v>
      </c>
      <c r="K5" s="328">
        <v>1</v>
      </c>
      <c r="L5" s="321"/>
      <c r="M5" s="322"/>
      <c r="N5" s="321"/>
    </row>
    <row r="6" spans="1:14" s="31" customFormat="1" ht="15.75" thickBot="1">
      <c r="A6" s="368">
        <v>3</v>
      </c>
      <c r="B6" s="151" t="s">
        <v>15</v>
      </c>
      <c r="C6" s="183">
        <v>39451</v>
      </c>
      <c r="D6" s="290" t="s">
        <v>68</v>
      </c>
      <c r="E6" s="290" t="s">
        <v>12</v>
      </c>
      <c r="F6" s="152">
        <v>137</v>
      </c>
      <c r="G6" s="152">
        <v>5</v>
      </c>
      <c r="H6" s="295">
        <v>2718632</v>
      </c>
      <c r="I6" s="293">
        <v>321883</v>
      </c>
      <c r="J6" s="358">
        <f>+H6/I6</f>
        <v>8.446025419174047</v>
      </c>
      <c r="K6" s="328"/>
      <c r="L6" s="321"/>
      <c r="M6" s="322"/>
      <c r="N6" s="321"/>
    </row>
    <row r="7" spans="1:14" s="31" customFormat="1" ht="15">
      <c r="A7" s="320">
        <v>4</v>
      </c>
      <c r="B7" s="364" t="s">
        <v>187</v>
      </c>
      <c r="C7" s="359">
        <v>39472</v>
      </c>
      <c r="D7" s="365" t="s">
        <v>67</v>
      </c>
      <c r="E7" s="366" t="s">
        <v>159</v>
      </c>
      <c r="F7" s="367">
        <v>111</v>
      </c>
      <c r="G7" s="367">
        <v>1</v>
      </c>
      <c r="H7" s="337">
        <v>1551506</v>
      </c>
      <c r="I7" s="338">
        <v>185165</v>
      </c>
      <c r="J7" s="339">
        <f>+H7/I7</f>
        <v>8.379045715983041</v>
      </c>
      <c r="K7" s="328"/>
      <c r="L7" s="321"/>
      <c r="M7" s="322"/>
      <c r="N7" s="321"/>
    </row>
    <row r="8" spans="1:14" s="31" customFormat="1" ht="15">
      <c r="A8" s="320">
        <v>5</v>
      </c>
      <c r="B8" s="58" t="s">
        <v>188</v>
      </c>
      <c r="C8" s="42">
        <v>39472</v>
      </c>
      <c r="D8" s="47" t="s">
        <v>68</v>
      </c>
      <c r="E8" s="95" t="s">
        <v>81</v>
      </c>
      <c r="F8" s="44">
        <v>152</v>
      </c>
      <c r="G8" s="44">
        <v>1</v>
      </c>
      <c r="H8" s="259">
        <v>1400661</v>
      </c>
      <c r="I8" s="257">
        <v>173235</v>
      </c>
      <c r="J8" s="288">
        <f>+H8/I8</f>
        <v>8.085323404623777</v>
      </c>
      <c r="K8" s="328">
        <v>1</v>
      </c>
      <c r="L8" s="321"/>
      <c r="M8" s="322"/>
      <c r="N8" s="321"/>
    </row>
    <row r="9" spans="1:14" s="31" customFormat="1" ht="15">
      <c r="A9" s="320">
        <v>6</v>
      </c>
      <c r="B9" s="58" t="s">
        <v>166</v>
      </c>
      <c r="C9" s="43">
        <v>39465</v>
      </c>
      <c r="D9" s="95" t="s">
        <v>68</v>
      </c>
      <c r="E9" s="95" t="s">
        <v>73</v>
      </c>
      <c r="F9" s="44">
        <v>113</v>
      </c>
      <c r="G9" s="44">
        <v>2</v>
      </c>
      <c r="H9" s="259">
        <v>1334978</v>
      </c>
      <c r="I9" s="257">
        <v>147107</v>
      </c>
      <c r="J9" s="288">
        <f>+H9/I9</f>
        <v>9.074877470140782</v>
      </c>
      <c r="K9" s="328"/>
      <c r="L9" s="321"/>
      <c r="M9" s="322"/>
      <c r="N9" s="321"/>
    </row>
    <row r="10" spans="1:14" s="31" customFormat="1" ht="15">
      <c r="A10" s="320">
        <v>7</v>
      </c>
      <c r="B10" s="79" t="s">
        <v>189</v>
      </c>
      <c r="C10" s="42">
        <v>39472</v>
      </c>
      <c r="D10" s="49" t="s">
        <v>74</v>
      </c>
      <c r="E10" s="49" t="s">
        <v>142</v>
      </c>
      <c r="F10" s="78">
        <v>70</v>
      </c>
      <c r="G10" s="78">
        <v>1</v>
      </c>
      <c r="H10" s="281">
        <v>473436</v>
      </c>
      <c r="I10" s="279">
        <v>55882</v>
      </c>
      <c r="J10" s="289">
        <f>H10/I10</f>
        <v>8.47206613936509</v>
      </c>
      <c r="K10" s="328"/>
      <c r="L10" s="321"/>
      <c r="M10" s="322"/>
      <c r="N10" s="321"/>
    </row>
    <row r="11" spans="1:14" s="31" customFormat="1" ht="15">
      <c r="A11" s="320">
        <v>8</v>
      </c>
      <c r="B11" s="58" t="s">
        <v>190</v>
      </c>
      <c r="C11" s="43">
        <v>39472</v>
      </c>
      <c r="D11" s="47" t="s">
        <v>69</v>
      </c>
      <c r="E11" s="47" t="s">
        <v>85</v>
      </c>
      <c r="F11" s="65">
        <v>58</v>
      </c>
      <c r="G11" s="44">
        <v>1</v>
      </c>
      <c r="H11" s="259">
        <f>395290.5</f>
        <v>395290.5</v>
      </c>
      <c r="I11" s="257">
        <f>47426</f>
        <v>47426</v>
      </c>
      <c r="J11" s="287">
        <f>H11/I11</f>
        <v>8.334890144646396</v>
      </c>
      <c r="K11" s="328"/>
      <c r="L11" s="321"/>
      <c r="M11" s="322"/>
      <c r="N11" s="321"/>
    </row>
    <row r="12" spans="1:14" s="31" customFormat="1" ht="15">
      <c r="A12" s="320">
        <v>9</v>
      </c>
      <c r="B12" s="79" t="s">
        <v>16</v>
      </c>
      <c r="C12" s="63">
        <v>39451</v>
      </c>
      <c r="D12" s="88" t="s">
        <v>83</v>
      </c>
      <c r="E12" s="88" t="s">
        <v>192</v>
      </c>
      <c r="F12" s="86">
        <v>22</v>
      </c>
      <c r="G12" s="87">
        <v>4</v>
      </c>
      <c r="H12" s="273">
        <v>290735</v>
      </c>
      <c r="I12" s="274">
        <v>30088</v>
      </c>
      <c r="J12" s="287">
        <f>H12/I12</f>
        <v>9.662822387662855</v>
      </c>
      <c r="K12" s="328"/>
      <c r="L12" s="321"/>
      <c r="M12" s="322"/>
      <c r="N12" s="321"/>
    </row>
    <row r="13" spans="1:14" s="31" customFormat="1" ht="15">
      <c r="A13" s="320">
        <v>10</v>
      </c>
      <c r="B13" s="64" t="s">
        <v>35</v>
      </c>
      <c r="C13" s="42">
        <v>39458</v>
      </c>
      <c r="D13" s="48" t="s">
        <v>102</v>
      </c>
      <c r="E13" s="48" t="s">
        <v>55</v>
      </c>
      <c r="F13" s="60">
        <v>8</v>
      </c>
      <c r="G13" s="60">
        <v>3</v>
      </c>
      <c r="H13" s="267">
        <v>228975</v>
      </c>
      <c r="I13" s="268">
        <v>20709</v>
      </c>
      <c r="J13" s="286">
        <f>+H13/I13</f>
        <v>11.05678690424453</v>
      </c>
      <c r="K13" s="328"/>
      <c r="L13" s="321"/>
      <c r="M13" s="322"/>
      <c r="N13" s="321"/>
    </row>
    <row r="14" spans="1:14" s="31" customFormat="1" ht="15">
      <c r="A14" s="320">
        <v>11</v>
      </c>
      <c r="B14" s="59" t="s">
        <v>17</v>
      </c>
      <c r="C14" s="43">
        <v>39451</v>
      </c>
      <c r="D14" s="48" t="s">
        <v>141</v>
      </c>
      <c r="E14" s="48" t="s">
        <v>76</v>
      </c>
      <c r="F14" s="96">
        <v>25</v>
      </c>
      <c r="G14" s="96">
        <v>4</v>
      </c>
      <c r="H14" s="267">
        <v>218248.5</v>
      </c>
      <c r="I14" s="268">
        <v>24366</v>
      </c>
      <c r="J14" s="288">
        <f>+H14/I14</f>
        <v>8.957091849298202</v>
      </c>
      <c r="K14" s="328"/>
      <c r="L14" s="321"/>
      <c r="M14" s="322"/>
      <c r="N14" s="321"/>
    </row>
    <row r="15" spans="1:14" s="31" customFormat="1" ht="15">
      <c r="A15" s="320">
        <v>12</v>
      </c>
      <c r="B15" s="57" t="s">
        <v>167</v>
      </c>
      <c r="C15" s="42">
        <v>39465</v>
      </c>
      <c r="D15" s="45" t="s">
        <v>63</v>
      </c>
      <c r="E15" s="45" t="s">
        <v>58</v>
      </c>
      <c r="F15" s="65">
        <v>29</v>
      </c>
      <c r="G15" s="65">
        <v>2</v>
      </c>
      <c r="H15" s="264">
        <f>126772.5+69889.5</f>
        <v>196662</v>
      </c>
      <c r="I15" s="257">
        <f>12681+6733</f>
        <v>19414</v>
      </c>
      <c r="J15" s="286">
        <f>IF(H15&lt;&gt;0,H15/I15,"")</f>
        <v>10.129906253219326</v>
      </c>
      <c r="K15" s="328"/>
      <c r="L15" s="321"/>
      <c r="M15" s="322"/>
      <c r="N15" s="321"/>
    </row>
    <row r="16" spans="1:14" s="31" customFormat="1" ht="15">
      <c r="A16" s="320">
        <v>13</v>
      </c>
      <c r="B16" s="363" t="s">
        <v>169</v>
      </c>
      <c r="C16" s="42">
        <v>39465</v>
      </c>
      <c r="D16" s="48" t="s">
        <v>80</v>
      </c>
      <c r="E16" s="48" t="s">
        <v>209</v>
      </c>
      <c r="F16" s="66" t="s">
        <v>170</v>
      </c>
      <c r="G16" s="66" t="s">
        <v>147</v>
      </c>
      <c r="H16" s="166">
        <v>132583</v>
      </c>
      <c r="I16" s="268">
        <v>17359</v>
      </c>
      <c r="J16" s="288">
        <f aca="true" t="shared" si="0" ref="J16:J25">+H16/I16</f>
        <v>7.637709545480731</v>
      </c>
      <c r="K16" s="369">
        <v>1</v>
      </c>
      <c r="L16" s="321"/>
      <c r="M16" s="322"/>
      <c r="N16" s="321"/>
    </row>
    <row r="17" spans="1:14" s="31" customFormat="1" ht="15">
      <c r="A17" s="320">
        <v>14</v>
      </c>
      <c r="B17" s="64" t="s">
        <v>168</v>
      </c>
      <c r="C17" s="42">
        <v>39465</v>
      </c>
      <c r="D17" s="48" t="s">
        <v>102</v>
      </c>
      <c r="E17" s="48" t="s">
        <v>102</v>
      </c>
      <c r="F17" s="60">
        <v>16</v>
      </c>
      <c r="G17" s="60">
        <v>2</v>
      </c>
      <c r="H17" s="267">
        <v>130560</v>
      </c>
      <c r="I17" s="268">
        <v>12049</v>
      </c>
      <c r="J17" s="286">
        <f t="shared" si="0"/>
        <v>10.8357540044817</v>
      </c>
      <c r="K17" s="328"/>
      <c r="L17" s="321"/>
      <c r="M17" s="322"/>
      <c r="N17" s="321"/>
    </row>
    <row r="18" spans="1:14" s="31" customFormat="1" ht="15">
      <c r="A18" s="320">
        <v>15</v>
      </c>
      <c r="B18" s="59" t="s">
        <v>171</v>
      </c>
      <c r="C18" s="43">
        <v>39465</v>
      </c>
      <c r="D18" s="48" t="s">
        <v>141</v>
      </c>
      <c r="E18" s="48" t="s">
        <v>76</v>
      </c>
      <c r="F18" s="96">
        <v>16</v>
      </c>
      <c r="G18" s="96">
        <v>2</v>
      </c>
      <c r="H18" s="267">
        <v>120935</v>
      </c>
      <c r="I18" s="268">
        <v>12624</v>
      </c>
      <c r="J18" s="288">
        <f t="shared" si="0"/>
        <v>9.579768694550063</v>
      </c>
      <c r="K18" s="328"/>
      <c r="L18" s="321"/>
      <c r="M18" s="322"/>
      <c r="N18" s="321"/>
    </row>
    <row r="19" spans="1:14" s="31" customFormat="1" ht="15">
      <c r="A19" s="320">
        <v>16</v>
      </c>
      <c r="B19" s="59" t="s">
        <v>172</v>
      </c>
      <c r="C19" s="42">
        <v>39465</v>
      </c>
      <c r="D19" s="48" t="s">
        <v>80</v>
      </c>
      <c r="E19" s="48" t="s">
        <v>55</v>
      </c>
      <c r="F19" s="66" t="s">
        <v>121</v>
      </c>
      <c r="G19" s="66" t="s">
        <v>147</v>
      </c>
      <c r="H19" s="267">
        <v>93404.5</v>
      </c>
      <c r="I19" s="268">
        <v>10653</v>
      </c>
      <c r="J19" s="288">
        <f t="shared" si="0"/>
        <v>8.76790575424763</v>
      </c>
      <c r="K19" s="328"/>
      <c r="L19" s="321"/>
      <c r="M19" s="322"/>
      <c r="N19" s="321"/>
    </row>
    <row r="20" spans="1:14" s="31" customFormat="1" ht="15">
      <c r="A20" s="320">
        <v>17</v>
      </c>
      <c r="B20" s="59" t="s">
        <v>36</v>
      </c>
      <c r="C20" s="43">
        <v>39458</v>
      </c>
      <c r="D20" s="48" t="s">
        <v>141</v>
      </c>
      <c r="E20" s="48" t="s">
        <v>76</v>
      </c>
      <c r="F20" s="96">
        <v>10</v>
      </c>
      <c r="G20" s="96">
        <v>3</v>
      </c>
      <c r="H20" s="267">
        <v>93101.5</v>
      </c>
      <c r="I20" s="268">
        <v>9769</v>
      </c>
      <c r="J20" s="288">
        <f t="shared" si="0"/>
        <v>9.530299928344764</v>
      </c>
      <c r="K20" s="328"/>
      <c r="L20" s="321"/>
      <c r="M20" s="322"/>
      <c r="N20" s="321"/>
    </row>
    <row r="21" spans="1:14" s="31" customFormat="1" ht="15">
      <c r="A21" s="320">
        <v>18</v>
      </c>
      <c r="B21" s="59" t="s">
        <v>37</v>
      </c>
      <c r="C21" s="43">
        <v>39458</v>
      </c>
      <c r="D21" s="48" t="s">
        <v>141</v>
      </c>
      <c r="E21" s="48" t="s">
        <v>51</v>
      </c>
      <c r="F21" s="96">
        <v>4</v>
      </c>
      <c r="G21" s="96">
        <v>3</v>
      </c>
      <c r="H21" s="267">
        <v>74047</v>
      </c>
      <c r="I21" s="268">
        <v>7788</v>
      </c>
      <c r="J21" s="288">
        <f t="shared" si="0"/>
        <v>9.507832562917308</v>
      </c>
      <c r="K21" s="328"/>
      <c r="L21" s="321"/>
      <c r="M21" s="322"/>
      <c r="N21" s="321"/>
    </row>
    <row r="22" spans="1:14" s="31" customFormat="1" ht="15">
      <c r="A22" s="320">
        <v>19</v>
      </c>
      <c r="B22" s="58" t="s">
        <v>191</v>
      </c>
      <c r="C22" s="43">
        <v>39472</v>
      </c>
      <c r="D22" s="47" t="s">
        <v>141</v>
      </c>
      <c r="E22" s="47" t="s">
        <v>164</v>
      </c>
      <c r="F22" s="97">
        <v>25</v>
      </c>
      <c r="G22" s="97">
        <v>1</v>
      </c>
      <c r="H22" s="267">
        <v>61791.5</v>
      </c>
      <c r="I22" s="268">
        <v>8059</v>
      </c>
      <c r="J22" s="288">
        <f t="shared" si="0"/>
        <v>7.667390495098648</v>
      </c>
      <c r="K22" s="328"/>
      <c r="L22" s="321"/>
      <c r="M22" s="322"/>
      <c r="N22" s="321"/>
    </row>
    <row r="23" spans="1:14" s="31" customFormat="1" ht="15">
      <c r="A23" s="320">
        <v>20</v>
      </c>
      <c r="B23" s="59" t="s">
        <v>18</v>
      </c>
      <c r="C23" s="43">
        <v>39451</v>
      </c>
      <c r="D23" s="48" t="s">
        <v>141</v>
      </c>
      <c r="E23" s="48" t="s">
        <v>45</v>
      </c>
      <c r="F23" s="96">
        <v>9</v>
      </c>
      <c r="G23" s="96">
        <v>3</v>
      </c>
      <c r="H23" s="267">
        <v>51182</v>
      </c>
      <c r="I23" s="268">
        <v>4663</v>
      </c>
      <c r="J23" s="288">
        <f t="shared" si="0"/>
        <v>10.976195582243191</v>
      </c>
      <c r="K23" s="328"/>
      <c r="L23" s="321"/>
      <c r="M23" s="322"/>
      <c r="N23" s="321"/>
    </row>
    <row r="24" spans="1:14" s="31" customFormat="1" ht="15">
      <c r="A24" s="320">
        <v>21</v>
      </c>
      <c r="B24" s="59" t="s">
        <v>20</v>
      </c>
      <c r="C24" s="42">
        <v>39451</v>
      </c>
      <c r="D24" s="48" t="s">
        <v>80</v>
      </c>
      <c r="E24" s="48" t="s">
        <v>21</v>
      </c>
      <c r="F24" s="66" t="s">
        <v>144</v>
      </c>
      <c r="G24" s="66" t="s">
        <v>140</v>
      </c>
      <c r="H24" s="166">
        <v>6303.5</v>
      </c>
      <c r="I24" s="167">
        <v>634</v>
      </c>
      <c r="J24" s="89">
        <f t="shared" si="0"/>
        <v>9.942429022082019</v>
      </c>
      <c r="K24" s="328">
        <v>1</v>
      </c>
      <c r="L24" s="321"/>
      <c r="M24" s="322"/>
      <c r="N24" s="321"/>
    </row>
    <row r="25" spans="1:14" s="31" customFormat="1" ht="15.75" thickBot="1">
      <c r="A25" s="320">
        <v>22</v>
      </c>
      <c r="B25" s="325" t="s">
        <v>202</v>
      </c>
      <c r="C25" s="183">
        <v>39479</v>
      </c>
      <c r="D25" s="351" t="s">
        <v>67</v>
      </c>
      <c r="E25" s="326" t="s">
        <v>159</v>
      </c>
      <c r="F25" s="327">
        <v>1</v>
      </c>
      <c r="G25" s="327">
        <v>0</v>
      </c>
      <c r="H25" s="356">
        <v>300</v>
      </c>
      <c r="I25" s="357">
        <v>40</v>
      </c>
      <c r="J25" s="358">
        <f t="shared" si="0"/>
        <v>7.5</v>
      </c>
      <c r="K25" s="328"/>
      <c r="L25" s="323"/>
      <c r="M25" s="324"/>
      <c r="N25" s="323"/>
    </row>
    <row r="26" spans="1:14" s="50" customFormat="1" ht="15">
      <c r="A26" s="399" t="s">
        <v>64</v>
      </c>
      <c r="B26" s="399"/>
      <c r="C26" s="54"/>
      <c r="D26" s="54"/>
      <c r="E26" s="54"/>
      <c r="F26" s="55">
        <f>SUM(F4:F25)</f>
        <v>1252</v>
      </c>
      <c r="G26" s="54"/>
      <c r="H26" s="149">
        <f>SUM(H4:H25)</f>
        <v>19805636</v>
      </c>
      <c r="I26" s="150">
        <f>SUM(I4:I25)</f>
        <v>2537514</v>
      </c>
      <c r="J26" s="236"/>
      <c r="K26" s="71"/>
      <c r="L26" s="68"/>
      <c r="M26" s="71"/>
      <c r="N26" s="68"/>
    </row>
    <row r="27" spans="1:10" ht="12.75">
      <c r="A27" s="232"/>
      <c r="B27" s="233"/>
      <c r="C27" s="234"/>
      <c r="D27" s="234"/>
      <c r="E27" s="234"/>
      <c r="F27" s="234"/>
      <c r="G27" s="234"/>
      <c r="H27" s="245"/>
      <c r="I27" s="246"/>
      <c r="J27" s="235"/>
    </row>
    <row r="28" spans="8:9" ht="12.75">
      <c r="H28" s="247"/>
      <c r="I28" s="248"/>
    </row>
    <row r="36" spans="2:16" ht="15">
      <c r="B36" s="240"/>
      <c r="C36" s="241"/>
      <c r="D36" s="242"/>
      <c r="E36" s="242"/>
      <c r="F36" s="243"/>
      <c r="G36" s="243"/>
      <c r="H36" s="251"/>
      <c r="I36" s="252"/>
      <c r="J36" s="244"/>
      <c r="K36" s="312"/>
      <c r="L36" s="32"/>
      <c r="M36" s="32"/>
      <c r="N36" s="32"/>
      <c r="O36" s="32"/>
      <c r="P36" s="32"/>
    </row>
  </sheetData>
  <sheetProtection/>
  <mergeCells count="10">
    <mergeCell ref="A26:B26"/>
    <mergeCell ref="B2:B3"/>
    <mergeCell ref="C2:C3"/>
    <mergeCell ref="D2:D3"/>
    <mergeCell ref="G2:G3"/>
    <mergeCell ref="H2:I2"/>
    <mergeCell ref="J2:J3"/>
    <mergeCell ref="A1:J1"/>
    <mergeCell ref="F2:F3"/>
    <mergeCell ref="E2:E3"/>
  </mergeCells>
  <printOptions/>
  <pageMargins left="0.87" right="0.58" top="0.63" bottom="0.76" header="0.11811023622047245" footer="0.5"/>
  <pageSetup orientation="portrait" paperSize="9" scale="80"/>
  <ignoredErrors>
    <ignoredError sqref="F16:G25" numberStoredAsText="1"/>
    <ignoredError sqref="J5:J24" formula="1"/>
  </ignoredErrors>
</worksheet>
</file>

<file path=xl/worksheets/sheet3.xml><?xml version="1.0" encoding="utf-8"?>
<worksheet xmlns="http://schemas.openxmlformats.org/spreadsheetml/2006/main" xmlns:r="http://schemas.openxmlformats.org/officeDocument/2006/relationships">
  <dimension ref="A1:P193"/>
  <sheetViews>
    <sheetView zoomScale="90" zoomScaleNormal="90" zoomScalePageLayoutView="0" workbookViewId="0" topLeftCell="A1">
      <selection activeCell="B2" sqref="B2:B3"/>
    </sheetView>
  </sheetViews>
  <sheetFormatPr defaultColWidth="4.00390625" defaultRowHeight="12.75"/>
  <cols>
    <col min="1" max="1" width="3.140625" style="0" bestFit="1" customWidth="1"/>
    <col min="2" max="2" width="44.7109375" style="0" bestFit="1" customWidth="1"/>
    <col min="3" max="3" width="8.7109375" style="90" bestFit="1" customWidth="1"/>
    <col min="4" max="4" width="13.140625" style="0" bestFit="1" customWidth="1"/>
    <col min="5" max="5" width="19.8515625" style="0" bestFit="1" customWidth="1"/>
    <col min="6" max="6" width="5.8515625" style="228" bestFit="1" customWidth="1"/>
    <col min="7" max="7" width="7.7109375" style="229" bestFit="1" customWidth="1"/>
    <col min="8" max="8" width="9.00390625" style="90" customWidth="1"/>
    <col min="9" max="9" width="14.28125" style="0" bestFit="1" customWidth="1"/>
    <col min="10" max="10" width="10.28125" style="0" bestFit="1" customWidth="1"/>
    <col min="11" max="11" width="9.28125" style="0" customWidth="1"/>
    <col min="12" max="12" width="6.7109375" style="0" bestFit="1" customWidth="1"/>
    <col min="13" max="13" width="14.28125" style="0" bestFit="1" customWidth="1"/>
    <col min="14" max="14" width="10.28125" style="0" bestFit="1" customWidth="1"/>
    <col min="15" max="15" width="6.7109375" style="0" bestFit="1" customWidth="1"/>
    <col min="16" max="16" width="4.00390625" style="230" customWidth="1"/>
  </cols>
  <sheetData>
    <row r="1" spans="1:15" ht="33.75" thickBot="1">
      <c r="A1" s="411" t="s">
        <v>207</v>
      </c>
      <c r="B1" s="412"/>
      <c r="C1" s="412"/>
      <c r="D1" s="412"/>
      <c r="E1" s="412"/>
      <c r="F1" s="412"/>
      <c r="G1" s="412"/>
      <c r="H1" s="413"/>
      <c r="I1" s="413"/>
      <c r="J1" s="413"/>
      <c r="K1" s="413"/>
      <c r="L1" s="413"/>
      <c r="M1" s="413"/>
      <c r="N1" s="413"/>
      <c r="O1" s="413"/>
    </row>
    <row r="2" spans="1:16" s="185" customFormat="1" ht="14.25">
      <c r="A2" s="221"/>
      <c r="B2" s="414" t="s">
        <v>149</v>
      </c>
      <c r="C2" s="416" t="s">
        <v>150</v>
      </c>
      <c r="D2" s="410" t="s">
        <v>66</v>
      </c>
      <c r="E2" s="410" t="s">
        <v>65</v>
      </c>
      <c r="F2" s="403" t="s">
        <v>151</v>
      </c>
      <c r="G2" s="403" t="s">
        <v>158</v>
      </c>
      <c r="H2" s="405" t="s">
        <v>160</v>
      </c>
      <c r="I2" s="407" t="s">
        <v>152</v>
      </c>
      <c r="J2" s="407"/>
      <c r="K2" s="407"/>
      <c r="L2" s="407"/>
      <c r="M2" s="408" t="s">
        <v>153</v>
      </c>
      <c r="N2" s="408"/>
      <c r="O2" s="409"/>
      <c r="P2" s="231"/>
    </row>
    <row r="3" spans="1:16" s="185" customFormat="1" ht="46.5" customHeight="1" thickBot="1">
      <c r="A3" s="222"/>
      <c r="B3" s="415"/>
      <c r="C3" s="417"/>
      <c r="D3" s="404"/>
      <c r="E3" s="404"/>
      <c r="F3" s="404"/>
      <c r="G3" s="404"/>
      <c r="H3" s="406"/>
      <c r="I3" s="314" t="s">
        <v>154</v>
      </c>
      <c r="J3" s="315" t="s">
        <v>155</v>
      </c>
      <c r="K3" s="316" t="s">
        <v>46</v>
      </c>
      <c r="L3" s="317" t="s">
        <v>156</v>
      </c>
      <c r="M3" s="318" t="s">
        <v>154</v>
      </c>
      <c r="N3" s="315" t="s">
        <v>155</v>
      </c>
      <c r="O3" s="319" t="s">
        <v>157</v>
      </c>
      <c r="P3" s="231"/>
    </row>
    <row r="4" spans="1:16" ht="15">
      <c r="A4" s="99">
        <v>1</v>
      </c>
      <c r="B4" s="136" t="s">
        <v>104</v>
      </c>
      <c r="C4" s="52">
        <v>39430</v>
      </c>
      <c r="D4" s="137" t="s">
        <v>68</v>
      </c>
      <c r="E4" s="137" t="s">
        <v>78</v>
      </c>
      <c r="F4" s="138">
        <v>242</v>
      </c>
      <c r="G4" s="138">
        <v>185</v>
      </c>
      <c r="H4" s="138">
        <v>4</v>
      </c>
      <c r="I4" s="172">
        <v>1431289</v>
      </c>
      <c r="J4" s="173">
        <v>188081</v>
      </c>
      <c r="K4" s="174">
        <f>J4/G4</f>
        <v>1016.6540540540541</v>
      </c>
      <c r="L4" s="175">
        <f>+I4/J4</f>
        <v>7.609960602081018</v>
      </c>
      <c r="M4" s="176">
        <v>13067700</v>
      </c>
      <c r="N4" s="174">
        <v>1676072</v>
      </c>
      <c r="O4" s="177">
        <f>+M4/N4</f>
        <v>7.79662210215313</v>
      </c>
      <c r="P4" s="312">
        <v>1</v>
      </c>
    </row>
    <row r="5" spans="1:16" ht="15">
      <c r="A5" s="99">
        <v>2</v>
      </c>
      <c r="B5" s="58" t="s">
        <v>15</v>
      </c>
      <c r="C5" s="42">
        <v>39437</v>
      </c>
      <c r="D5" s="95" t="s">
        <v>68</v>
      </c>
      <c r="E5" s="95" t="s">
        <v>12</v>
      </c>
      <c r="F5" s="44">
        <v>137</v>
      </c>
      <c r="G5" s="44">
        <v>185</v>
      </c>
      <c r="H5" s="44">
        <v>2</v>
      </c>
      <c r="I5" s="94">
        <v>1396135</v>
      </c>
      <c r="J5" s="107">
        <v>158936</v>
      </c>
      <c r="K5" s="154">
        <f>J5/G5</f>
        <v>859.1135135135136</v>
      </c>
      <c r="L5" s="155">
        <f>+I5/J5</f>
        <v>8.784259072834349</v>
      </c>
      <c r="M5" s="156">
        <v>1396135</v>
      </c>
      <c r="N5" s="154">
        <v>158936</v>
      </c>
      <c r="O5" s="178">
        <f>+M5/N5</f>
        <v>8.784259072834349</v>
      </c>
      <c r="P5" s="312"/>
    </row>
    <row r="6" spans="1:16" ht="15.75" thickBot="1">
      <c r="A6" s="362">
        <v>3</v>
      </c>
      <c r="B6" s="151" t="s">
        <v>104</v>
      </c>
      <c r="C6" s="109">
        <v>39430</v>
      </c>
      <c r="D6" s="290" t="s">
        <v>68</v>
      </c>
      <c r="E6" s="290" t="s">
        <v>34</v>
      </c>
      <c r="F6" s="152">
        <v>242</v>
      </c>
      <c r="G6" s="152">
        <v>185</v>
      </c>
      <c r="H6" s="152">
        <v>5</v>
      </c>
      <c r="I6" s="291">
        <v>920357</v>
      </c>
      <c r="J6" s="292">
        <v>125060</v>
      </c>
      <c r="K6" s="293">
        <f>J6/G6</f>
        <v>676</v>
      </c>
      <c r="L6" s="294">
        <f>+I6/J6</f>
        <v>7.35932352470814</v>
      </c>
      <c r="M6" s="295">
        <v>13988666</v>
      </c>
      <c r="N6" s="293">
        <v>1800857</v>
      </c>
      <c r="O6" s="296">
        <f>+M6/N6</f>
        <v>7.767782783419228</v>
      </c>
      <c r="P6" s="312">
        <v>1</v>
      </c>
    </row>
    <row r="7" spans="1:16" ht="15">
      <c r="A7" s="99">
        <v>4</v>
      </c>
      <c r="B7" s="297" t="s">
        <v>104</v>
      </c>
      <c r="C7" s="254">
        <v>39430</v>
      </c>
      <c r="D7" s="298" t="s">
        <v>68</v>
      </c>
      <c r="E7" s="298" t="s">
        <v>34</v>
      </c>
      <c r="F7" s="299">
        <v>242</v>
      </c>
      <c r="G7" s="299">
        <v>185</v>
      </c>
      <c r="H7" s="299">
        <v>6</v>
      </c>
      <c r="I7" s="300">
        <v>861447</v>
      </c>
      <c r="J7" s="301">
        <v>117552</v>
      </c>
      <c r="K7" s="302">
        <f>J7/G7</f>
        <v>635.4162162162162</v>
      </c>
      <c r="L7" s="303">
        <f>+I7/J7</f>
        <v>7.328220702327481</v>
      </c>
      <c r="M7" s="304">
        <v>14845690</v>
      </c>
      <c r="N7" s="302">
        <v>1918024</v>
      </c>
      <c r="O7" s="305">
        <f>+M7/N7</f>
        <v>7.7400960571921935</v>
      </c>
      <c r="P7" s="312">
        <v>1</v>
      </c>
    </row>
    <row r="8" spans="1:16" ht="15">
      <c r="A8" s="99">
        <v>5</v>
      </c>
      <c r="B8" s="329" t="s">
        <v>116</v>
      </c>
      <c r="C8" s="307">
        <v>39437</v>
      </c>
      <c r="D8" s="330" t="s">
        <v>69</v>
      </c>
      <c r="E8" s="330" t="s">
        <v>117</v>
      </c>
      <c r="F8" s="308">
        <v>156</v>
      </c>
      <c r="G8" s="331">
        <v>156</v>
      </c>
      <c r="H8" s="331">
        <v>3</v>
      </c>
      <c r="I8" s="332">
        <v>721829.5</v>
      </c>
      <c r="J8" s="333">
        <v>97288</v>
      </c>
      <c r="K8" s="309">
        <f>IF(I8&lt;&gt;0,J8/G8,"")</f>
        <v>623.6410256410256</v>
      </c>
      <c r="L8" s="310">
        <f>IF(I8&lt;&gt;0,I8/J8,"")</f>
        <v>7.419512170051805</v>
      </c>
      <c r="M8" s="336">
        <f>1780127+1212579.5+721829.5</f>
        <v>3714536</v>
      </c>
      <c r="N8" s="306">
        <f>240776+165120+97288</f>
        <v>503184</v>
      </c>
      <c r="O8" s="311">
        <f>IF(M8&lt;&gt;0,M8/N8,"")</f>
        <v>7.382063022671627</v>
      </c>
      <c r="P8" s="312"/>
    </row>
    <row r="9" spans="1:16" ht="15">
      <c r="A9" s="99">
        <v>6</v>
      </c>
      <c r="B9" s="57" t="s">
        <v>129</v>
      </c>
      <c r="C9" s="42">
        <v>39402</v>
      </c>
      <c r="D9" s="45" t="s">
        <v>63</v>
      </c>
      <c r="E9" s="45" t="s">
        <v>130</v>
      </c>
      <c r="F9" s="65">
        <v>165</v>
      </c>
      <c r="G9" s="65">
        <v>165</v>
      </c>
      <c r="H9" s="65">
        <v>8</v>
      </c>
      <c r="I9" s="106">
        <v>635116</v>
      </c>
      <c r="J9" s="134">
        <v>92002</v>
      </c>
      <c r="K9" s="157">
        <f>IF(I9&lt;&gt;0,J9/G9,"")</f>
        <v>557.5878787878788</v>
      </c>
      <c r="L9" s="158">
        <f>IF(I9&lt;&gt;0,I9/J9,"")</f>
        <v>6.90328471120193</v>
      </c>
      <c r="M9" s="159">
        <f>12736195.5+635116</f>
        <v>13371311.5</v>
      </c>
      <c r="N9" s="154">
        <f>271934+322135+339926+262189+150199+208899+146862+92002</f>
        <v>1794146</v>
      </c>
      <c r="O9" s="179">
        <f>IF(M9&lt;&gt;0,M9/N9,"")</f>
        <v>7.452744369744714</v>
      </c>
      <c r="P9" s="313"/>
    </row>
    <row r="10" spans="1:16" ht="15">
      <c r="A10" s="99">
        <v>7</v>
      </c>
      <c r="B10" s="58" t="s">
        <v>116</v>
      </c>
      <c r="C10" s="42">
        <v>39437</v>
      </c>
      <c r="D10" s="47" t="s">
        <v>69</v>
      </c>
      <c r="E10" s="47" t="s">
        <v>117</v>
      </c>
      <c r="F10" s="65">
        <v>156</v>
      </c>
      <c r="G10" s="44">
        <v>155</v>
      </c>
      <c r="H10" s="44">
        <v>4</v>
      </c>
      <c r="I10" s="255">
        <v>404706.5</v>
      </c>
      <c r="J10" s="256">
        <v>55998</v>
      </c>
      <c r="K10" s="257">
        <f>J10/G10</f>
        <v>361.2774193548387</v>
      </c>
      <c r="L10" s="258">
        <f>+I10/J10</f>
        <v>7.227159898567806</v>
      </c>
      <c r="M10" s="259">
        <f>1780127+1212579.5+721829.5+404706.5</f>
        <v>4119242.5</v>
      </c>
      <c r="N10" s="257">
        <f>240776+165120+97288+55998</f>
        <v>559182</v>
      </c>
      <c r="O10" s="285">
        <f>+M10/N10</f>
        <v>7.366550604275531</v>
      </c>
      <c r="P10" s="313"/>
    </row>
    <row r="11" spans="1:16" ht="15">
      <c r="A11" s="99">
        <v>8</v>
      </c>
      <c r="B11" s="57" t="s">
        <v>129</v>
      </c>
      <c r="C11" s="42">
        <v>39402</v>
      </c>
      <c r="D11" s="45" t="s">
        <v>63</v>
      </c>
      <c r="E11" s="45" t="s">
        <v>130</v>
      </c>
      <c r="F11" s="65">
        <v>165</v>
      </c>
      <c r="G11" s="65">
        <v>113</v>
      </c>
      <c r="H11" s="65">
        <v>9</v>
      </c>
      <c r="I11" s="260">
        <v>336718.5</v>
      </c>
      <c r="J11" s="261">
        <v>47008</v>
      </c>
      <c r="K11" s="262">
        <f>IF(I11&lt;&gt;0,J11/G11,"")</f>
        <v>416</v>
      </c>
      <c r="L11" s="263">
        <f>IF(I11&lt;&gt;0,I11/J11,"")</f>
        <v>7.163004169503063</v>
      </c>
      <c r="M11" s="264">
        <f>12736195.5+635116+336718.5</f>
        <v>13708030</v>
      </c>
      <c r="N11" s="257">
        <f>271934+322135+339926+262189+150199+208899+146862+92002+47008</f>
        <v>1841154</v>
      </c>
      <c r="O11" s="286">
        <f>IF(M11&lt;&gt;0,M11/N11,"")</f>
        <v>7.445346777075682</v>
      </c>
      <c r="P11" s="313"/>
    </row>
    <row r="12" spans="1:16" ht="15">
      <c r="A12" s="99">
        <v>9</v>
      </c>
      <c r="B12" s="58" t="s">
        <v>104</v>
      </c>
      <c r="C12" s="43">
        <v>39430</v>
      </c>
      <c r="D12" s="95" t="s">
        <v>68</v>
      </c>
      <c r="E12" s="95" t="s">
        <v>78</v>
      </c>
      <c r="F12" s="44">
        <v>242</v>
      </c>
      <c r="G12" s="44">
        <v>185</v>
      </c>
      <c r="H12" s="44">
        <v>7</v>
      </c>
      <c r="I12" s="255">
        <v>299093</v>
      </c>
      <c r="J12" s="256">
        <v>42918</v>
      </c>
      <c r="K12" s="257">
        <f>J12/G12</f>
        <v>231.98918918918918</v>
      </c>
      <c r="L12" s="258">
        <f>+I12/J12</f>
        <v>6.9689407707721704</v>
      </c>
      <c r="M12" s="259">
        <v>15148054</v>
      </c>
      <c r="N12" s="257">
        <v>1961195</v>
      </c>
      <c r="O12" s="288">
        <f>+M12/N12</f>
        <v>7.7238897712874035</v>
      </c>
      <c r="P12" s="313"/>
    </row>
    <row r="13" spans="1:16" ht="15">
      <c r="A13" s="99">
        <v>10</v>
      </c>
      <c r="B13" s="58" t="s">
        <v>106</v>
      </c>
      <c r="C13" s="43">
        <v>39430</v>
      </c>
      <c r="D13" s="95" t="s">
        <v>68</v>
      </c>
      <c r="E13" s="95" t="s">
        <v>75</v>
      </c>
      <c r="F13" s="44">
        <v>137</v>
      </c>
      <c r="G13" s="44">
        <v>137</v>
      </c>
      <c r="H13" s="44">
        <v>4</v>
      </c>
      <c r="I13" s="94">
        <v>273087</v>
      </c>
      <c r="J13" s="107">
        <v>37482</v>
      </c>
      <c r="K13" s="154">
        <f>J13/G13</f>
        <v>273.59124087591243</v>
      </c>
      <c r="L13" s="155">
        <f>+I13/J13</f>
        <v>7.285817192252281</v>
      </c>
      <c r="M13" s="156">
        <v>3140871</v>
      </c>
      <c r="N13" s="154">
        <v>386657</v>
      </c>
      <c r="O13" s="178">
        <f>+M13/N13</f>
        <v>8.123145320012311</v>
      </c>
      <c r="P13" s="328"/>
    </row>
    <row r="14" spans="1:16" ht="15">
      <c r="A14" s="99">
        <v>11</v>
      </c>
      <c r="B14" s="57" t="s">
        <v>129</v>
      </c>
      <c r="C14" s="42">
        <v>39402</v>
      </c>
      <c r="D14" s="45" t="s">
        <v>63</v>
      </c>
      <c r="E14" s="45" t="s">
        <v>130</v>
      </c>
      <c r="F14" s="65">
        <v>165</v>
      </c>
      <c r="G14" s="65">
        <v>94</v>
      </c>
      <c r="H14" s="65">
        <v>10</v>
      </c>
      <c r="I14" s="260">
        <v>243017</v>
      </c>
      <c r="J14" s="261">
        <v>33955</v>
      </c>
      <c r="K14" s="262">
        <f>IF(I14&lt;&gt;0,J14/G14,"")</f>
        <v>361.22340425531917</v>
      </c>
      <c r="L14" s="263">
        <f>IF(I14&lt;&gt;0,I14/J14,"")</f>
        <v>7.157031365041967</v>
      </c>
      <c r="M14" s="264">
        <f>12736195.5+635116+336718.5+243017</f>
        <v>13951047</v>
      </c>
      <c r="N14" s="257">
        <f>271934+322135+339926+262189+150199+208899+146862+92002+47008+33955</f>
        <v>1875109</v>
      </c>
      <c r="O14" s="286">
        <f>IF(M14&lt;&gt;0,M14/N14,"")</f>
        <v>7.440125880682136</v>
      </c>
      <c r="P14" s="328">
        <v>1</v>
      </c>
    </row>
    <row r="15" spans="1:16" ht="15">
      <c r="A15" s="99">
        <v>12</v>
      </c>
      <c r="B15" s="58" t="s">
        <v>116</v>
      </c>
      <c r="C15" s="42">
        <v>39437</v>
      </c>
      <c r="D15" s="47" t="s">
        <v>69</v>
      </c>
      <c r="E15" s="47" t="s">
        <v>117</v>
      </c>
      <c r="F15" s="65">
        <v>156</v>
      </c>
      <c r="G15" s="44">
        <v>99</v>
      </c>
      <c r="H15" s="44">
        <v>5</v>
      </c>
      <c r="I15" s="255">
        <v>230362.5</v>
      </c>
      <c r="J15" s="256">
        <v>35379</v>
      </c>
      <c r="K15" s="274">
        <f>J15/G15</f>
        <v>357.3636363636364</v>
      </c>
      <c r="L15" s="275">
        <f>I15/J15</f>
        <v>6.5112778767065205</v>
      </c>
      <c r="M15" s="259">
        <f>1780127+1212579.5+721829.5+404706.5+230362.5</f>
        <v>4349605</v>
      </c>
      <c r="N15" s="257">
        <f>240776+165120+97288+55998+35379</f>
        <v>594561</v>
      </c>
      <c r="O15" s="288">
        <f>+M15/N15</f>
        <v>7.315658107410341</v>
      </c>
      <c r="P15" s="328"/>
    </row>
    <row r="16" spans="1:16" ht="15">
      <c r="A16" s="99">
        <v>13</v>
      </c>
      <c r="B16" s="58" t="s">
        <v>106</v>
      </c>
      <c r="C16" s="43">
        <v>39430</v>
      </c>
      <c r="D16" s="95" t="s">
        <v>68</v>
      </c>
      <c r="E16" s="95" t="s">
        <v>75</v>
      </c>
      <c r="F16" s="44">
        <v>137</v>
      </c>
      <c r="G16" s="44">
        <v>137</v>
      </c>
      <c r="H16" s="44">
        <v>5</v>
      </c>
      <c r="I16" s="255">
        <v>136014</v>
      </c>
      <c r="J16" s="256">
        <v>19903</v>
      </c>
      <c r="K16" s="257">
        <f>J16/G16</f>
        <v>145.27737226277372</v>
      </c>
      <c r="L16" s="258">
        <f>+I16/J16</f>
        <v>6.8338441440988795</v>
      </c>
      <c r="M16" s="259">
        <v>3276898</v>
      </c>
      <c r="N16" s="257">
        <v>406562</v>
      </c>
      <c r="O16" s="285">
        <f>+M16/N16</f>
        <v>8.060020365897453</v>
      </c>
      <c r="P16" s="328"/>
    </row>
    <row r="17" spans="1:16" ht="15">
      <c r="A17" s="99">
        <v>14</v>
      </c>
      <c r="B17" s="57" t="s">
        <v>129</v>
      </c>
      <c r="C17" s="42">
        <v>39402</v>
      </c>
      <c r="D17" s="45" t="s">
        <v>63</v>
      </c>
      <c r="E17" s="45" t="s">
        <v>130</v>
      </c>
      <c r="F17" s="65">
        <v>165</v>
      </c>
      <c r="G17" s="65">
        <v>66</v>
      </c>
      <c r="H17" s="65">
        <v>11</v>
      </c>
      <c r="I17" s="260">
        <v>121597.5</v>
      </c>
      <c r="J17" s="261">
        <v>17959</v>
      </c>
      <c r="K17" s="262">
        <f>IF(I17&lt;&gt;0,J17/G17,"")</f>
        <v>272.1060606060606</v>
      </c>
      <c r="L17" s="263">
        <f>IF(I17&lt;&gt;0,I17/J17,"")</f>
        <v>6.770839133582048</v>
      </c>
      <c r="M17" s="264">
        <f>12736195.5+635116+336718.5+243017+121597.5</f>
        <v>14072644.5</v>
      </c>
      <c r="N17" s="257">
        <f>271934+322135+339926+262189+150199+208899+146862+92002+47008+33955+17959</f>
        <v>1893068</v>
      </c>
      <c r="O17" s="286">
        <f>IF(M17&lt;&gt;0,M17/N17,"")</f>
        <v>7.4337765468541015</v>
      </c>
      <c r="P17" s="328"/>
    </row>
    <row r="18" spans="1:16" ht="15">
      <c r="A18" s="99">
        <v>15</v>
      </c>
      <c r="B18" s="58" t="s">
        <v>106</v>
      </c>
      <c r="C18" s="43">
        <v>39430</v>
      </c>
      <c r="D18" s="95" t="s">
        <v>68</v>
      </c>
      <c r="E18" s="95" t="s">
        <v>75</v>
      </c>
      <c r="F18" s="44">
        <v>137</v>
      </c>
      <c r="G18" s="44">
        <v>137</v>
      </c>
      <c r="H18" s="44">
        <v>6</v>
      </c>
      <c r="I18" s="255">
        <v>113315</v>
      </c>
      <c r="J18" s="256">
        <v>21121</v>
      </c>
      <c r="K18" s="257">
        <f aca="true" t="shared" si="0" ref="K18:K26">J18/G18</f>
        <v>154.16788321167883</v>
      </c>
      <c r="L18" s="258">
        <f>+I18/J18</f>
        <v>5.365039534112968</v>
      </c>
      <c r="M18" s="259">
        <v>3360487</v>
      </c>
      <c r="N18" s="257">
        <v>424724</v>
      </c>
      <c r="O18" s="285">
        <f aca="true" t="shared" si="1" ref="O18:O25">+M18/N18</f>
        <v>7.912166489296578</v>
      </c>
      <c r="P18" s="328"/>
    </row>
    <row r="19" spans="1:16" ht="15">
      <c r="A19" s="99">
        <v>16</v>
      </c>
      <c r="B19" s="57" t="s">
        <v>3</v>
      </c>
      <c r="C19" s="42">
        <v>39444</v>
      </c>
      <c r="D19" s="46" t="s">
        <v>67</v>
      </c>
      <c r="E19" s="45" t="s">
        <v>78</v>
      </c>
      <c r="F19" s="65">
        <v>60</v>
      </c>
      <c r="G19" s="65">
        <v>60</v>
      </c>
      <c r="H19" s="65">
        <v>2</v>
      </c>
      <c r="I19" s="93">
        <v>90759</v>
      </c>
      <c r="J19" s="105">
        <v>9879</v>
      </c>
      <c r="K19" s="164">
        <f t="shared" si="0"/>
        <v>164.65</v>
      </c>
      <c r="L19" s="165">
        <f>I19/J19</f>
        <v>9.187063467962345</v>
      </c>
      <c r="M19" s="166">
        <f>211429+90759</f>
        <v>302188</v>
      </c>
      <c r="N19" s="167">
        <f>22982+9879</f>
        <v>32861</v>
      </c>
      <c r="O19" s="89">
        <f t="shared" si="1"/>
        <v>9.195946562794802</v>
      </c>
      <c r="P19" s="328"/>
    </row>
    <row r="20" spans="1:16" ht="15">
      <c r="A20" s="99">
        <v>17</v>
      </c>
      <c r="B20" s="57" t="s">
        <v>98</v>
      </c>
      <c r="C20" s="42">
        <v>39416</v>
      </c>
      <c r="D20" s="46" t="s">
        <v>67</v>
      </c>
      <c r="E20" s="45" t="s">
        <v>159</v>
      </c>
      <c r="F20" s="65">
        <v>123</v>
      </c>
      <c r="G20" s="65">
        <v>22</v>
      </c>
      <c r="H20" s="65">
        <v>6</v>
      </c>
      <c r="I20" s="93">
        <v>84508</v>
      </c>
      <c r="J20" s="105">
        <v>7913</v>
      </c>
      <c r="K20" s="164">
        <f t="shared" si="0"/>
        <v>359.6818181818182</v>
      </c>
      <c r="L20" s="165">
        <f>I20/J20</f>
        <v>10.679641096929103</v>
      </c>
      <c r="M20" s="166">
        <f>155416+1136619+622980+528056+225392+174199+84508</f>
        <v>2927170</v>
      </c>
      <c r="N20" s="167">
        <f>12079+122083+66530+52286+18245+17821+7913</f>
        <v>296957</v>
      </c>
      <c r="O20" s="89">
        <f t="shared" si="1"/>
        <v>9.857218385153406</v>
      </c>
      <c r="P20" s="328"/>
    </row>
    <row r="21" spans="1:16" ht="15">
      <c r="A21" s="99">
        <v>18</v>
      </c>
      <c r="B21" s="58" t="s">
        <v>118</v>
      </c>
      <c r="C21" s="42">
        <v>39437</v>
      </c>
      <c r="D21" s="95" t="s">
        <v>68</v>
      </c>
      <c r="E21" s="95" t="s">
        <v>71</v>
      </c>
      <c r="F21" s="44">
        <v>105</v>
      </c>
      <c r="G21" s="44">
        <v>105</v>
      </c>
      <c r="H21" s="44">
        <v>3</v>
      </c>
      <c r="I21" s="94">
        <v>82906</v>
      </c>
      <c r="J21" s="107">
        <v>10166</v>
      </c>
      <c r="K21" s="154">
        <f t="shared" si="0"/>
        <v>96.81904761904762</v>
      </c>
      <c r="L21" s="155">
        <f>+I21/J21</f>
        <v>8.15522329333071</v>
      </c>
      <c r="M21" s="156">
        <v>702583</v>
      </c>
      <c r="N21" s="154">
        <v>80340</v>
      </c>
      <c r="O21" s="178">
        <f t="shared" si="1"/>
        <v>8.74512073686831</v>
      </c>
      <c r="P21" s="328"/>
    </row>
    <row r="22" spans="1:16" ht="15">
      <c r="A22" s="99">
        <v>19</v>
      </c>
      <c r="B22" s="59" t="s">
        <v>107</v>
      </c>
      <c r="C22" s="42">
        <v>39430</v>
      </c>
      <c r="D22" s="48" t="s">
        <v>148</v>
      </c>
      <c r="E22" s="48" t="s">
        <v>5</v>
      </c>
      <c r="F22" s="66" t="s">
        <v>108</v>
      </c>
      <c r="G22" s="66" t="s">
        <v>91</v>
      </c>
      <c r="H22" s="66" t="s">
        <v>113</v>
      </c>
      <c r="I22" s="93">
        <v>78213.2</v>
      </c>
      <c r="J22" s="105">
        <v>12336</v>
      </c>
      <c r="K22" s="164">
        <f t="shared" si="0"/>
        <v>342.6666666666667</v>
      </c>
      <c r="L22" s="165">
        <f>I22/J22</f>
        <v>6.340239948119326</v>
      </c>
      <c r="M22" s="166">
        <v>1212794.44</v>
      </c>
      <c r="N22" s="167">
        <v>153930</v>
      </c>
      <c r="O22" s="89">
        <f t="shared" si="1"/>
        <v>7.8788698759176246</v>
      </c>
      <c r="P22" s="328"/>
    </row>
    <row r="23" spans="1:16" ht="15">
      <c r="A23" s="99">
        <v>20</v>
      </c>
      <c r="B23" s="58" t="s">
        <v>106</v>
      </c>
      <c r="C23" s="43">
        <v>39430</v>
      </c>
      <c r="D23" s="95" t="s">
        <v>68</v>
      </c>
      <c r="E23" s="95" t="s">
        <v>75</v>
      </c>
      <c r="F23" s="44">
        <v>137</v>
      </c>
      <c r="G23" s="44">
        <v>137</v>
      </c>
      <c r="H23" s="44">
        <v>7</v>
      </c>
      <c r="I23" s="255">
        <v>76083</v>
      </c>
      <c r="J23" s="256">
        <v>13888</v>
      </c>
      <c r="K23" s="257">
        <f t="shared" si="0"/>
        <v>101.37226277372262</v>
      </c>
      <c r="L23" s="258">
        <f>+I23/J23</f>
        <v>5.478326612903226</v>
      </c>
      <c r="M23" s="259">
        <v>3436598</v>
      </c>
      <c r="N23" s="257">
        <v>438616</v>
      </c>
      <c r="O23" s="288">
        <f t="shared" si="1"/>
        <v>7.835094934977292</v>
      </c>
      <c r="P23" s="328"/>
    </row>
    <row r="24" spans="1:16" ht="15">
      <c r="A24" s="99">
        <v>21</v>
      </c>
      <c r="B24" s="59" t="s">
        <v>9</v>
      </c>
      <c r="C24" s="43">
        <v>39444</v>
      </c>
      <c r="D24" s="48" t="s">
        <v>141</v>
      </c>
      <c r="E24" s="48" t="s">
        <v>138</v>
      </c>
      <c r="F24" s="96">
        <v>25</v>
      </c>
      <c r="G24" s="97">
        <v>23</v>
      </c>
      <c r="H24" s="96">
        <v>2</v>
      </c>
      <c r="I24" s="93">
        <v>65035.5</v>
      </c>
      <c r="J24" s="105">
        <v>6458</v>
      </c>
      <c r="K24" s="164">
        <f t="shared" si="0"/>
        <v>280.7826086956522</v>
      </c>
      <c r="L24" s="165">
        <f>I24/J24</f>
        <v>10.070532672654073</v>
      </c>
      <c r="M24" s="166">
        <v>230495.75</v>
      </c>
      <c r="N24" s="167">
        <v>22538</v>
      </c>
      <c r="O24" s="89">
        <f t="shared" si="1"/>
        <v>10.226983317064514</v>
      </c>
      <c r="P24" s="328"/>
    </row>
    <row r="25" spans="1:16" ht="15">
      <c r="A25" s="99">
        <v>22</v>
      </c>
      <c r="B25" s="57" t="s">
        <v>98</v>
      </c>
      <c r="C25" s="42">
        <v>39416</v>
      </c>
      <c r="D25" s="46" t="s">
        <v>67</v>
      </c>
      <c r="E25" s="45" t="s">
        <v>159</v>
      </c>
      <c r="F25" s="65">
        <v>123</v>
      </c>
      <c r="G25" s="65">
        <v>13</v>
      </c>
      <c r="H25" s="65">
        <v>7</v>
      </c>
      <c r="I25" s="265">
        <v>58425</v>
      </c>
      <c r="J25" s="266">
        <v>4333</v>
      </c>
      <c r="K25" s="274">
        <f t="shared" si="0"/>
        <v>333.3076923076923</v>
      </c>
      <c r="L25" s="275">
        <f>I25/J25</f>
        <v>13.483729517655204</v>
      </c>
      <c r="M25" s="267">
        <f>155416+1136619+622980+528056+225392+174199+84508+58425</f>
        <v>2985595</v>
      </c>
      <c r="N25" s="268">
        <f>12079+122083+66530+52286+18245+17821+7913+4333</f>
        <v>301290</v>
      </c>
      <c r="O25" s="288">
        <f t="shared" si="1"/>
        <v>9.909373029307313</v>
      </c>
      <c r="P25" s="328">
        <v>1</v>
      </c>
    </row>
    <row r="26" spans="1:16" ht="15">
      <c r="A26" s="99">
        <v>23</v>
      </c>
      <c r="B26" s="58" t="s">
        <v>116</v>
      </c>
      <c r="C26" s="42">
        <v>39437</v>
      </c>
      <c r="D26" s="47" t="s">
        <v>69</v>
      </c>
      <c r="E26" s="47" t="s">
        <v>117</v>
      </c>
      <c r="F26" s="44">
        <v>156</v>
      </c>
      <c r="G26" s="44">
        <v>35</v>
      </c>
      <c r="H26" s="44">
        <v>6</v>
      </c>
      <c r="I26" s="255">
        <v>56484.5</v>
      </c>
      <c r="J26" s="256">
        <v>10296</v>
      </c>
      <c r="K26" s="274">
        <f t="shared" si="0"/>
        <v>294.1714285714286</v>
      </c>
      <c r="L26" s="275">
        <f>I26/J26</f>
        <v>5.486062548562549</v>
      </c>
      <c r="M26" s="259">
        <f>1780127+1212579.5+721829.5+404706.5+230406+56484.5</f>
        <v>4406133</v>
      </c>
      <c r="N26" s="257">
        <f>240776+165120+97288+55998+35394+10296</f>
        <v>604872</v>
      </c>
      <c r="O26" s="287">
        <f>M26/N26</f>
        <v>7.284405626314328</v>
      </c>
      <c r="P26" s="328">
        <v>1</v>
      </c>
    </row>
    <row r="27" spans="1:16" ht="15">
      <c r="A27" s="99">
        <v>24</v>
      </c>
      <c r="B27" s="59" t="s">
        <v>4</v>
      </c>
      <c r="C27" s="42">
        <v>39444</v>
      </c>
      <c r="D27" s="48" t="s">
        <v>102</v>
      </c>
      <c r="E27" s="48" t="s">
        <v>102</v>
      </c>
      <c r="F27" s="60">
        <v>14</v>
      </c>
      <c r="G27" s="60">
        <v>14</v>
      </c>
      <c r="H27" s="60">
        <v>2</v>
      </c>
      <c r="I27" s="93">
        <v>51922</v>
      </c>
      <c r="J27" s="105">
        <v>4660</v>
      </c>
      <c r="K27" s="157">
        <f>+J27/G27</f>
        <v>332.85714285714283</v>
      </c>
      <c r="L27" s="158">
        <f>+I27/J27</f>
        <v>11.14206008583691</v>
      </c>
      <c r="M27" s="166">
        <v>203381</v>
      </c>
      <c r="N27" s="167">
        <v>18712</v>
      </c>
      <c r="O27" s="179">
        <f>+M27/N27</f>
        <v>10.86901453612655</v>
      </c>
      <c r="P27" s="328">
        <v>1</v>
      </c>
    </row>
    <row r="28" spans="1:16" ht="15">
      <c r="A28" s="99">
        <v>25</v>
      </c>
      <c r="B28" s="57" t="s">
        <v>103</v>
      </c>
      <c r="C28" s="42">
        <v>39423</v>
      </c>
      <c r="D28" s="45" t="s">
        <v>63</v>
      </c>
      <c r="E28" s="45" t="s">
        <v>58</v>
      </c>
      <c r="F28" s="65">
        <v>164</v>
      </c>
      <c r="G28" s="65">
        <v>66</v>
      </c>
      <c r="H28" s="65">
        <v>5</v>
      </c>
      <c r="I28" s="106">
        <v>45815.5</v>
      </c>
      <c r="J28" s="134">
        <v>8243</v>
      </c>
      <c r="K28" s="157">
        <f>IF(I28&lt;&gt;0,J28/G28,"")</f>
        <v>124.89393939393939</v>
      </c>
      <c r="L28" s="158">
        <f>IF(I28&lt;&gt;0,I28/J28,"")</f>
        <v>5.55810991144001</v>
      </c>
      <c r="M28" s="159">
        <f>1455428+896564.5+785700+295594.5+45815.5</f>
        <v>3479102.5</v>
      </c>
      <c r="N28" s="154">
        <f>172176+105411+97548+39201+8243</f>
        <v>422579</v>
      </c>
      <c r="O28" s="179">
        <f>IF(M28&lt;&gt;0,M28/N28,"")</f>
        <v>8.233022701080746</v>
      </c>
      <c r="P28" s="328">
        <v>1</v>
      </c>
    </row>
    <row r="29" spans="1:16" ht="15">
      <c r="A29" s="99">
        <v>26</v>
      </c>
      <c r="B29" s="57" t="s">
        <v>19</v>
      </c>
      <c r="C29" s="42">
        <v>39437</v>
      </c>
      <c r="D29" s="46" t="s">
        <v>67</v>
      </c>
      <c r="E29" s="45" t="s">
        <v>56</v>
      </c>
      <c r="F29" s="65">
        <v>49</v>
      </c>
      <c r="G29" s="65">
        <v>41</v>
      </c>
      <c r="H29" s="65">
        <v>3</v>
      </c>
      <c r="I29" s="93">
        <v>36636</v>
      </c>
      <c r="J29" s="105">
        <v>4109</v>
      </c>
      <c r="K29" s="164">
        <f>J29/G29</f>
        <v>100.21951219512195</v>
      </c>
      <c r="L29" s="165">
        <f>I29/J29</f>
        <v>8.916037965441713</v>
      </c>
      <c r="M29" s="166">
        <f>265356+150950+36636</f>
        <v>452942</v>
      </c>
      <c r="N29" s="167">
        <f>28419+15898+4109</f>
        <v>48426</v>
      </c>
      <c r="O29" s="89">
        <f>+M29/N29</f>
        <v>9.353281295172016</v>
      </c>
      <c r="P29" s="328"/>
    </row>
    <row r="30" spans="1:16" ht="15">
      <c r="A30" s="99">
        <v>27</v>
      </c>
      <c r="B30" s="57" t="s">
        <v>98</v>
      </c>
      <c r="C30" s="42">
        <v>39416</v>
      </c>
      <c r="D30" s="46" t="s">
        <v>67</v>
      </c>
      <c r="E30" s="45" t="s">
        <v>159</v>
      </c>
      <c r="F30" s="65">
        <v>123</v>
      </c>
      <c r="G30" s="65">
        <v>9</v>
      </c>
      <c r="H30" s="65">
        <v>8</v>
      </c>
      <c r="I30" s="265">
        <v>34257</v>
      </c>
      <c r="J30" s="266">
        <v>2998</v>
      </c>
      <c r="K30" s="274">
        <f>J30/G30</f>
        <v>333.1111111111111</v>
      </c>
      <c r="L30" s="275">
        <f>I30/J30</f>
        <v>11.426617745163442</v>
      </c>
      <c r="M30" s="267">
        <f>155416+1136619+622980+528056+225392+174199+84508+58425+34257</f>
        <v>3019852</v>
      </c>
      <c r="N30" s="268">
        <f>12079+122083+66530+52286+18245+17821+7913+4333+2998</f>
        <v>304288</v>
      </c>
      <c r="O30" s="288">
        <f>+M30/N30</f>
        <v>9.924321695236092</v>
      </c>
      <c r="P30" s="328"/>
    </row>
    <row r="31" spans="1:16" ht="15">
      <c r="A31" s="99">
        <v>28</v>
      </c>
      <c r="B31" s="58" t="s">
        <v>100</v>
      </c>
      <c r="C31" s="43">
        <v>39423</v>
      </c>
      <c r="D31" s="47" t="s">
        <v>69</v>
      </c>
      <c r="E31" s="47" t="s">
        <v>70</v>
      </c>
      <c r="F31" s="44">
        <v>40</v>
      </c>
      <c r="G31" s="44">
        <v>28</v>
      </c>
      <c r="H31" s="44">
        <v>5</v>
      </c>
      <c r="I31" s="94">
        <v>31631.5</v>
      </c>
      <c r="J31" s="107">
        <v>5745</v>
      </c>
      <c r="K31" s="157">
        <f>IF(I31&lt;&gt;0,J31/G31,"")</f>
        <v>205.17857142857142</v>
      </c>
      <c r="L31" s="158">
        <f>IF(I31&lt;&gt;0,I31/J31,"")</f>
        <v>5.5059181897302</v>
      </c>
      <c r="M31" s="156">
        <f>337397.5+246059+95618.5+43492.5+31631.5</f>
        <v>754199</v>
      </c>
      <c r="N31" s="154">
        <f>35596+24953+11024+7059+5745</f>
        <v>84377</v>
      </c>
      <c r="O31" s="179">
        <f>IF(M31&lt;&gt;0,M31/N31,"")</f>
        <v>8.938442940611779</v>
      </c>
      <c r="P31" s="328"/>
    </row>
    <row r="32" spans="1:16" ht="15">
      <c r="A32" s="99">
        <v>29</v>
      </c>
      <c r="B32" s="58" t="s">
        <v>132</v>
      </c>
      <c r="C32" s="43">
        <v>39402</v>
      </c>
      <c r="D32" s="47" t="s">
        <v>69</v>
      </c>
      <c r="E32" s="47" t="s">
        <v>101</v>
      </c>
      <c r="F32" s="44">
        <v>125</v>
      </c>
      <c r="G32" s="44">
        <v>13</v>
      </c>
      <c r="H32" s="44">
        <v>8</v>
      </c>
      <c r="I32" s="94">
        <v>29355.5</v>
      </c>
      <c r="J32" s="107">
        <v>5300</v>
      </c>
      <c r="K32" s="157">
        <f>IF(I32&lt;&gt;0,J32/G32,"")</f>
        <v>407.6923076923077</v>
      </c>
      <c r="L32" s="158">
        <f>IF(I32&lt;&gt;0,I32/J32,"")</f>
        <v>5.538773584905661</v>
      </c>
      <c r="M32" s="156">
        <f>676439.5+554539.5+408532.5+265092+4+63975.5-30+36417+32233.5+29355.5</f>
        <v>2066559</v>
      </c>
      <c r="N32" s="154">
        <f>91933+76364+57186+39863+2+10711+6714+6020+5300</f>
        <v>294093</v>
      </c>
      <c r="O32" s="179">
        <f>IF(M32&lt;&gt;0,M32/N32,"")</f>
        <v>7.02688945333619</v>
      </c>
      <c r="P32" s="328"/>
    </row>
    <row r="33" spans="1:16" ht="15">
      <c r="A33" s="99">
        <v>30</v>
      </c>
      <c r="B33" s="58" t="s">
        <v>109</v>
      </c>
      <c r="C33" s="43">
        <v>39430</v>
      </c>
      <c r="D33" s="47" t="s">
        <v>69</v>
      </c>
      <c r="E33" s="47" t="s">
        <v>70</v>
      </c>
      <c r="F33" s="65">
        <v>64</v>
      </c>
      <c r="G33" s="44">
        <v>44</v>
      </c>
      <c r="H33" s="44">
        <v>4</v>
      </c>
      <c r="I33" s="94">
        <v>23763.5</v>
      </c>
      <c r="J33" s="107">
        <v>4128</v>
      </c>
      <c r="K33" s="157">
        <f>IF(I33&lt;&gt;0,J33/G33,"")</f>
        <v>93.81818181818181</v>
      </c>
      <c r="L33" s="158">
        <f>IF(I33&lt;&gt;0,I33/J33,"")</f>
        <v>5.756661821705427</v>
      </c>
      <c r="M33" s="156">
        <f>183581+192120.5+67824+23763.5</f>
        <v>467289</v>
      </c>
      <c r="N33" s="154">
        <f>20071+21989+8620+4128</f>
        <v>54808</v>
      </c>
      <c r="O33" s="179">
        <f>IF(M33&lt;&gt;0,M33/N33,"")</f>
        <v>8.52592687198949</v>
      </c>
      <c r="P33" s="328"/>
    </row>
    <row r="34" spans="1:16" ht="15">
      <c r="A34" s="99">
        <v>31</v>
      </c>
      <c r="B34" s="59" t="s">
        <v>119</v>
      </c>
      <c r="C34" s="42">
        <v>39437</v>
      </c>
      <c r="D34" s="49" t="s">
        <v>74</v>
      </c>
      <c r="E34" s="49" t="s">
        <v>142</v>
      </c>
      <c r="F34" s="78">
        <v>17</v>
      </c>
      <c r="G34" s="78">
        <v>17</v>
      </c>
      <c r="H34" s="78">
        <v>3</v>
      </c>
      <c r="I34" s="108">
        <v>22482</v>
      </c>
      <c r="J34" s="110">
        <v>2440</v>
      </c>
      <c r="K34" s="168">
        <f>J34/G34</f>
        <v>143.52941176470588</v>
      </c>
      <c r="L34" s="169">
        <f>I34/J34</f>
        <v>9.213934426229509</v>
      </c>
      <c r="M34" s="170">
        <v>270743</v>
      </c>
      <c r="N34" s="168">
        <v>25328</v>
      </c>
      <c r="O34" s="181">
        <f>M34/N34</f>
        <v>10.689474099810486</v>
      </c>
      <c r="P34" s="328"/>
    </row>
    <row r="35" spans="1:16" ht="15">
      <c r="A35" s="99">
        <v>32</v>
      </c>
      <c r="B35" s="58" t="s">
        <v>109</v>
      </c>
      <c r="C35" s="43">
        <v>39430</v>
      </c>
      <c r="D35" s="47" t="s">
        <v>69</v>
      </c>
      <c r="E35" s="47" t="s">
        <v>70</v>
      </c>
      <c r="F35" s="65">
        <v>64</v>
      </c>
      <c r="G35" s="44">
        <v>26</v>
      </c>
      <c r="H35" s="44">
        <v>7</v>
      </c>
      <c r="I35" s="255">
        <v>22027</v>
      </c>
      <c r="J35" s="256">
        <v>3719</v>
      </c>
      <c r="K35" s="274">
        <f>J35/G35</f>
        <v>143.03846153846155</v>
      </c>
      <c r="L35" s="275">
        <f>I35/J35</f>
        <v>5.92282871739715</v>
      </c>
      <c r="M35" s="259">
        <f>183581+192120.5+67824+23763.5+5798.5+5467+22027</f>
        <v>500581.5</v>
      </c>
      <c r="N35" s="257">
        <f>20071+21989+8620+4128+850+1010+3719</f>
        <v>60387</v>
      </c>
      <c r="O35" s="287">
        <f>M35/N35</f>
        <v>8.289557355059864</v>
      </c>
      <c r="P35" s="328"/>
    </row>
    <row r="36" spans="1:16" ht="15">
      <c r="A36" s="99">
        <v>33</v>
      </c>
      <c r="B36" s="59" t="s">
        <v>9</v>
      </c>
      <c r="C36" s="43">
        <v>39444</v>
      </c>
      <c r="D36" s="48" t="s">
        <v>141</v>
      </c>
      <c r="E36" s="48" t="s">
        <v>138</v>
      </c>
      <c r="F36" s="96">
        <v>25</v>
      </c>
      <c r="G36" s="97">
        <v>11</v>
      </c>
      <c r="H36" s="96">
        <v>3</v>
      </c>
      <c r="I36" s="265">
        <v>21107</v>
      </c>
      <c r="J36" s="266">
        <v>2398</v>
      </c>
      <c r="K36" s="274">
        <f>J36/G36</f>
        <v>218</v>
      </c>
      <c r="L36" s="275">
        <f>I36/J36</f>
        <v>8.801918265221017</v>
      </c>
      <c r="M36" s="267">
        <v>251602.75</v>
      </c>
      <c r="N36" s="268">
        <v>24936</v>
      </c>
      <c r="O36" s="288">
        <f>+M36/N36</f>
        <v>10.089940247032404</v>
      </c>
      <c r="P36" s="328"/>
    </row>
    <row r="37" spans="1:16" ht="15">
      <c r="A37" s="99">
        <v>34</v>
      </c>
      <c r="B37" s="59" t="s">
        <v>4</v>
      </c>
      <c r="C37" s="42">
        <v>39444</v>
      </c>
      <c r="D37" s="48" t="s">
        <v>102</v>
      </c>
      <c r="E37" s="48" t="s">
        <v>102</v>
      </c>
      <c r="F37" s="60">
        <v>14</v>
      </c>
      <c r="G37" s="60">
        <v>6</v>
      </c>
      <c r="H37" s="60">
        <v>4</v>
      </c>
      <c r="I37" s="265">
        <v>14765</v>
      </c>
      <c r="J37" s="266">
        <v>1820</v>
      </c>
      <c r="K37" s="262">
        <f>+J37/G37</f>
        <v>303.3333333333333</v>
      </c>
      <c r="L37" s="263">
        <f>+I37/J37</f>
        <v>8.112637362637363</v>
      </c>
      <c r="M37" s="267">
        <v>230203</v>
      </c>
      <c r="N37" s="268">
        <v>22372</v>
      </c>
      <c r="O37" s="286">
        <f>+M37/N37</f>
        <v>10.289781870194886</v>
      </c>
      <c r="P37" s="328"/>
    </row>
    <row r="38" spans="1:16" ht="15">
      <c r="A38" s="99">
        <v>35</v>
      </c>
      <c r="B38" s="59" t="s">
        <v>4</v>
      </c>
      <c r="C38" s="42">
        <v>39444</v>
      </c>
      <c r="D38" s="48" t="s">
        <v>102</v>
      </c>
      <c r="E38" s="48" t="s">
        <v>102</v>
      </c>
      <c r="F38" s="60">
        <v>14</v>
      </c>
      <c r="G38" s="60">
        <v>6</v>
      </c>
      <c r="H38" s="60">
        <v>3</v>
      </c>
      <c r="I38" s="265">
        <v>13291</v>
      </c>
      <c r="J38" s="266">
        <v>1952</v>
      </c>
      <c r="K38" s="262">
        <f>+J38/G38</f>
        <v>325.3333333333333</v>
      </c>
      <c r="L38" s="263">
        <f>+I38/J38</f>
        <v>6.808913934426229</v>
      </c>
      <c r="M38" s="267">
        <v>215438</v>
      </c>
      <c r="N38" s="268">
        <v>20552</v>
      </c>
      <c r="O38" s="286">
        <f>+M38/N38</f>
        <v>10.48258077072791</v>
      </c>
      <c r="P38" s="328">
        <v>1</v>
      </c>
    </row>
    <row r="39" spans="1:16" ht="15">
      <c r="A39" s="99">
        <v>36</v>
      </c>
      <c r="B39" s="57" t="s">
        <v>173</v>
      </c>
      <c r="C39" s="42">
        <v>39423</v>
      </c>
      <c r="D39" s="45" t="s">
        <v>63</v>
      </c>
      <c r="E39" s="45" t="s">
        <v>58</v>
      </c>
      <c r="F39" s="65">
        <v>164</v>
      </c>
      <c r="G39" s="65">
        <v>16</v>
      </c>
      <c r="H39" s="65">
        <v>7</v>
      </c>
      <c r="I39" s="260">
        <v>13282</v>
      </c>
      <c r="J39" s="261">
        <v>2845</v>
      </c>
      <c r="K39" s="262">
        <f>IF(I39&lt;&gt;0,J39/G39,"")</f>
        <v>177.8125</v>
      </c>
      <c r="L39" s="263">
        <f>IF(I39&lt;&gt;0,I39/J39,"")</f>
        <v>4.668541300527241</v>
      </c>
      <c r="M39" s="264">
        <f>1455428+896564.5+785700+295594.5+45815.5+11311.5+13282</f>
        <v>3503696</v>
      </c>
      <c r="N39" s="257">
        <f>172176+105411+97548+39201+8243+2114+2845</f>
        <v>427538</v>
      </c>
      <c r="O39" s="286">
        <f>IF(M39&lt;&gt;0,M39/N39,"")</f>
        <v>8.195051667921916</v>
      </c>
      <c r="P39" s="328"/>
    </row>
    <row r="40" spans="1:16" ht="15">
      <c r="A40" s="99">
        <v>37</v>
      </c>
      <c r="B40" s="57" t="s">
        <v>3</v>
      </c>
      <c r="C40" s="42">
        <v>39444</v>
      </c>
      <c r="D40" s="46" t="s">
        <v>67</v>
      </c>
      <c r="E40" s="45" t="s">
        <v>78</v>
      </c>
      <c r="F40" s="65">
        <v>60</v>
      </c>
      <c r="G40" s="65">
        <v>25</v>
      </c>
      <c r="H40" s="65">
        <v>3</v>
      </c>
      <c r="I40" s="265">
        <v>13033</v>
      </c>
      <c r="J40" s="266">
        <v>1560</v>
      </c>
      <c r="K40" s="274">
        <f>J40/G40</f>
        <v>62.4</v>
      </c>
      <c r="L40" s="275">
        <f>I40/J40</f>
        <v>8.35448717948718</v>
      </c>
      <c r="M40" s="267">
        <f>211429+90759+13033</f>
        <v>315221</v>
      </c>
      <c r="N40" s="268">
        <f>22982+9879+1560</f>
        <v>34421</v>
      </c>
      <c r="O40" s="288">
        <f>+M40/N40</f>
        <v>9.157810638854189</v>
      </c>
      <c r="P40" s="328"/>
    </row>
    <row r="41" spans="1:16" ht="15">
      <c r="A41" s="99">
        <v>38</v>
      </c>
      <c r="B41" s="57" t="s">
        <v>103</v>
      </c>
      <c r="C41" s="42">
        <v>39423</v>
      </c>
      <c r="D41" s="45" t="s">
        <v>63</v>
      </c>
      <c r="E41" s="45" t="s">
        <v>58</v>
      </c>
      <c r="F41" s="65">
        <v>164</v>
      </c>
      <c r="G41" s="65">
        <v>12</v>
      </c>
      <c r="H41" s="65">
        <v>8</v>
      </c>
      <c r="I41" s="260">
        <v>11389</v>
      </c>
      <c r="J41" s="261">
        <v>2112</v>
      </c>
      <c r="K41" s="262">
        <f>IF(I41&lt;&gt;0,J41/G41,"")</f>
        <v>176</v>
      </c>
      <c r="L41" s="263">
        <f>IF(I41&lt;&gt;0,I41/J41,"")</f>
        <v>5.3925189393939394</v>
      </c>
      <c r="M41" s="264">
        <f>1455428+896564.5+785700+295594.5+45815.5+11311.5+13282+11389</f>
        <v>3515085</v>
      </c>
      <c r="N41" s="257">
        <f>172176+105411+97548+39201+8243+2114+2845+2112</f>
        <v>429650</v>
      </c>
      <c r="O41" s="286">
        <f>IF(M41&lt;&gt;0,M41/N41,"")</f>
        <v>8.181275456767136</v>
      </c>
      <c r="P41" s="328">
        <v>1</v>
      </c>
    </row>
    <row r="42" spans="1:16" ht="15">
      <c r="A42" s="99">
        <v>39</v>
      </c>
      <c r="B42" s="57" t="s">
        <v>103</v>
      </c>
      <c r="C42" s="42">
        <v>39423</v>
      </c>
      <c r="D42" s="45" t="s">
        <v>63</v>
      </c>
      <c r="E42" s="276" t="s">
        <v>58</v>
      </c>
      <c r="F42" s="65">
        <v>164</v>
      </c>
      <c r="G42" s="65">
        <v>16</v>
      </c>
      <c r="H42" s="65">
        <v>6</v>
      </c>
      <c r="I42" s="260">
        <v>11311.5</v>
      </c>
      <c r="J42" s="261">
        <v>2114</v>
      </c>
      <c r="K42" s="262">
        <f>IF(I42&lt;&gt;0,J42/G42,"")</f>
        <v>132.125</v>
      </c>
      <c r="L42" s="263">
        <f>IF(I42&lt;&gt;0,I42/J42,"")</f>
        <v>5.3507568590350045</v>
      </c>
      <c r="M42" s="264">
        <f>1455428+896564.5+785700+295594.5+45815.5+11311.5</f>
        <v>3490414</v>
      </c>
      <c r="N42" s="257">
        <f>172176+105411+97548+39201+8243+2114</f>
        <v>424693</v>
      </c>
      <c r="O42" s="286">
        <f>IF(M42&lt;&gt;0,M42/N42,"")</f>
        <v>8.218675608027446</v>
      </c>
      <c r="P42" s="328"/>
    </row>
    <row r="43" spans="1:16" ht="15">
      <c r="A43" s="99">
        <v>40</v>
      </c>
      <c r="B43" s="58" t="s">
        <v>89</v>
      </c>
      <c r="C43" s="43">
        <v>39409</v>
      </c>
      <c r="D43" s="95" t="s">
        <v>68</v>
      </c>
      <c r="E43" s="95" t="s">
        <v>73</v>
      </c>
      <c r="F43" s="44">
        <v>55</v>
      </c>
      <c r="G43" s="44">
        <v>11</v>
      </c>
      <c r="H43" s="44">
        <v>7</v>
      </c>
      <c r="I43" s="94">
        <v>10990</v>
      </c>
      <c r="J43" s="107">
        <v>1940</v>
      </c>
      <c r="K43" s="154">
        <f>J43/G43</f>
        <v>176.36363636363637</v>
      </c>
      <c r="L43" s="155">
        <f>+I43/J43</f>
        <v>5.664948453608248</v>
      </c>
      <c r="M43" s="156">
        <v>1099808</v>
      </c>
      <c r="N43" s="154">
        <v>114498</v>
      </c>
      <c r="O43" s="178">
        <f>+M43/N43</f>
        <v>9.605477824940174</v>
      </c>
      <c r="P43" s="328"/>
    </row>
    <row r="44" spans="1:16" ht="15">
      <c r="A44" s="99">
        <v>41</v>
      </c>
      <c r="B44" s="58" t="s">
        <v>132</v>
      </c>
      <c r="C44" s="43">
        <v>39402</v>
      </c>
      <c r="D44" s="47" t="s">
        <v>69</v>
      </c>
      <c r="E44" s="47" t="s">
        <v>101</v>
      </c>
      <c r="F44" s="44">
        <v>125</v>
      </c>
      <c r="G44" s="44">
        <v>7</v>
      </c>
      <c r="H44" s="44">
        <v>9</v>
      </c>
      <c r="I44" s="255">
        <v>9292</v>
      </c>
      <c r="J44" s="256">
        <v>2353</v>
      </c>
      <c r="K44" s="257">
        <f>J44/G44</f>
        <v>336.14285714285717</v>
      </c>
      <c r="L44" s="258">
        <f>+I44/J44</f>
        <v>3.9490012749681256</v>
      </c>
      <c r="M44" s="259">
        <f>676439.5+554539.5+408532.5+265092+4+63975.5-30+36417+32233.5+29355.5+9292</f>
        <v>2075851</v>
      </c>
      <c r="N44" s="257">
        <f>91933+76364+57186+39863+2+10711+6714+6020+5300+2353</f>
        <v>296446</v>
      </c>
      <c r="O44" s="285">
        <f>+M44/N44</f>
        <v>7.002459132523293</v>
      </c>
      <c r="P44" s="328">
        <v>1</v>
      </c>
    </row>
    <row r="45" spans="1:16" ht="15">
      <c r="A45" s="99">
        <v>42</v>
      </c>
      <c r="B45" s="59" t="s">
        <v>107</v>
      </c>
      <c r="C45" s="42">
        <v>39430</v>
      </c>
      <c r="D45" s="48" t="s">
        <v>148</v>
      </c>
      <c r="E45" s="48" t="s">
        <v>5</v>
      </c>
      <c r="F45" s="66" t="s">
        <v>108</v>
      </c>
      <c r="G45" s="66" t="s">
        <v>146</v>
      </c>
      <c r="H45" s="66" t="s">
        <v>144</v>
      </c>
      <c r="I45" s="265">
        <v>8560</v>
      </c>
      <c r="J45" s="266">
        <v>1492</v>
      </c>
      <c r="K45" s="274">
        <f>J45/G45</f>
        <v>149.2</v>
      </c>
      <c r="L45" s="275">
        <f>I45/J45</f>
        <v>5.737265415549598</v>
      </c>
      <c r="M45" s="267">
        <v>1221354.44</v>
      </c>
      <c r="N45" s="268">
        <v>155422</v>
      </c>
      <c r="O45" s="288">
        <f>+M45/N45</f>
        <v>7.858311178597624</v>
      </c>
      <c r="P45" s="328">
        <v>1</v>
      </c>
    </row>
    <row r="46" spans="1:16" ht="15">
      <c r="A46" s="99">
        <v>43</v>
      </c>
      <c r="B46" s="57" t="s">
        <v>128</v>
      </c>
      <c r="C46" s="42">
        <v>39402</v>
      </c>
      <c r="D46" s="46" t="s">
        <v>67</v>
      </c>
      <c r="E46" s="45" t="s">
        <v>159</v>
      </c>
      <c r="F46" s="65">
        <v>20</v>
      </c>
      <c r="G46" s="65">
        <v>5</v>
      </c>
      <c r="H46" s="65">
        <v>9</v>
      </c>
      <c r="I46" s="265">
        <v>6557</v>
      </c>
      <c r="J46" s="266">
        <v>1089</v>
      </c>
      <c r="K46" s="274">
        <f>J46/G46</f>
        <v>217.8</v>
      </c>
      <c r="L46" s="275">
        <f>I46/J46</f>
        <v>6.0211202938475665</v>
      </c>
      <c r="M46" s="267">
        <f>8296+141704+66729+20126+11859+581+2076+3662+3777+6557</f>
        <v>265367</v>
      </c>
      <c r="N46" s="268">
        <f>702+12499+6089+1727+1871+101+444+549+663+1089</f>
        <v>25734</v>
      </c>
      <c r="O46" s="288">
        <f>+M46/N46</f>
        <v>10.311921970933396</v>
      </c>
      <c r="P46" s="328">
        <v>1</v>
      </c>
    </row>
    <row r="47" spans="1:16" ht="15">
      <c r="A47" s="99">
        <v>44</v>
      </c>
      <c r="B47" s="79" t="s">
        <v>92</v>
      </c>
      <c r="C47" s="63">
        <v>39416</v>
      </c>
      <c r="D47" s="88" t="s">
        <v>83</v>
      </c>
      <c r="E47" s="88" t="s">
        <v>61</v>
      </c>
      <c r="F47" s="86">
        <v>45</v>
      </c>
      <c r="G47" s="87">
        <v>10</v>
      </c>
      <c r="H47" s="87">
        <v>6</v>
      </c>
      <c r="I47" s="135">
        <v>6396.5</v>
      </c>
      <c r="J47" s="160">
        <v>1261</v>
      </c>
      <c r="K47" s="161">
        <v>92.17647058823529</v>
      </c>
      <c r="L47" s="162">
        <v>5.0644543714103385</v>
      </c>
      <c r="M47" s="163">
        <v>171628.5</v>
      </c>
      <c r="N47" s="171">
        <v>24962</v>
      </c>
      <c r="O47" s="180">
        <f>M47/N47</f>
        <v>6.875590898165211</v>
      </c>
      <c r="P47" s="328"/>
    </row>
    <row r="48" spans="1:16" ht="15">
      <c r="A48" s="99">
        <v>45</v>
      </c>
      <c r="B48" s="58" t="s">
        <v>109</v>
      </c>
      <c r="C48" s="43">
        <v>39430</v>
      </c>
      <c r="D48" s="47" t="s">
        <v>69</v>
      </c>
      <c r="E48" s="47" t="s">
        <v>70</v>
      </c>
      <c r="F48" s="65">
        <v>64</v>
      </c>
      <c r="G48" s="44">
        <v>15</v>
      </c>
      <c r="H48" s="44">
        <v>5</v>
      </c>
      <c r="I48" s="255">
        <v>5798.5</v>
      </c>
      <c r="J48" s="256">
        <v>850</v>
      </c>
      <c r="K48" s="257">
        <f>J48/G48</f>
        <v>56.666666666666664</v>
      </c>
      <c r="L48" s="258">
        <f>+I48/J48</f>
        <v>6.8217647058823525</v>
      </c>
      <c r="M48" s="259">
        <f>183581+192120.5+67824+23763.5+5798.5</f>
        <v>473087.5</v>
      </c>
      <c r="N48" s="257">
        <f>20071+21989+8620+4128+850</f>
        <v>55658</v>
      </c>
      <c r="O48" s="285">
        <f>+M48/N48</f>
        <v>8.499901182219986</v>
      </c>
      <c r="P48" s="328"/>
    </row>
    <row r="49" spans="1:16" ht="15">
      <c r="A49" s="99">
        <v>46</v>
      </c>
      <c r="B49" s="58" t="s">
        <v>109</v>
      </c>
      <c r="C49" s="43">
        <v>39430</v>
      </c>
      <c r="D49" s="47" t="s">
        <v>69</v>
      </c>
      <c r="E49" s="47" t="s">
        <v>70</v>
      </c>
      <c r="F49" s="65">
        <v>64</v>
      </c>
      <c r="G49" s="44">
        <v>12</v>
      </c>
      <c r="H49" s="44">
        <v>6</v>
      </c>
      <c r="I49" s="255">
        <v>5467</v>
      </c>
      <c r="J49" s="256">
        <v>1010</v>
      </c>
      <c r="K49" s="274">
        <f>J49/G49</f>
        <v>84.16666666666667</v>
      </c>
      <c r="L49" s="275">
        <f>I49/J49</f>
        <v>5.412871287128713</v>
      </c>
      <c r="M49" s="259">
        <f>183581+192120.5+67824+23763.5+5798.5+5467</f>
        <v>478554.5</v>
      </c>
      <c r="N49" s="257">
        <f>20071+21989+8620+4128+850+1010</f>
        <v>56668</v>
      </c>
      <c r="O49" s="288">
        <f>+M49/N49</f>
        <v>8.444880708689208</v>
      </c>
      <c r="P49" s="328"/>
    </row>
    <row r="50" spans="1:16" ht="15">
      <c r="A50" s="99">
        <v>47</v>
      </c>
      <c r="B50" s="58" t="s">
        <v>110</v>
      </c>
      <c r="C50" s="43">
        <v>39430</v>
      </c>
      <c r="D50" s="47" t="s">
        <v>69</v>
      </c>
      <c r="E50" s="47" t="s">
        <v>111</v>
      </c>
      <c r="F50" s="44">
        <v>43</v>
      </c>
      <c r="G50" s="44">
        <v>8</v>
      </c>
      <c r="H50" s="44">
        <v>4</v>
      </c>
      <c r="I50" s="94">
        <v>5207.5</v>
      </c>
      <c r="J50" s="107">
        <v>1171</v>
      </c>
      <c r="K50" s="157">
        <f>IF(I50&lt;&gt;0,J50/G50,"")</f>
        <v>146.375</v>
      </c>
      <c r="L50" s="158">
        <f>IF(I50&lt;&gt;0,I50/J50,"")</f>
        <v>4.447053800170794</v>
      </c>
      <c r="M50" s="156">
        <f>43240+25728.5+5226.5+5207.5</f>
        <v>79402.5</v>
      </c>
      <c r="N50" s="154">
        <f>5272+3593+870+1171</f>
        <v>10906</v>
      </c>
      <c r="O50" s="179">
        <f>IF(M50&lt;&gt;0,M50/N50,"")</f>
        <v>7.280625343847423</v>
      </c>
      <c r="P50" s="328"/>
    </row>
    <row r="51" spans="1:16" ht="15">
      <c r="A51" s="99">
        <v>48</v>
      </c>
      <c r="B51" s="57" t="s">
        <v>135</v>
      </c>
      <c r="C51" s="42">
        <v>39402</v>
      </c>
      <c r="D51" s="46" t="s">
        <v>67</v>
      </c>
      <c r="E51" s="45" t="s">
        <v>78</v>
      </c>
      <c r="F51" s="65">
        <v>64</v>
      </c>
      <c r="G51" s="65">
        <v>3</v>
      </c>
      <c r="H51" s="65">
        <v>10</v>
      </c>
      <c r="I51" s="265">
        <v>4988</v>
      </c>
      <c r="J51" s="266">
        <v>802</v>
      </c>
      <c r="K51" s="274">
        <f aca="true" t="shared" si="2" ref="K51:K56">J51/G51</f>
        <v>267.3333333333333</v>
      </c>
      <c r="L51" s="275">
        <f>I51/J51</f>
        <v>6.219451371571072</v>
      </c>
      <c r="M51" s="267">
        <f>299858+213967+97347+22667+8568+16509+4053+3337+284+4988</f>
        <v>671578</v>
      </c>
      <c r="N51" s="268">
        <f>33225+24189+12517+4002+2479+2973+867+358+35+802</f>
        <v>81447</v>
      </c>
      <c r="O51" s="288">
        <f aca="true" t="shared" si="3" ref="O51:O56">+M51/N51</f>
        <v>8.245583017176815</v>
      </c>
      <c r="P51" s="328"/>
    </row>
    <row r="52" spans="1:16" ht="15">
      <c r="A52" s="99">
        <v>49</v>
      </c>
      <c r="B52" s="58" t="s">
        <v>118</v>
      </c>
      <c r="C52" s="42">
        <v>39437</v>
      </c>
      <c r="D52" s="95" t="s">
        <v>68</v>
      </c>
      <c r="E52" s="95" t="s">
        <v>12</v>
      </c>
      <c r="F52" s="44">
        <v>105</v>
      </c>
      <c r="G52" s="44">
        <v>105</v>
      </c>
      <c r="H52" s="44">
        <v>4</v>
      </c>
      <c r="I52" s="255">
        <v>4710</v>
      </c>
      <c r="J52" s="256">
        <v>3944</v>
      </c>
      <c r="K52" s="257">
        <f t="shared" si="2"/>
        <v>37.56190476190476</v>
      </c>
      <c r="L52" s="258">
        <f>+I52/J52</f>
        <v>1.1942190669371198</v>
      </c>
      <c r="M52" s="259">
        <v>707419</v>
      </c>
      <c r="N52" s="257">
        <v>80906</v>
      </c>
      <c r="O52" s="285">
        <f t="shared" si="3"/>
        <v>8.743714928435468</v>
      </c>
      <c r="P52" s="328"/>
    </row>
    <row r="53" spans="1:16" ht="15">
      <c r="A53" s="99">
        <v>50</v>
      </c>
      <c r="B53" s="58" t="s">
        <v>132</v>
      </c>
      <c r="C53" s="43">
        <v>39402</v>
      </c>
      <c r="D53" s="47" t="s">
        <v>69</v>
      </c>
      <c r="E53" s="47" t="s">
        <v>101</v>
      </c>
      <c r="F53" s="44">
        <v>125</v>
      </c>
      <c r="G53" s="44">
        <v>4</v>
      </c>
      <c r="H53" s="44">
        <v>10</v>
      </c>
      <c r="I53" s="255">
        <v>4684</v>
      </c>
      <c r="J53" s="256">
        <v>1269</v>
      </c>
      <c r="K53" s="274">
        <f t="shared" si="2"/>
        <v>317.25</v>
      </c>
      <c r="L53" s="275">
        <f>I53/J53</f>
        <v>3.6910953506698188</v>
      </c>
      <c r="M53" s="259">
        <f>676439.5+554539.5+408532.5+265092+4+63975.5-30+36417+32233.5+29355.5+9292+4684</f>
        <v>2080535</v>
      </c>
      <c r="N53" s="257">
        <f>91933+76364+57186+39863+2+10711+6714+6020+5300+2353+1269</f>
        <v>297715</v>
      </c>
      <c r="O53" s="288">
        <f t="shared" si="3"/>
        <v>6.988344557714592</v>
      </c>
      <c r="P53" s="328"/>
    </row>
    <row r="54" spans="1:16" ht="15">
      <c r="A54" s="99">
        <v>51</v>
      </c>
      <c r="B54" s="59" t="s">
        <v>193</v>
      </c>
      <c r="C54" s="43">
        <v>39213</v>
      </c>
      <c r="D54" s="48" t="s">
        <v>141</v>
      </c>
      <c r="E54" s="48" t="s">
        <v>194</v>
      </c>
      <c r="F54" s="96">
        <v>4</v>
      </c>
      <c r="G54" s="97">
        <v>3</v>
      </c>
      <c r="H54" s="96">
        <v>18</v>
      </c>
      <c r="I54" s="265">
        <v>4632</v>
      </c>
      <c r="J54" s="266">
        <v>1158</v>
      </c>
      <c r="K54" s="274">
        <f t="shared" si="2"/>
        <v>386</v>
      </c>
      <c r="L54" s="275">
        <f>I54/J54</f>
        <v>4</v>
      </c>
      <c r="M54" s="267">
        <v>31476.5</v>
      </c>
      <c r="N54" s="268">
        <v>5319</v>
      </c>
      <c r="O54" s="288">
        <f t="shared" si="3"/>
        <v>5.917747696935514</v>
      </c>
      <c r="P54" s="328"/>
    </row>
    <row r="55" spans="1:16" ht="15">
      <c r="A55" s="99">
        <v>52</v>
      </c>
      <c r="B55" s="59" t="s">
        <v>174</v>
      </c>
      <c r="C55" s="43">
        <v>39150</v>
      </c>
      <c r="D55" s="48" t="s">
        <v>141</v>
      </c>
      <c r="E55" s="48" t="s">
        <v>175</v>
      </c>
      <c r="F55" s="96">
        <v>100</v>
      </c>
      <c r="G55" s="97">
        <v>3</v>
      </c>
      <c r="H55" s="96">
        <v>10</v>
      </c>
      <c r="I55" s="265">
        <v>4632</v>
      </c>
      <c r="J55" s="266">
        <v>1158</v>
      </c>
      <c r="K55" s="274">
        <f t="shared" si="2"/>
        <v>386</v>
      </c>
      <c r="L55" s="275">
        <f>I55/J55</f>
        <v>4</v>
      </c>
      <c r="M55" s="267">
        <v>307166.9</v>
      </c>
      <c r="N55" s="268">
        <v>43081</v>
      </c>
      <c r="O55" s="288">
        <f t="shared" si="3"/>
        <v>7.129985376384021</v>
      </c>
      <c r="P55" s="328"/>
    </row>
    <row r="56" spans="1:16" ht="15">
      <c r="A56" s="99">
        <v>53</v>
      </c>
      <c r="B56" s="58" t="s">
        <v>100</v>
      </c>
      <c r="C56" s="43">
        <v>39423</v>
      </c>
      <c r="D56" s="47" t="s">
        <v>69</v>
      </c>
      <c r="E56" s="47" t="s">
        <v>70</v>
      </c>
      <c r="F56" s="44">
        <v>40</v>
      </c>
      <c r="G56" s="44">
        <v>3</v>
      </c>
      <c r="H56" s="44">
        <v>7</v>
      </c>
      <c r="I56" s="255">
        <v>4609</v>
      </c>
      <c r="J56" s="256">
        <v>908</v>
      </c>
      <c r="K56" s="274">
        <f t="shared" si="2"/>
        <v>302.6666666666667</v>
      </c>
      <c r="L56" s="275">
        <f>I56/J56</f>
        <v>5.075991189427313</v>
      </c>
      <c r="M56" s="259">
        <f>337397.5+246059+95618.5+43492.5+31631.5+2705+4609</f>
        <v>761513</v>
      </c>
      <c r="N56" s="257">
        <f>35596+24953+11024+7059+5745+543+908</f>
        <v>85828</v>
      </c>
      <c r="O56" s="288">
        <f t="shared" si="3"/>
        <v>8.87254742042224</v>
      </c>
      <c r="P56" s="328"/>
    </row>
    <row r="57" spans="1:16" ht="15">
      <c r="A57" s="99">
        <v>54</v>
      </c>
      <c r="B57" s="57" t="s">
        <v>126</v>
      </c>
      <c r="C57" s="42">
        <v>39381</v>
      </c>
      <c r="D57" s="45" t="s">
        <v>63</v>
      </c>
      <c r="E57" s="45" t="s">
        <v>162</v>
      </c>
      <c r="F57" s="65">
        <v>91</v>
      </c>
      <c r="G57" s="65">
        <v>2</v>
      </c>
      <c r="H57" s="65">
        <v>12</v>
      </c>
      <c r="I57" s="260">
        <v>4390</v>
      </c>
      <c r="J57" s="261">
        <v>895</v>
      </c>
      <c r="K57" s="262">
        <f>IF(I57&lt;&gt;0,J57/G57,"")</f>
        <v>447.5</v>
      </c>
      <c r="L57" s="263">
        <f>IF(I57&lt;&gt;0,I57/J57,"")</f>
        <v>4.905027932960894</v>
      </c>
      <c r="M57" s="264">
        <f>964543+666618+447582+156310.5+90863+70894+37352.5+3350+1874+714.5+4126+4390</f>
        <v>2448617.5</v>
      </c>
      <c r="N57" s="257">
        <f>104009+73251+49929+20007+15751+12767+7228+691+416+233+781+895</f>
        <v>285958</v>
      </c>
      <c r="O57" s="286">
        <f>IF(M57&lt;&gt;0,M57/N57,"")</f>
        <v>8.562857132865666</v>
      </c>
      <c r="P57" s="328"/>
    </row>
    <row r="58" spans="1:16" ht="15">
      <c r="A58" s="99">
        <v>55</v>
      </c>
      <c r="B58" s="59" t="s">
        <v>107</v>
      </c>
      <c r="C58" s="42">
        <v>39430</v>
      </c>
      <c r="D58" s="48" t="s">
        <v>148</v>
      </c>
      <c r="E58" s="48" t="s">
        <v>5</v>
      </c>
      <c r="F58" s="66" t="s">
        <v>108</v>
      </c>
      <c r="G58" s="66" t="s">
        <v>144</v>
      </c>
      <c r="H58" s="66" t="s">
        <v>2</v>
      </c>
      <c r="I58" s="265">
        <v>4329</v>
      </c>
      <c r="J58" s="266">
        <v>913</v>
      </c>
      <c r="K58" s="274">
        <f>J58/G58</f>
        <v>182.6</v>
      </c>
      <c r="L58" s="275">
        <f>I58/J58</f>
        <v>4.741511500547645</v>
      </c>
      <c r="M58" s="267">
        <v>1225683.44</v>
      </c>
      <c r="N58" s="268">
        <v>156335</v>
      </c>
      <c r="O58" s="288">
        <f>+M58/N58</f>
        <v>7.8401089967057915</v>
      </c>
      <c r="P58" s="328"/>
    </row>
    <row r="59" spans="1:16" ht="15">
      <c r="A59" s="99">
        <v>56</v>
      </c>
      <c r="B59" s="58" t="s">
        <v>93</v>
      </c>
      <c r="C59" s="43">
        <v>39416</v>
      </c>
      <c r="D59" s="47" t="s">
        <v>69</v>
      </c>
      <c r="E59" s="47" t="s">
        <v>124</v>
      </c>
      <c r="F59" s="44">
        <v>20</v>
      </c>
      <c r="G59" s="44">
        <v>3</v>
      </c>
      <c r="H59" s="44">
        <v>7</v>
      </c>
      <c r="I59" s="255">
        <v>4240.5</v>
      </c>
      <c r="J59" s="256">
        <v>496</v>
      </c>
      <c r="K59" s="257">
        <f>J59/G59</f>
        <v>165.33333333333334</v>
      </c>
      <c r="L59" s="258">
        <f>+I59/J59</f>
        <v>8.549395161290322</v>
      </c>
      <c r="M59" s="259">
        <f>75692.5+51302+12584.5+2036+2909.5+3347+4240.5</f>
        <v>152112</v>
      </c>
      <c r="N59" s="257">
        <f>7291+5230+1727+233+363+396+496</f>
        <v>15736</v>
      </c>
      <c r="O59" s="285">
        <f>+M59/N59</f>
        <v>9.666497203863752</v>
      </c>
      <c r="P59" s="328"/>
    </row>
    <row r="60" spans="1:16" ht="15">
      <c r="A60" s="99">
        <v>57</v>
      </c>
      <c r="B60" s="57" t="s">
        <v>126</v>
      </c>
      <c r="C60" s="42">
        <v>39381</v>
      </c>
      <c r="D60" s="45" t="s">
        <v>63</v>
      </c>
      <c r="E60" s="45" t="s">
        <v>162</v>
      </c>
      <c r="F60" s="65">
        <v>91</v>
      </c>
      <c r="G60" s="65">
        <v>3</v>
      </c>
      <c r="H60" s="65">
        <v>11</v>
      </c>
      <c r="I60" s="106">
        <v>4126</v>
      </c>
      <c r="J60" s="134">
        <v>781</v>
      </c>
      <c r="K60" s="157">
        <f>IF(I60&lt;&gt;0,J60/G60,"")</f>
        <v>260.3333333333333</v>
      </c>
      <c r="L60" s="158">
        <f>IF(I60&lt;&gt;0,I60/J60,"")</f>
        <v>5.282970550576184</v>
      </c>
      <c r="M60" s="159">
        <f>964543+666618+447582+156310.5+90863+70894+37352.5+3350+1874+714.5+4126</f>
        <v>2444227.5</v>
      </c>
      <c r="N60" s="154">
        <f>104009+73251+49929+20007+15751+12767+7228+691+416+233+781</f>
        <v>285063</v>
      </c>
      <c r="O60" s="179">
        <f>IF(M60&lt;&gt;0,M60/N60,"")</f>
        <v>8.574341461361172</v>
      </c>
      <c r="P60" s="328"/>
    </row>
    <row r="61" spans="1:16" ht="15">
      <c r="A61" s="99">
        <v>58</v>
      </c>
      <c r="B61" s="57" t="s">
        <v>126</v>
      </c>
      <c r="C61" s="42">
        <v>39381</v>
      </c>
      <c r="D61" s="45" t="s">
        <v>63</v>
      </c>
      <c r="E61" s="45" t="s">
        <v>162</v>
      </c>
      <c r="F61" s="65">
        <v>91</v>
      </c>
      <c r="G61" s="65">
        <v>2</v>
      </c>
      <c r="H61" s="65">
        <v>13</v>
      </c>
      <c r="I61" s="260">
        <v>3896</v>
      </c>
      <c r="J61" s="261">
        <v>779</v>
      </c>
      <c r="K61" s="262">
        <f>IF(I61&lt;&gt;0,J61/G61,"")</f>
        <v>389.5</v>
      </c>
      <c r="L61" s="263">
        <f>IF(I61&lt;&gt;0,I61/J61,"")</f>
        <v>5.001283697047497</v>
      </c>
      <c r="M61" s="264">
        <f>964543+666618+447582+156310.5+90863+70894+37352.5+3350+1874+714.5+4126+4390+3896</f>
        <v>2452513.5</v>
      </c>
      <c r="N61" s="257">
        <f>104009+73251+49929+20007+15751+12767+7228+691+416+233+781+895+779</f>
        <v>286737</v>
      </c>
      <c r="O61" s="286">
        <f>IF(M61&lt;&gt;0,M61/N61,"")</f>
        <v>8.553181138116113</v>
      </c>
      <c r="P61" s="328"/>
    </row>
    <row r="62" spans="1:16" ht="15">
      <c r="A62" s="99">
        <v>59</v>
      </c>
      <c r="B62" s="58" t="s">
        <v>132</v>
      </c>
      <c r="C62" s="43">
        <v>39402</v>
      </c>
      <c r="D62" s="47" t="s">
        <v>69</v>
      </c>
      <c r="E62" s="47" t="s">
        <v>101</v>
      </c>
      <c r="F62" s="65">
        <v>125</v>
      </c>
      <c r="G62" s="44">
        <v>2</v>
      </c>
      <c r="H62" s="44">
        <v>11</v>
      </c>
      <c r="I62" s="255">
        <v>3839.5</v>
      </c>
      <c r="J62" s="256">
        <v>898</v>
      </c>
      <c r="K62" s="274">
        <f>J62/G62</f>
        <v>449</v>
      </c>
      <c r="L62" s="275">
        <f>I62/J62</f>
        <v>4.275612472160357</v>
      </c>
      <c r="M62" s="259">
        <f>676439.5+554539.5+408532.5+265092+4+63975.5-30+36417+32233.5+29355.5+9292+4684+3839.75</f>
        <v>2084374.75</v>
      </c>
      <c r="N62" s="257">
        <f>91933+76364+57186+39863+2+10711+6714+6020+5300+2353+1269+898</f>
        <v>298613</v>
      </c>
      <c r="O62" s="287">
        <f>M62/N62</f>
        <v>6.980187567185622</v>
      </c>
      <c r="P62" s="328"/>
    </row>
    <row r="63" spans="1:16" ht="15">
      <c r="A63" s="99">
        <v>60</v>
      </c>
      <c r="B63" s="59" t="s">
        <v>9</v>
      </c>
      <c r="C63" s="43">
        <v>39444</v>
      </c>
      <c r="D63" s="48" t="s">
        <v>141</v>
      </c>
      <c r="E63" s="48" t="s">
        <v>138</v>
      </c>
      <c r="F63" s="96">
        <v>25</v>
      </c>
      <c r="G63" s="97">
        <v>3</v>
      </c>
      <c r="H63" s="96">
        <v>4</v>
      </c>
      <c r="I63" s="265">
        <v>3785</v>
      </c>
      <c r="J63" s="266">
        <v>594</v>
      </c>
      <c r="K63" s="274">
        <f>J63/G63</f>
        <v>198</v>
      </c>
      <c r="L63" s="275">
        <f>I63/J63</f>
        <v>6.372053872053872</v>
      </c>
      <c r="M63" s="267">
        <v>255387.75</v>
      </c>
      <c r="N63" s="268">
        <v>25530</v>
      </c>
      <c r="O63" s="288">
        <f>+M63/N63</f>
        <v>10.003437132784958</v>
      </c>
      <c r="P63" s="328">
        <v>1</v>
      </c>
    </row>
    <row r="64" spans="1:16" ht="15">
      <c r="A64" s="99">
        <v>61</v>
      </c>
      <c r="B64" s="57" t="s">
        <v>128</v>
      </c>
      <c r="C64" s="42">
        <v>39402</v>
      </c>
      <c r="D64" s="46" t="s">
        <v>67</v>
      </c>
      <c r="E64" s="45" t="s">
        <v>159</v>
      </c>
      <c r="F64" s="65">
        <v>20</v>
      </c>
      <c r="G64" s="65">
        <v>6</v>
      </c>
      <c r="H64" s="65">
        <v>8</v>
      </c>
      <c r="I64" s="93">
        <v>3777</v>
      </c>
      <c r="J64" s="105">
        <v>663</v>
      </c>
      <c r="K64" s="164">
        <f>J64/G64</f>
        <v>110.5</v>
      </c>
      <c r="L64" s="165">
        <f>I64/J64</f>
        <v>5.6968325791855206</v>
      </c>
      <c r="M64" s="166">
        <f>8296+141704+66729+20126+11859+581+2076+3662+3777</f>
        <v>258810</v>
      </c>
      <c r="N64" s="167">
        <f>702+12499+6089+1727+1871+101+444+549+663</f>
        <v>24645</v>
      </c>
      <c r="O64" s="89">
        <f>+M64/N64</f>
        <v>10.501521606816798</v>
      </c>
      <c r="P64" s="328"/>
    </row>
    <row r="65" spans="1:16" ht="15">
      <c r="A65" s="99">
        <v>62</v>
      </c>
      <c r="B65" s="57" t="s">
        <v>97</v>
      </c>
      <c r="C65" s="42">
        <v>39409</v>
      </c>
      <c r="D65" s="46" t="s">
        <v>67</v>
      </c>
      <c r="E65" s="45" t="s">
        <v>78</v>
      </c>
      <c r="F65" s="65">
        <v>69</v>
      </c>
      <c r="G65" s="65">
        <v>4</v>
      </c>
      <c r="H65" s="65">
        <v>7</v>
      </c>
      <c r="I65" s="93">
        <v>3613</v>
      </c>
      <c r="J65" s="105">
        <v>696</v>
      </c>
      <c r="K65" s="164">
        <f>J65/G65</f>
        <v>174</v>
      </c>
      <c r="L65" s="165">
        <f>I65/J65</f>
        <v>5.191091954022989</v>
      </c>
      <c r="M65" s="166">
        <f>387069+277494+166747+4993+4045+7291+3613</f>
        <v>851252</v>
      </c>
      <c r="N65" s="167">
        <f>37017+27892+17708+698+855+1523+696</f>
        <v>86389</v>
      </c>
      <c r="O65" s="89">
        <f>+M65/N65</f>
        <v>9.85370822674183</v>
      </c>
      <c r="P65" s="328">
        <v>1</v>
      </c>
    </row>
    <row r="66" spans="1:16" ht="15">
      <c r="A66" s="99">
        <v>63</v>
      </c>
      <c r="B66" s="59" t="s">
        <v>22</v>
      </c>
      <c r="C66" s="42">
        <v>39423</v>
      </c>
      <c r="D66" s="48" t="s">
        <v>102</v>
      </c>
      <c r="E66" s="48" t="s">
        <v>102</v>
      </c>
      <c r="F66" s="60">
        <v>1</v>
      </c>
      <c r="G66" s="60">
        <v>1</v>
      </c>
      <c r="H66" s="60">
        <v>5</v>
      </c>
      <c r="I66" s="93">
        <v>3429</v>
      </c>
      <c r="J66" s="105">
        <v>317</v>
      </c>
      <c r="K66" s="157">
        <f>+J66/G66</f>
        <v>317</v>
      </c>
      <c r="L66" s="158">
        <f>+I66/J66</f>
        <v>10.817034700315457</v>
      </c>
      <c r="M66" s="166">
        <v>22339</v>
      </c>
      <c r="N66" s="167">
        <v>1936</v>
      </c>
      <c r="O66" s="179">
        <f>+M66/N66</f>
        <v>11.538739669421487</v>
      </c>
      <c r="P66" s="328"/>
    </row>
    <row r="67" spans="1:16" ht="15">
      <c r="A67" s="99">
        <v>64</v>
      </c>
      <c r="B67" s="57" t="s">
        <v>98</v>
      </c>
      <c r="C67" s="42">
        <v>39416</v>
      </c>
      <c r="D67" s="46" t="s">
        <v>67</v>
      </c>
      <c r="E67" s="45" t="s">
        <v>159</v>
      </c>
      <c r="F67" s="65">
        <v>123</v>
      </c>
      <c r="G67" s="65">
        <v>8</v>
      </c>
      <c r="H67" s="65">
        <v>9</v>
      </c>
      <c r="I67" s="265">
        <v>3403</v>
      </c>
      <c r="J67" s="266">
        <v>686</v>
      </c>
      <c r="K67" s="274">
        <f>J67/G67</f>
        <v>85.75</v>
      </c>
      <c r="L67" s="275">
        <f>I67/J67</f>
        <v>4.960641399416909</v>
      </c>
      <c r="M67" s="267">
        <f>155416+1136619+622980+528056+225392+174199+84508+58425+34257+3403</f>
        <v>3023255</v>
      </c>
      <c r="N67" s="268">
        <f>12079+122083+66530+52286+18245+17821+7913+4333+2998+686</f>
        <v>304974</v>
      </c>
      <c r="O67" s="288">
        <f>+M67/N67</f>
        <v>9.913156531376446</v>
      </c>
      <c r="P67" s="328">
        <v>1</v>
      </c>
    </row>
    <row r="68" spans="1:16" ht="15">
      <c r="A68" s="99">
        <v>65</v>
      </c>
      <c r="B68" s="58" t="s">
        <v>93</v>
      </c>
      <c r="C68" s="43">
        <v>39416</v>
      </c>
      <c r="D68" s="47" t="s">
        <v>69</v>
      </c>
      <c r="E68" s="47" t="s">
        <v>124</v>
      </c>
      <c r="F68" s="44">
        <v>20</v>
      </c>
      <c r="G68" s="44">
        <v>3</v>
      </c>
      <c r="H68" s="44">
        <v>6</v>
      </c>
      <c r="I68" s="94">
        <v>3347</v>
      </c>
      <c r="J68" s="107">
        <v>396</v>
      </c>
      <c r="K68" s="157">
        <f>IF(I68&lt;&gt;0,J68/G68,"")</f>
        <v>132</v>
      </c>
      <c r="L68" s="158">
        <f>IF(I68&lt;&gt;0,I68/J68,"")</f>
        <v>8.452020202020202</v>
      </c>
      <c r="M68" s="156">
        <f>75692.5+51302+12584.5+2036+2909.5+3347</f>
        <v>147871.5</v>
      </c>
      <c r="N68" s="154">
        <f>7291+5230+1727+233+363+396</f>
        <v>15240</v>
      </c>
      <c r="O68" s="179">
        <f>IF(M68&lt;&gt;0,M68/N68,"")</f>
        <v>9.70285433070866</v>
      </c>
      <c r="P68" s="328"/>
    </row>
    <row r="69" spans="1:16" ht="15">
      <c r="A69" s="99">
        <v>66</v>
      </c>
      <c r="B69" s="57" t="s">
        <v>135</v>
      </c>
      <c r="C69" s="42">
        <v>39402</v>
      </c>
      <c r="D69" s="46" t="s">
        <v>67</v>
      </c>
      <c r="E69" s="45" t="s">
        <v>78</v>
      </c>
      <c r="F69" s="65">
        <v>64</v>
      </c>
      <c r="G69" s="65">
        <v>1</v>
      </c>
      <c r="H69" s="65">
        <v>8</v>
      </c>
      <c r="I69" s="93">
        <v>3337</v>
      </c>
      <c r="J69" s="105">
        <v>358</v>
      </c>
      <c r="K69" s="164">
        <f>J69/G69</f>
        <v>358</v>
      </c>
      <c r="L69" s="165">
        <f>I69/J69</f>
        <v>9.32122905027933</v>
      </c>
      <c r="M69" s="166">
        <f>299858+213967+97347+22667+8568+16509+4053+3337</f>
        <v>666306</v>
      </c>
      <c r="N69" s="167">
        <f>33225+24189+12517+4002+2479+2973+867+358</f>
        <v>80610</v>
      </c>
      <c r="O69" s="89">
        <f>+M69/N69</f>
        <v>8.265798288053592</v>
      </c>
      <c r="P69" s="328"/>
    </row>
    <row r="70" spans="1:16" ht="15">
      <c r="A70" s="99">
        <v>67</v>
      </c>
      <c r="B70" s="58" t="s">
        <v>131</v>
      </c>
      <c r="C70" s="43">
        <v>39402</v>
      </c>
      <c r="D70" s="95" t="s">
        <v>68</v>
      </c>
      <c r="E70" s="95" t="s">
        <v>105</v>
      </c>
      <c r="F70" s="44">
        <v>130</v>
      </c>
      <c r="G70" s="44">
        <v>21</v>
      </c>
      <c r="H70" s="44">
        <v>8</v>
      </c>
      <c r="I70" s="94">
        <v>3233</v>
      </c>
      <c r="J70" s="107">
        <v>645</v>
      </c>
      <c r="K70" s="154">
        <f>J70/G70</f>
        <v>30.714285714285715</v>
      </c>
      <c r="L70" s="155">
        <f>+I70/J70</f>
        <v>5.0124031007751935</v>
      </c>
      <c r="M70" s="156">
        <v>2076609</v>
      </c>
      <c r="N70" s="154">
        <v>260506</v>
      </c>
      <c r="O70" s="178">
        <f>+M70/N70</f>
        <v>7.971444035837946</v>
      </c>
      <c r="P70" s="328"/>
    </row>
    <row r="71" spans="1:16" ht="15">
      <c r="A71" s="99">
        <v>68</v>
      </c>
      <c r="B71" s="57" t="s">
        <v>126</v>
      </c>
      <c r="C71" s="42">
        <v>39381</v>
      </c>
      <c r="D71" s="45" t="s">
        <v>63</v>
      </c>
      <c r="E71" s="45" t="s">
        <v>162</v>
      </c>
      <c r="F71" s="65">
        <v>91</v>
      </c>
      <c r="G71" s="65">
        <v>2</v>
      </c>
      <c r="H71" s="65">
        <v>14</v>
      </c>
      <c r="I71" s="260">
        <v>3214</v>
      </c>
      <c r="J71" s="261">
        <v>690</v>
      </c>
      <c r="K71" s="262">
        <f>IF(I71&lt;&gt;0,J71/G71,"")</f>
        <v>345</v>
      </c>
      <c r="L71" s="263">
        <f>IF(I71&lt;&gt;0,I71/J71,"")</f>
        <v>4.6579710144927535</v>
      </c>
      <c r="M71" s="264">
        <f>964543+666618+447582+156310.5+90863+70894+37352.5+3350+1874+714.5+4126+4390+3896+3214</f>
        <v>2455727.5</v>
      </c>
      <c r="N71" s="257">
        <f>104009+73251+49929+20007+15751+12767+7228+691+416+233+781+895+779+690</f>
        <v>287427</v>
      </c>
      <c r="O71" s="286">
        <f>IF(M71&lt;&gt;0,M71/N71,"")</f>
        <v>8.54383025950937</v>
      </c>
      <c r="P71" s="328"/>
    </row>
    <row r="72" spans="1:16" ht="15">
      <c r="A72" s="99">
        <v>69</v>
      </c>
      <c r="B72" s="59" t="s">
        <v>6</v>
      </c>
      <c r="C72" s="42">
        <v>39444</v>
      </c>
      <c r="D72" s="48" t="s">
        <v>148</v>
      </c>
      <c r="E72" s="48" t="s">
        <v>23</v>
      </c>
      <c r="F72" s="66" t="s">
        <v>1</v>
      </c>
      <c r="G72" s="66" t="s">
        <v>53</v>
      </c>
      <c r="H72" s="66" t="s">
        <v>147</v>
      </c>
      <c r="I72" s="93">
        <v>3171</v>
      </c>
      <c r="J72" s="105">
        <v>499</v>
      </c>
      <c r="K72" s="164">
        <f>J72/G72</f>
        <v>62.375</v>
      </c>
      <c r="L72" s="165">
        <f>I72/J72</f>
        <v>6.354709418837675</v>
      </c>
      <c r="M72" s="166">
        <v>18357.5</v>
      </c>
      <c r="N72" s="167">
        <v>2250</v>
      </c>
      <c r="O72" s="89">
        <f>+M72/N72</f>
        <v>8.158888888888889</v>
      </c>
      <c r="P72" s="328"/>
    </row>
    <row r="73" spans="1:16" ht="15">
      <c r="A73" s="99">
        <v>70</v>
      </c>
      <c r="B73" s="58" t="s">
        <v>136</v>
      </c>
      <c r="C73" s="43">
        <v>39045</v>
      </c>
      <c r="D73" s="47" t="s">
        <v>69</v>
      </c>
      <c r="E73" s="47" t="s">
        <v>137</v>
      </c>
      <c r="F73" s="44">
        <v>59</v>
      </c>
      <c r="G73" s="44">
        <v>1</v>
      </c>
      <c r="H73" s="44">
        <v>32</v>
      </c>
      <c r="I73" s="94">
        <v>3021</v>
      </c>
      <c r="J73" s="107">
        <v>756</v>
      </c>
      <c r="K73" s="157">
        <f>IF(I73&lt;&gt;0,J73/G73,"")</f>
        <v>756</v>
      </c>
      <c r="L73" s="158">
        <f>IF(I73&lt;&gt;0,I73/J73,"")</f>
        <v>3.996031746031746</v>
      </c>
      <c r="M73" s="156">
        <f>923228.5+937012.5+950194+628448.5+336851+386155+185586+7528+78557+38487.5+19951.5+79+2267.5-1008+9203+2435+1210+836+3795.5+1284+1033+2376+108+8910+3564+10330+5034+2376+2376+972+2376+200+20659.5+1510.5+3021</f>
        <v>4576947.5</v>
      </c>
      <c r="N73" s="154">
        <f>117837+123027+120667+81172+47916+61261+32646+795+14471+9345+4644+35+561-336+1591+487+300+161+1018+303+241+475+13+2228+891+2583+1259+594+594+162+594+67+4132+378+756</f>
        <v>632868</v>
      </c>
      <c r="O73" s="179">
        <f>IF(M73&lt;&gt;0,M73/N73,"")</f>
        <v>7.232072880916716</v>
      </c>
      <c r="P73" s="328"/>
    </row>
    <row r="74" spans="1:16" ht="15">
      <c r="A74" s="99">
        <v>71</v>
      </c>
      <c r="B74" s="59" t="s">
        <v>95</v>
      </c>
      <c r="C74" s="43">
        <v>39416</v>
      </c>
      <c r="D74" s="48" t="s">
        <v>141</v>
      </c>
      <c r="E74" s="48" t="s">
        <v>51</v>
      </c>
      <c r="F74" s="96">
        <v>4</v>
      </c>
      <c r="G74" s="97">
        <v>4</v>
      </c>
      <c r="H74" s="96">
        <v>6</v>
      </c>
      <c r="I74" s="93">
        <v>2995</v>
      </c>
      <c r="J74" s="105">
        <v>518</v>
      </c>
      <c r="K74" s="164">
        <f>J74/G74</f>
        <v>129.5</v>
      </c>
      <c r="L74" s="165">
        <f>I74/J74</f>
        <v>5.781853281853282</v>
      </c>
      <c r="M74" s="166">
        <v>43169</v>
      </c>
      <c r="N74" s="167">
        <v>4604</v>
      </c>
      <c r="O74" s="89">
        <f>+M74/N74</f>
        <v>9.376411815812338</v>
      </c>
      <c r="P74" s="328"/>
    </row>
    <row r="75" spans="1:16" ht="15">
      <c r="A75" s="99">
        <v>72</v>
      </c>
      <c r="B75" s="59" t="s">
        <v>163</v>
      </c>
      <c r="C75" s="43">
        <v>39381</v>
      </c>
      <c r="D75" s="48" t="s">
        <v>141</v>
      </c>
      <c r="E75" s="48" t="s">
        <v>164</v>
      </c>
      <c r="F75" s="96">
        <v>11</v>
      </c>
      <c r="G75" s="97">
        <v>4</v>
      </c>
      <c r="H75" s="96">
        <v>11</v>
      </c>
      <c r="I75" s="93">
        <v>2972</v>
      </c>
      <c r="J75" s="105">
        <v>542</v>
      </c>
      <c r="K75" s="164">
        <f>J75/G75</f>
        <v>135.5</v>
      </c>
      <c r="L75" s="165">
        <f>I75/J75</f>
        <v>5.483394833948339</v>
      </c>
      <c r="M75" s="166">
        <v>220410.7</v>
      </c>
      <c r="N75" s="167">
        <v>24789</v>
      </c>
      <c r="O75" s="89">
        <f>+M75/N75</f>
        <v>8.89147202388156</v>
      </c>
      <c r="P75" s="328"/>
    </row>
    <row r="76" spans="1:16" ht="15">
      <c r="A76" s="99">
        <v>73</v>
      </c>
      <c r="B76" s="59" t="s">
        <v>22</v>
      </c>
      <c r="C76" s="42">
        <v>39423</v>
      </c>
      <c r="D76" s="48" t="s">
        <v>102</v>
      </c>
      <c r="E76" s="48" t="s">
        <v>102</v>
      </c>
      <c r="F76" s="60">
        <v>1</v>
      </c>
      <c r="G76" s="60">
        <v>1</v>
      </c>
      <c r="H76" s="60">
        <v>5</v>
      </c>
      <c r="I76" s="265">
        <v>2963</v>
      </c>
      <c r="J76" s="266">
        <v>311</v>
      </c>
      <c r="K76" s="262">
        <f>+J76/G76</f>
        <v>311</v>
      </c>
      <c r="L76" s="263">
        <f>+I76/J76</f>
        <v>9.52733118971061</v>
      </c>
      <c r="M76" s="267">
        <v>25302</v>
      </c>
      <c r="N76" s="268">
        <v>2247</v>
      </c>
      <c r="O76" s="286">
        <f>+M76/N76</f>
        <v>11.260347129506007</v>
      </c>
      <c r="P76" s="328"/>
    </row>
    <row r="77" spans="1:16" ht="15">
      <c r="A77" s="99">
        <v>74</v>
      </c>
      <c r="B77" s="58" t="s">
        <v>13</v>
      </c>
      <c r="C77" s="43">
        <v>39395</v>
      </c>
      <c r="D77" s="47" t="s">
        <v>69</v>
      </c>
      <c r="E77" s="47" t="s">
        <v>70</v>
      </c>
      <c r="F77" s="44">
        <v>35</v>
      </c>
      <c r="G77" s="44">
        <v>2</v>
      </c>
      <c r="H77" s="44">
        <v>11</v>
      </c>
      <c r="I77" s="255">
        <v>2857</v>
      </c>
      <c r="J77" s="256">
        <v>716</v>
      </c>
      <c r="K77" s="274">
        <f aca="true" t="shared" si="4" ref="K77:K93">J77/G77</f>
        <v>358</v>
      </c>
      <c r="L77" s="275">
        <f>I77/J77</f>
        <v>3.9902234636871508</v>
      </c>
      <c r="M77" s="259">
        <f>310876.5+189449.5+81911+30301+17300.5+2478+1808+1661.5+1269+1934+2857</f>
        <v>641846</v>
      </c>
      <c r="N77" s="257">
        <f>27485+16830+7465+3781+3026+485+290+393+249+683+716</f>
        <v>61403</v>
      </c>
      <c r="O77" s="287">
        <f>M77/N77</f>
        <v>10.453007182059508</v>
      </c>
      <c r="P77" s="328"/>
    </row>
    <row r="78" spans="1:16" ht="15">
      <c r="A78" s="99">
        <v>75</v>
      </c>
      <c r="B78" s="57" t="s">
        <v>3</v>
      </c>
      <c r="C78" s="42">
        <v>39444</v>
      </c>
      <c r="D78" s="46" t="s">
        <v>67</v>
      </c>
      <c r="E78" s="45" t="s">
        <v>78</v>
      </c>
      <c r="F78" s="65">
        <v>60</v>
      </c>
      <c r="G78" s="65">
        <v>7</v>
      </c>
      <c r="H78" s="65">
        <v>4</v>
      </c>
      <c r="I78" s="265">
        <v>2807</v>
      </c>
      <c r="J78" s="266">
        <v>450</v>
      </c>
      <c r="K78" s="274">
        <f t="shared" si="4"/>
        <v>64.28571428571429</v>
      </c>
      <c r="L78" s="275">
        <f>I78/J78</f>
        <v>6.237777777777778</v>
      </c>
      <c r="M78" s="267">
        <f>211429+90759+13033+2807</f>
        <v>318028</v>
      </c>
      <c r="N78" s="268">
        <f>22982+9879+1560+450</f>
        <v>34871</v>
      </c>
      <c r="O78" s="288">
        <f>+M78/N78</f>
        <v>9.120128473516676</v>
      </c>
      <c r="P78" s="328">
        <v>1</v>
      </c>
    </row>
    <row r="79" spans="1:16" ht="15">
      <c r="A79" s="99">
        <v>76</v>
      </c>
      <c r="B79" s="59" t="s">
        <v>119</v>
      </c>
      <c r="C79" s="42">
        <v>39437</v>
      </c>
      <c r="D79" s="49" t="s">
        <v>74</v>
      </c>
      <c r="E79" s="49" t="s">
        <v>142</v>
      </c>
      <c r="F79" s="78">
        <v>17</v>
      </c>
      <c r="G79" s="78">
        <v>17</v>
      </c>
      <c r="H79" s="78">
        <v>4</v>
      </c>
      <c r="I79" s="277">
        <v>2727</v>
      </c>
      <c r="J79" s="278">
        <v>388</v>
      </c>
      <c r="K79" s="279">
        <f t="shared" si="4"/>
        <v>22.823529411764707</v>
      </c>
      <c r="L79" s="280">
        <f>I79/J79</f>
        <v>7.028350515463917</v>
      </c>
      <c r="M79" s="281">
        <v>273470</v>
      </c>
      <c r="N79" s="279">
        <v>25716</v>
      </c>
      <c r="O79" s="289">
        <f>M79/N79</f>
        <v>10.634235495411417</v>
      </c>
      <c r="P79" s="328"/>
    </row>
    <row r="80" spans="1:16" ht="15">
      <c r="A80" s="99">
        <v>77</v>
      </c>
      <c r="B80" s="58" t="s">
        <v>100</v>
      </c>
      <c r="C80" s="43">
        <v>39423</v>
      </c>
      <c r="D80" s="47" t="s">
        <v>69</v>
      </c>
      <c r="E80" s="47" t="s">
        <v>70</v>
      </c>
      <c r="F80" s="44">
        <v>40</v>
      </c>
      <c r="G80" s="44">
        <v>3</v>
      </c>
      <c r="H80" s="44">
        <v>6</v>
      </c>
      <c r="I80" s="255">
        <v>2705</v>
      </c>
      <c r="J80" s="256">
        <v>543</v>
      </c>
      <c r="K80" s="257">
        <f t="shared" si="4"/>
        <v>181</v>
      </c>
      <c r="L80" s="258">
        <f>+I80/J80</f>
        <v>4.98158379373849</v>
      </c>
      <c r="M80" s="259">
        <f>337397.5+246059+95618.5+43492.5+31631.5+2705</f>
        <v>756904</v>
      </c>
      <c r="N80" s="257">
        <f>35596+24953+11024+7059+5745+543</f>
        <v>84920</v>
      </c>
      <c r="O80" s="285">
        <f aca="true" t="shared" si="5" ref="O80:O86">+M80/N80</f>
        <v>8.913141780499293</v>
      </c>
      <c r="P80" s="328"/>
    </row>
    <row r="81" spans="1:16" ht="15">
      <c r="A81" s="99">
        <v>78</v>
      </c>
      <c r="B81" s="58" t="s">
        <v>93</v>
      </c>
      <c r="C81" s="43">
        <v>39416</v>
      </c>
      <c r="D81" s="47" t="s">
        <v>69</v>
      </c>
      <c r="E81" s="47" t="s">
        <v>124</v>
      </c>
      <c r="F81" s="44">
        <v>20</v>
      </c>
      <c r="G81" s="44">
        <v>1</v>
      </c>
      <c r="H81" s="44">
        <v>8</v>
      </c>
      <c r="I81" s="255">
        <v>2626.5</v>
      </c>
      <c r="J81" s="256">
        <v>298</v>
      </c>
      <c r="K81" s="274">
        <f t="shared" si="4"/>
        <v>298</v>
      </c>
      <c r="L81" s="275">
        <f aca="true" t="shared" si="6" ref="L81:L88">I81/J81</f>
        <v>8.813758389261745</v>
      </c>
      <c r="M81" s="259">
        <f>75692.5+51302+12584.5+2036+2909.5+3347+4240.5+2626.5</f>
        <v>154738.5</v>
      </c>
      <c r="N81" s="257">
        <f>7291+5230+1727+233+363+396+496+298</f>
        <v>16034</v>
      </c>
      <c r="O81" s="288">
        <f t="shared" si="5"/>
        <v>9.650648621678933</v>
      </c>
      <c r="P81" s="328">
        <v>1</v>
      </c>
    </row>
    <row r="82" spans="1:16" ht="15">
      <c r="A82" s="99">
        <v>79</v>
      </c>
      <c r="B82" s="57" t="s">
        <v>3</v>
      </c>
      <c r="C82" s="42">
        <v>39444</v>
      </c>
      <c r="D82" s="46" t="s">
        <v>67</v>
      </c>
      <c r="E82" s="45" t="s">
        <v>78</v>
      </c>
      <c r="F82" s="65">
        <v>60</v>
      </c>
      <c r="G82" s="65">
        <v>5</v>
      </c>
      <c r="H82" s="65">
        <v>5</v>
      </c>
      <c r="I82" s="265">
        <v>2520</v>
      </c>
      <c r="J82" s="266">
        <v>434</v>
      </c>
      <c r="K82" s="274">
        <f t="shared" si="4"/>
        <v>86.8</v>
      </c>
      <c r="L82" s="275">
        <f t="shared" si="6"/>
        <v>5.806451612903226</v>
      </c>
      <c r="M82" s="267">
        <f>211429+90759+13033+2807+2520</f>
        <v>320548</v>
      </c>
      <c r="N82" s="268">
        <f>22982+9879+1560+450+434</f>
        <v>35305</v>
      </c>
      <c r="O82" s="288">
        <f t="shared" si="5"/>
        <v>9.079393853561818</v>
      </c>
      <c r="P82" s="328">
        <v>1</v>
      </c>
    </row>
    <row r="83" spans="1:16" ht="15">
      <c r="A83" s="99">
        <v>80</v>
      </c>
      <c r="B83" s="59" t="s">
        <v>120</v>
      </c>
      <c r="C83" s="42">
        <v>39437</v>
      </c>
      <c r="D83" s="48" t="s">
        <v>80</v>
      </c>
      <c r="E83" s="48" t="s">
        <v>55</v>
      </c>
      <c r="F83" s="66" t="s">
        <v>121</v>
      </c>
      <c r="G83" s="66" t="s">
        <v>146</v>
      </c>
      <c r="H83" s="66" t="s">
        <v>112</v>
      </c>
      <c r="I83" s="93">
        <v>2441.5</v>
      </c>
      <c r="J83" s="105">
        <v>412</v>
      </c>
      <c r="K83" s="164">
        <f t="shared" si="4"/>
        <v>41.2</v>
      </c>
      <c r="L83" s="165">
        <f t="shared" si="6"/>
        <v>5.925970873786408</v>
      </c>
      <c r="M83" s="166">
        <v>76642.5</v>
      </c>
      <c r="N83" s="167">
        <v>7945</v>
      </c>
      <c r="O83" s="89">
        <f t="shared" si="5"/>
        <v>9.646633102580239</v>
      </c>
      <c r="P83" s="328">
        <v>1</v>
      </c>
    </row>
    <row r="84" spans="1:16" ht="15">
      <c r="A84" s="99">
        <v>81</v>
      </c>
      <c r="B84" s="58" t="s">
        <v>176</v>
      </c>
      <c r="C84" s="43">
        <v>39262</v>
      </c>
      <c r="D84" s="95" t="s">
        <v>69</v>
      </c>
      <c r="E84" s="47" t="s">
        <v>70</v>
      </c>
      <c r="F84" s="65">
        <v>78</v>
      </c>
      <c r="G84" s="44">
        <v>1</v>
      </c>
      <c r="H84" s="44">
        <v>19</v>
      </c>
      <c r="I84" s="255">
        <v>2409</v>
      </c>
      <c r="J84" s="256">
        <v>603</v>
      </c>
      <c r="K84" s="274">
        <f t="shared" si="4"/>
        <v>603</v>
      </c>
      <c r="L84" s="275">
        <f t="shared" si="6"/>
        <v>3.9950248756218905</v>
      </c>
      <c r="M84" s="259">
        <f>739051+347868+263605+177344.5+97146+68797+30662+31663.5+3881.5+3316+4035+1380.5+2813.5+149+2357+5396.5+123+1188+2409</f>
        <v>1783186</v>
      </c>
      <c r="N84" s="257">
        <f>88667+41947+31866+21736+14597+11279+5210+7064+821+613+870+310+686+24+561+1349+30+297+603</f>
        <v>228530</v>
      </c>
      <c r="O84" s="288">
        <f t="shared" si="5"/>
        <v>7.802853017109351</v>
      </c>
      <c r="P84" s="328"/>
    </row>
    <row r="85" spans="1:16" ht="15">
      <c r="A85" s="99">
        <v>82</v>
      </c>
      <c r="B85" s="57" t="s">
        <v>41</v>
      </c>
      <c r="C85" s="42">
        <v>39437</v>
      </c>
      <c r="D85" s="46" t="s">
        <v>67</v>
      </c>
      <c r="E85" s="45" t="s">
        <v>56</v>
      </c>
      <c r="F85" s="65">
        <v>49</v>
      </c>
      <c r="G85" s="65">
        <v>4</v>
      </c>
      <c r="H85" s="65">
        <v>5</v>
      </c>
      <c r="I85" s="265">
        <v>2313</v>
      </c>
      <c r="J85" s="266">
        <v>424</v>
      </c>
      <c r="K85" s="274">
        <f t="shared" si="4"/>
        <v>106</v>
      </c>
      <c r="L85" s="275">
        <f t="shared" si="6"/>
        <v>5.455188679245283</v>
      </c>
      <c r="M85" s="267">
        <f>265356+150950+36636+752+2313</f>
        <v>456007</v>
      </c>
      <c r="N85" s="268">
        <f>28419+15898+4109+157+424</f>
        <v>49007</v>
      </c>
      <c r="O85" s="288">
        <f t="shared" si="5"/>
        <v>9.3049360295468</v>
      </c>
      <c r="P85" s="328"/>
    </row>
    <row r="86" spans="1:16" ht="15">
      <c r="A86" s="99">
        <v>83</v>
      </c>
      <c r="B86" s="57" t="s">
        <v>135</v>
      </c>
      <c r="C86" s="42">
        <v>39402</v>
      </c>
      <c r="D86" s="46" t="s">
        <v>67</v>
      </c>
      <c r="E86" s="45" t="s">
        <v>78</v>
      </c>
      <c r="F86" s="65">
        <v>64</v>
      </c>
      <c r="G86" s="65">
        <v>4</v>
      </c>
      <c r="H86" s="65">
        <v>11</v>
      </c>
      <c r="I86" s="265">
        <v>2264</v>
      </c>
      <c r="J86" s="266">
        <v>375</v>
      </c>
      <c r="K86" s="274">
        <f t="shared" si="4"/>
        <v>93.75</v>
      </c>
      <c r="L86" s="275">
        <f t="shared" si="6"/>
        <v>6.037333333333334</v>
      </c>
      <c r="M86" s="267">
        <f>299858+213967+97347+22667+8568+16509+4053+3337+284+4988+2264</f>
        <v>673842</v>
      </c>
      <c r="N86" s="268">
        <f>33225+24189+12517+4002+2479+2973+867+358+35+802+375</f>
        <v>81822</v>
      </c>
      <c r="O86" s="288">
        <f t="shared" si="5"/>
        <v>8.235462345090562</v>
      </c>
      <c r="P86" s="328"/>
    </row>
    <row r="87" spans="1:16" ht="15">
      <c r="A87" s="99">
        <v>84</v>
      </c>
      <c r="B87" s="58" t="s">
        <v>110</v>
      </c>
      <c r="C87" s="43">
        <v>39430</v>
      </c>
      <c r="D87" s="47" t="s">
        <v>69</v>
      </c>
      <c r="E87" s="47" t="s">
        <v>111</v>
      </c>
      <c r="F87" s="44">
        <v>43</v>
      </c>
      <c r="G87" s="44">
        <v>8</v>
      </c>
      <c r="H87" s="44">
        <v>7</v>
      </c>
      <c r="I87" s="255">
        <v>2247</v>
      </c>
      <c r="J87" s="256">
        <v>461</v>
      </c>
      <c r="K87" s="274">
        <f t="shared" si="4"/>
        <v>57.625</v>
      </c>
      <c r="L87" s="275">
        <f t="shared" si="6"/>
        <v>4.874186550976138</v>
      </c>
      <c r="M87" s="259">
        <f>43240+25728.5+5226.5+5207.5+50+1692+2247</f>
        <v>83391.5</v>
      </c>
      <c r="N87" s="257">
        <f>5272+3593+870+1171+5+336+461</f>
        <v>11708</v>
      </c>
      <c r="O87" s="287">
        <f>M87/N87</f>
        <v>7.122608472839085</v>
      </c>
      <c r="P87" s="328"/>
    </row>
    <row r="88" spans="1:16" ht="15">
      <c r="A88" s="99">
        <v>85</v>
      </c>
      <c r="B88" s="58" t="s">
        <v>93</v>
      </c>
      <c r="C88" s="43">
        <v>39416</v>
      </c>
      <c r="D88" s="47" t="s">
        <v>69</v>
      </c>
      <c r="E88" s="47" t="s">
        <v>124</v>
      </c>
      <c r="F88" s="44">
        <v>20</v>
      </c>
      <c r="G88" s="44">
        <v>1</v>
      </c>
      <c r="H88" s="44">
        <v>9</v>
      </c>
      <c r="I88" s="255">
        <v>2244</v>
      </c>
      <c r="J88" s="256">
        <v>253</v>
      </c>
      <c r="K88" s="274">
        <f t="shared" si="4"/>
        <v>253</v>
      </c>
      <c r="L88" s="275">
        <f t="shared" si="6"/>
        <v>8.869565217391305</v>
      </c>
      <c r="M88" s="259">
        <f>75692.5+51302+12584.5+2036+2909.5+3347+4240.5+2626.5+2244</f>
        <v>156982.5</v>
      </c>
      <c r="N88" s="257">
        <f>7291+5230+1727+233+363+396+496+298+253</f>
        <v>16287</v>
      </c>
      <c r="O88" s="287">
        <f>M88/N88</f>
        <v>9.638515380364709</v>
      </c>
      <c r="P88" s="328"/>
    </row>
    <row r="89" spans="1:16" ht="15">
      <c r="A89" s="99">
        <v>86</v>
      </c>
      <c r="B89" s="58" t="s">
        <v>118</v>
      </c>
      <c r="C89" s="42">
        <v>39437</v>
      </c>
      <c r="D89" s="95" t="s">
        <v>68</v>
      </c>
      <c r="E89" s="95" t="s">
        <v>71</v>
      </c>
      <c r="F89" s="44">
        <v>105</v>
      </c>
      <c r="G89" s="44">
        <v>3</v>
      </c>
      <c r="H89" s="44">
        <v>6</v>
      </c>
      <c r="I89" s="255">
        <v>2159</v>
      </c>
      <c r="J89" s="256">
        <v>392</v>
      </c>
      <c r="K89" s="257">
        <f t="shared" si="4"/>
        <v>130.66666666666666</v>
      </c>
      <c r="L89" s="258">
        <f>+I89/J89</f>
        <v>5.50765306122449</v>
      </c>
      <c r="M89" s="259">
        <v>711477</v>
      </c>
      <c r="N89" s="257">
        <v>81646</v>
      </c>
      <c r="O89" s="288">
        <f>+M89/N89</f>
        <v>8.714168483452955</v>
      </c>
      <c r="P89" s="328"/>
    </row>
    <row r="90" spans="1:16" ht="15">
      <c r="A90" s="99">
        <v>87</v>
      </c>
      <c r="B90" s="59" t="s">
        <v>107</v>
      </c>
      <c r="C90" s="42">
        <v>39430</v>
      </c>
      <c r="D90" s="48" t="s">
        <v>148</v>
      </c>
      <c r="E90" s="48" t="s">
        <v>5</v>
      </c>
      <c r="F90" s="66" t="s">
        <v>108</v>
      </c>
      <c r="G90" s="66" t="s">
        <v>144</v>
      </c>
      <c r="H90" s="66" t="s">
        <v>38</v>
      </c>
      <c r="I90" s="265">
        <v>1974</v>
      </c>
      <c r="J90" s="266">
        <v>390</v>
      </c>
      <c r="K90" s="274">
        <f t="shared" si="4"/>
        <v>78</v>
      </c>
      <c r="L90" s="275">
        <f>I90/J90</f>
        <v>5.061538461538461</v>
      </c>
      <c r="M90" s="267">
        <v>1227657.44</v>
      </c>
      <c r="N90" s="268">
        <v>156725</v>
      </c>
      <c r="O90" s="288">
        <f>+M90/N90</f>
        <v>7.833194704099537</v>
      </c>
      <c r="P90" s="328"/>
    </row>
    <row r="91" spans="1:16" ht="15">
      <c r="A91" s="99">
        <v>88</v>
      </c>
      <c r="B91" s="59" t="s">
        <v>6</v>
      </c>
      <c r="C91" s="42">
        <v>39444</v>
      </c>
      <c r="D91" s="48" t="s">
        <v>148</v>
      </c>
      <c r="E91" s="48" t="s">
        <v>23</v>
      </c>
      <c r="F91" s="66" t="s">
        <v>1</v>
      </c>
      <c r="G91" s="66" t="s">
        <v>38</v>
      </c>
      <c r="H91" s="66" t="s">
        <v>112</v>
      </c>
      <c r="I91" s="265">
        <v>1935</v>
      </c>
      <c r="J91" s="266">
        <v>355</v>
      </c>
      <c r="K91" s="274">
        <f t="shared" si="4"/>
        <v>50.714285714285715</v>
      </c>
      <c r="L91" s="275">
        <f>I91/J91</f>
        <v>5.450704225352113</v>
      </c>
      <c r="M91" s="267">
        <v>20292.5</v>
      </c>
      <c r="N91" s="268">
        <v>2605</v>
      </c>
      <c r="O91" s="288">
        <f>+M91/N91</f>
        <v>7.789827255278311</v>
      </c>
      <c r="P91" s="328"/>
    </row>
    <row r="92" spans="1:16" ht="15">
      <c r="A92" s="99">
        <v>89</v>
      </c>
      <c r="B92" s="58" t="s">
        <v>13</v>
      </c>
      <c r="C92" s="43">
        <v>39395</v>
      </c>
      <c r="D92" s="47" t="s">
        <v>69</v>
      </c>
      <c r="E92" s="47" t="s">
        <v>70</v>
      </c>
      <c r="F92" s="44">
        <v>35</v>
      </c>
      <c r="G92" s="44">
        <v>1</v>
      </c>
      <c r="H92" s="44">
        <v>10</v>
      </c>
      <c r="I92" s="255">
        <v>1934</v>
      </c>
      <c r="J92" s="256">
        <v>683</v>
      </c>
      <c r="K92" s="274">
        <f t="shared" si="4"/>
        <v>683</v>
      </c>
      <c r="L92" s="275">
        <f>I92/J92</f>
        <v>2.831625183016105</v>
      </c>
      <c r="M92" s="259">
        <f>310876.5+189449.5+81911+30301+17300.5+2478+1808+1661.5+1269+1934</f>
        <v>638989</v>
      </c>
      <c r="N92" s="257">
        <f>27485+16830+7465+3781+3026+485+290+393+249+683</f>
        <v>60687</v>
      </c>
      <c r="O92" s="288">
        <f>+M92/N92</f>
        <v>10.529256677706922</v>
      </c>
      <c r="P92" s="313"/>
    </row>
    <row r="93" spans="1:16" ht="15">
      <c r="A93" s="99">
        <v>90</v>
      </c>
      <c r="B93" s="58" t="s">
        <v>118</v>
      </c>
      <c r="C93" s="42">
        <v>39437</v>
      </c>
      <c r="D93" s="95" t="s">
        <v>68</v>
      </c>
      <c r="E93" s="95" t="s">
        <v>71</v>
      </c>
      <c r="F93" s="44">
        <v>105</v>
      </c>
      <c r="G93" s="44">
        <v>105</v>
      </c>
      <c r="H93" s="44">
        <v>5</v>
      </c>
      <c r="I93" s="255">
        <v>1899</v>
      </c>
      <c r="J93" s="256">
        <v>350</v>
      </c>
      <c r="K93" s="257">
        <f t="shared" si="4"/>
        <v>3.3333333333333335</v>
      </c>
      <c r="L93" s="258">
        <f>+I93/J93</f>
        <v>5.425714285714286</v>
      </c>
      <c r="M93" s="259">
        <v>709318</v>
      </c>
      <c r="N93" s="257">
        <v>81254</v>
      </c>
      <c r="O93" s="285">
        <f>+M93/N93</f>
        <v>8.729637925517514</v>
      </c>
      <c r="P93" s="313"/>
    </row>
    <row r="94" spans="1:16" ht="15">
      <c r="A94" s="99">
        <v>91</v>
      </c>
      <c r="B94" s="58" t="s">
        <v>24</v>
      </c>
      <c r="C94" s="43">
        <v>39444</v>
      </c>
      <c r="D94" s="47" t="s">
        <v>69</v>
      </c>
      <c r="E94" s="47" t="s">
        <v>7</v>
      </c>
      <c r="F94" s="65">
        <v>10</v>
      </c>
      <c r="G94" s="44">
        <v>8</v>
      </c>
      <c r="H94" s="44">
        <v>2</v>
      </c>
      <c r="I94" s="94">
        <v>1895</v>
      </c>
      <c r="J94" s="107">
        <v>200</v>
      </c>
      <c r="K94" s="157">
        <f>IF(I94&lt;&gt;0,J94/G94,"")</f>
        <v>25</v>
      </c>
      <c r="L94" s="158">
        <f>IF(I94&lt;&gt;0,I94/J94,"")</f>
        <v>9.475</v>
      </c>
      <c r="M94" s="156">
        <f>8804+1895</f>
        <v>10699</v>
      </c>
      <c r="N94" s="154">
        <f>970+200</f>
        <v>1170</v>
      </c>
      <c r="O94" s="179">
        <f>IF(M94&lt;&gt;0,M94/N94,"")</f>
        <v>9.144444444444444</v>
      </c>
      <c r="P94" s="313"/>
    </row>
    <row r="95" spans="1:16" ht="15">
      <c r="A95" s="99">
        <v>92</v>
      </c>
      <c r="B95" s="58" t="s">
        <v>14</v>
      </c>
      <c r="C95" s="43">
        <v>39437</v>
      </c>
      <c r="D95" s="48" t="s">
        <v>141</v>
      </c>
      <c r="E95" s="48" t="s">
        <v>122</v>
      </c>
      <c r="F95" s="96">
        <v>7</v>
      </c>
      <c r="G95" s="97">
        <v>2</v>
      </c>
      <c r="H95" s="96">
        <v>5</v>
      </c>
      <c r="I95" s="265">
        <v>1827</v>
      </c>
      <c r="J95" s="266">
        <v>312</v>
      </c>
      <c r="K95" s="274">
        <f aca="true" t="shared" si="7" ref="K95:K100">J95/G95</f>
        <v>156</v>
      </c>
      <c r="L95" s="275">
        <f aca="true" t="shared" si="8" ref="L95:L100">I95/J95</f>
        <v>5.855769230769231</v>
      </c>
      <c r="M95" s="267">
        <v>40433</v>
      </c>
      <c r="N95" s="268">
        <v>5255</v>
      </c>
      <c r="O95" s="288">
        <f>+M95/N95</f>
        <v>7.694196003805899</v>
      </c>
      <c r="P95" s="313"/>
    </row>
    <row r="96" spans="1:16" ht="15">
      <c r="A96" s="99">
        <v>93</v>
      </c>
      <c r="B96" s="57" t="s">
        <v>128</v>
      </c>
      <c r="C96" s="42">
        <v>39402</v>
      </c>
      <c r="D96" s="46" t="s">
        <v>67</v>
      </c>
      <c r="E96" s="45" t="s">
        <v>159</v>
      </c>
      <c r="F96" s="65">
        <v>20</v>
      </c>
      <c r="G96" s="65">
        <v>3</v>
      </c>
      <c r="H96" s="65">
        <v>10</v>
      </c>
      <c r="I96" s="265">
        <v>1754</v>
      </c>
      <c r="J96" s="266">
        <v>276</v>
      </c>
      <c r="K96" s="274">
        <f t="shared" si="7"/>
        <v>92</v>
      </c>
      <c r="L96" s="275">
        <f t="shared" si="8"/>
        <v>6.355072463768116</v>
      </c>
      <c r="M96" s="267">
        <f>8296+141704+66729+20126+11859+581+2076+3662+3777+6557+1754</f>
        <v>267121</v>
      </c>
      <c r="N96" s="268">
        <f>702+12499+6089+1727+1871+101+444+549+663+1089+276</f>
        <v>26010</v>
      </c>
      <c r="O96" s="288">
        <f>+M96/N96</f>
        <v>10.269934640522877</v>
      </c>
      <c r="P96" s="313"/>
    </row>
    <row r="97" spans="1:16" ht="15">
      <c r="A97" s="99">
        <v>94</v>
      </c>
      <c r="B97" s="79" t="s">
        <v>92</v>
      </c>
      <c r="C97" s="63">
        <v>39416</v>
      </c>
      <c r="D97" s="88" t="s">
        <v>83</v>
      </c>
      <c r="E97" s="88" t="s">
        <v>61</v>
      </c>
      <c r="F97" s="86">
        <v>45</v>
      </c>
      <c r="G97" s="87">
        <v>5</v>
      </c>
      <c r="H97" s="87">
        <v>9</v>
      </c>
      <c r="I97" s="269">
        <v>1728</v>
      </c>
      <c r="J97" s="270">
        <v>347</v>
      </c>
      <c r="K97" s="274">
        <f t="shared" si="7"/>
        <v>69.4</v>
      </c>
      <c r="L97" s="275">
        <f t="shared" si="8"/>
        <v>4.979827089337176</v>
      </c>
      <c r="M97" s="273">
        <v>174465.5</v>
      </c>
      <c r="N97" s="282">
        <v>25491</v>
      </c>
      <c r="O97" s="287">
        <f>M97/N97</f>
        <v>6.84419991369503</v>
      </c>
      <c r="P97" s="313"/>
    </row>
    <row r="98" spans="1:16" ht="15">
      <c r="A98" s="99">
        <v>95</v>
      </c>
      <c r="B98" s="58" t="s">
        <v>110</v>
      </c>
      <c r="C98" s="43">
        <v>39430</v>
      </c>
      <c r="D98" s="47" t="s">
        <v>69</v>
      </c>
      <c r="E98" s="47" t="s">
        <v>111</v>
      </c>
      <c r="F98" s="44">
        <v>43</v>
      </c>
      <c r="G98" s="44">
        <v>7</v>
      </c>
      <c r="H98" s="44">
        <v>6</v>
      </c>
      <c r="I98" s="255">
        <v>1692</v>
      </c>
      <c r="J98" s="256">
        <v>336</v>
      </c>
      <c r="K98" s="274">
        <f t="shared" si="7"/>
        <v>48</v>
      </c>
      <c r="L98" s="275">
        <f t="shared" si="8"/>
        <v>5.035714285714286</v>
      </c>
      <c r="M98" s="259">
        <f>43240+25728.5+5226.5+5207.5+50+1692</f>
        <v>81144.5</v>
      </c>
      <c r="N98" s="257">
        <f>5272+3593+870+1171+5+336</f>
        <v>11247</v>
      </c>
      <c r="O98" s="288">
        <f>+M98/N98</f>
        <v>7.214768382679826</v>
      </c>
      <c r="P98" s="313"/>
    </row>
    <row r="99" spans="1:16" ht="15">
      <c r="A99" s="99">
        <v>96</v>
      </c>
      <c r="B99" s="57" t="s">
        <v>125</v>
      </c>
      <c r="C99" s="42">
        <v>39395</v>
      </c>
      <c r="D99" s="46" t="s">
        <v>67</v>
      </c>
      <c r="E99" s="45" t="s">
        <v>72</v>
      </c>
      <c r="F99" s="65">
        <v>56</v>
      </c>
      <c r="G99" s="65">
        <v>2</v>
      </c>
      <c r="H99" s="65">
        <v>7</v>
      </c>
      <c r="I99" s="265">
        <v>1598</v>
      </c>
      <c r="J99" s="266">
        <v>667</v>
      </c>
      <c r="K99" s="274">
        <f t="shared" si="7"/>
        <v>333.5</v>
      </c>
      <c r="L99" s="275">
        <f t="shared" si="8"/>
        <v>2.395802098950525</v>
      </c>
      <c r="M99" s="267">
        <f>1295+255300+147780+51761+8278+8834+918+1598</f>
        <v>475764</v>
      </c>
      <c r="N99" s="268">
        <f>119+28097+15891+6021+1461+2448+162+667</f>
        <v>54866</v>
      </c>
      <c r="O99" s="288">
        <f>+M99/N99</f>
        <v>8.671381183246455</v>
      </c>
      <c r="P99" s="313"/>
    </row>
    <row r="100" spans="1:16" ht="15">
      <c r="A100" s="99">
        <v>97</v>
      </c>
      <c r="B100" s="59" t="s">
        <v>90</v>
      </c>
      <c r="C100" s="42">
        <v>39416</v>
      </c>
      <c r="D100" s="48" t="s">
        <v>80</v>
      </c>
      <c r="E100" s="48" t="s">
        <v>55</v>
      </c>
      <c r="F100" s="66" t="s">
        <v>91</v>
      </c>
      <c r="G100" s="66" t="s">
        <v>112</v>
      </c>
      <c r="H100" s="66" t="s">
        <v>2</v>
      </c>
      <c r="I100" s="93">
        <v>1534</v>
      </c>
      <c r="J100" s="105">
        <v>239</v>
      </c>
      <c r="K100" s="164">
        <f t="shared" si="7"/>
        <v>79.66666666666667</v>
      </c>
      <c r="L100" s="165">
        <f t="shared" si="8"/>
        <v>6.418410041841004</v>
      </c>
      <c r="M100" s="166">
        <v>258757</v>
      </c>
      <c r="N100" s="167">
        <v>27577</v>
      </c>
      <c r="O100" s="89">
        <f>+M100/N100</f>
        <v>9.383072850563876</v>
      </c>
      <c r="P100" s="313">
        <v>1</v>
      </c>
    </row>
    <row r="101" spans="1:16" ht="15">
      <c r="A101" s="99">
        <v>98</v>
      </c>
      <c r="B101" s="59" t="s">
        <v>177</v>
      </c>
      <c r="C101" s="42">
        <v>39423</v>
      </c>
      <c r="D101" s="48" t="s">
        <v>102</v>
      </c>
      <c r="E101" s="48" t="s">
        <v>102</v>
      </c>
      <c r="F101" s="60">
        <v>1</v>
      </c>
      <c r="G101" s="60">
        <v>1</v>
      </c>
      <c r="H101" s="60">
        <v>7</v>
      </c>
      <c r="I101" s="265">
        <v>1495</v>
      </c>
      <c r="J101" s="266">
        <v>168</v>
      </c>
      <c r="K101" s="262">
        <f>+J101/G101</f>
        <v>168</v>
      </c>
      <c r="L101" s="263">
        <f>+I101/J101</f>
        <v>8.898809523809524</v>
      </c>
      <c r="M101" s="267">
        <v>26797</v>
      </c>
      <c r="N101" s="268">
        <v>2415</v>
      </c>
      <c r="O101" s="286">
        <f>+M101/N101</f>
        <v>11.096066252587992</v>
      </c>
      <c r="P101" s="313">
        <v>1</v>
      </c>
    </row>
    <row r="102" spans="1:16" ht="15">
      <c r="A102" s="99">
        <v>99</v>
      </c>
      <c r="B102" s="58" t="s">
        <v>59</v>
      </c>
      <c r="C102" s="43">
        <v>39325</v>
      </c>
      <c r="D102" s="47" t="s">
        <v>85</v>
      </c>
      <c r="E102" s="47" t="s">
        <v>85</v>
      </c>
      <c r="F102" s="44">
        <v>41</v>
      </c>
      <c r="G102" s="44">
        <v>1</v>
      </c>
      <c r="H102" s="44">
        <v>14</v>
      </c>
      <c r="I102" s="94">
        <v>1464</v>
      </c>
      <c r="J102" s="107">
        <v>222</v>
      </c>
      <c r="K102" s="157">
        <f>IF(I102&lt;&gt;0,J102/G102,"")</f>
        <v>222</v>
      </c>
      <c r="L102" s="158">
        <f>IF(I102&lt;&gt;0,I102/J102,"")</f>
        <v>6.594594594594595</v>
      </c>
      <c r="M102" s="156">
        <f>134878+121098+57423.5+36002.5+21899.5+24766+21116+4712+2484+2133+1303+125+2376+1464</f>
        <v>431780.5</v>
      </c>
      <c r="N102" s="154">
        <f>16294+14776+7255+5972+3786+4702+3853+904+447+385+312+25+594+222</f>
        <v>59527</v>
      </c>
      <c r="O102" s="179">
        <f>IF(M102&lt;&gt;0,M102/N102,"")</f>
        <v>7.253523611134443</v>
      </c>
      <c r="P102" s="313">
        <v>1</v>
      </c>
    </row>
    <row r="103" spans="1:16" ht="15">
      <c r="A103" s="99">
        <v>100</v>
      </c>
      <c r="B103" s="59" t="s">
        <v>0</v>
      </c>
      <c r="C103" s="43">
        <v>39437</v>
      </c>
      <c r="D103" s="48" t="s">
        <v>141</v>
      </c>
      <c r="E103" s="48" t="s">
        <v>57</v>
      </c>
      <c r="F103" s="96">
        <v>1</v>
      </c>
      <c r="G103" s="97">
        <v>1</v>
      </c>
      <c r="H103" s="96">
        <v>3</v>
      </c>
      <c r="I103" s="93">
        <v>1464</v>
      </c>
      <c r="J103" s="105">
        <v>173</v>
      </c>
      <c r="K103" s="164">
        <f>J103/G103</f>
        <v>173</v>
      </c>
      <c r="L103" s="165">
        <f>I103/J103</f>
        <v>8.46242774566474</v>
      </c>
      <c r="M103" s="166">
        <v>22500.2</v>
      </c>
      <c r="N103" s="167">
        <v>3129</v>
      </c>
      <c r="O103" s="89">
        <f>+M103/N103</f>
        <v>7.190859699584532</v>
      </c>
      <c r="P103" s="313">
        <v>1</v>
      </c>
    </row>
    <row r="104" spans="1:16" ht="15">
      <c r="A104" s="99">
        <v>101</v>
      </c>
      <c r="B104" s="58" t="s">
        <v>14</v>
      </c>
      <c r="C104" s="43">
        <v>39437</v>
      </c>
      <c r="D104" s="48" t="s">
        <v>141</v>
      </c>
      <c r="E104" s="48" t="s">
        <v>122</v>
      </c>
      <c r="F104" s="96">
        <v>7</v>
      </c>
      <c r="G104" s="97">
        <v>2</v>
      </c>
      <c r="H104" s="96">
        <v>3</v>
      </c>
      <c r="I104" s="93">
        <v>1415</v>
      </c>
      <c r="J104" s="105">
        <v>283</v>
      </c>
      <c r="K104" s="164">
        <f>J104/G104</f>
        <v>141.5</v>
      </c>
      <c r="L104" s="165">
        <f>I104/J104</f>
        <v>5</v>
      </c>
      <c r="M104" s="166">
        <v>38426</v>
      </c>
      <c r="N104" s="167">
        <v>4907</v>
      </c>
      <c r="O104" s="89">
        <f>+M104/N104</f>
        <v>7.830853882209089</v>
      </c>
      <c r="P104" s="313"/>
    </row>
    <row r="105" spans="1:16" ht="15">
      <c r="A105" s="99">
        <v>102</v>
      </c>
      <c r="B105" s="57" t="s">
        <v>145</v>
      </c>
      <c r="C105" s="42">
        <v>39164</v>
      </c>
      <c r="D105" s="45" t="s">
        <v>63</v>
      </c>
      <c r="E105" s="45" t="s">
        <v>77</v>
      </c>
      <c r="F105" s="65">
        <v>119</v>
      </c>
      <c r="G105" s="65">
        <v>2</v>
      </c>
      <c r="H105" s="65">
        <v>27</v>
      </c>
      <c r="I105" s="106">
        <v>1363</v>
      </c>
      <c r="J105" s="134">
        <v>284</v>
      </c>
      <c r="K105" s="157">
        <f>IF(I105&lt;&gt;0,J105/G105,"")</f>
        <v>142</v>
      </c>
      <c r="L105" s="158">
        <f>IF(I105&lt;&gt;0,I105/J105,"")</f>
        <v>4.799295774647887</v>
      </c>
      <c r="M105" s="159">
        <f>1463503.5+1774+208+20289+1136+123+3728+1281+565+311+129+80+136+123+1928+7469+133+1363</f>
        <v>1504279.5</v>
      </c>
      <c r="N105" s="154">
        <f>193429+337+32+3321+216+18+619+252+110+56+19+12+21+18+377+1489+25+284</f>
        <v>200635</v>
      </c>
      <c r="O105" s="179">
        <f>IF(M105&lt;&gt;0,M105/N105,"")</f>
        <v>7.497592643357341</v>
      </c>
      <c r="P105" s="313"/>
    </row>
    <row r="106" spans="1:16" ht="15">
      <c r="A106" s="99">
        <v>103</v>
      </c>
      <c r="B106" s="59" t="s">
        <v>90</v>
      </c>
      <c r="C106" s="42">
        <v>39416</v>
      </c>
      <c r="D106" s="48" t="s">
        <v>80</v>
      </c>
      <c r="E106" s="48" t="s">
        <v>55</v>
      </c>
      <c r="F106" s="66" t="s">
        <v>91</v>
      </c>
      <c r="G106" s="66" t="s">
        <v>147</v>
      </c>
      <c r="H106" s="66" t="s">
        <v>53</v>
      </c>
      <c r="I106" s="265">
        <v>1304.99</v>
      </c>
      <c r="J106" s="266">
        <v>185</v>
      </c>
      <c r="K106" s="274">
        <f>J106/G106</f>
        <v>92.5</v>
      </c>
      <c r="L106" s="275">
        <f>I106/J106</f>
        <v>7.054</v>
      </c>
      <c r="M106" s="267">
        <v>260173.99</v>
      </c>
      <c r="N106" s="268">
        <v>27784</v>
      </c>
      <c r="O106" s="288">
        <v>9.38</v>
      </c>
      <c r="P106" s="313"/>
    </row>
    <row r="107" spans="1:16" ht="15">
      <c r="A107" s="99">
        <v>104</v>
      </c>
      <c r="B107" s="58" t="s">
        <v>88</v>
      </c>
      <c r="C107" s="43">
        <v>39318</v>
      </c>
      <c r="D107" s="95" t="s">
        <v>68</v>
      </c>
      <c r="E107" s="95" t="s">
        <v>71</v>
      </c>
      <c r="F107" s="44">
        <v>116</v>
      </c>
      <c r="G107" s="44">
        <v>1</v>
      </c>
      <c r="H107" s="44">
        <v>22</v>
      </c>
      <c r="I107" s="255">
        <v>1297</v>
      </c>
      <c r="J107" s="256">
        <v>206</v>
      </c>
      <c r="K107" s="257">
        <f>J107/G107</f>
        <v>206</v>
      </c>
      <c r="L107" s="258">
        <f>+I107/J107</f>
        <v>6.296116504854369</v>
      </c>
      <c r="M107" s="259">
        <v>2645057</v>
      </c>
      <c r="N107" s="257">
        <v>331752</v>
      </c>
      <c r="O107" s="285">
        <f>+M107/N107</f>
        <v>7.972994887747474</v>
      </c>
      <c r="P107" s="313"/>
    </row>
    <row r="108" spans="1:16" ht="15">
      <c r="A108" s="99">
        <v>105</v>
      </c>
      <c r="B108" s="58" t="s">
        <v>13</v>
      </c>
      <c r="C108" s="43">
        <v>39395</v>
      </c>
      <c r="D108" s="47" t="s">
        <v>69</v>
      </c>
      <c r="E108" s="47" t="s">
        <v>70</v>
      </c>
      <c r="F108" s="44">
        <v>35</v>
      </c>
      <c r="G108" s="44">
        <v>1</v>
      </c>
      <c r="H108" s="44">
        <v>9</v>
      </c>
      <c r="I108" s="94">
        <v>1269</v>
      </c>
      <c r="J108" s="107">
        <v>249</v>
      </c>
      <c r="K108" s="157">
        <f>IF(I108&lt;&gt;0,J108/G108,"")</f>
        <v>249</v>
      </c>
      <c r="L108" s="158">
        <f>IF(I108&lt;&gt;0,I108/J108,"")</f>
        <v>5.096385542168675</v>
      </c>
      <c r="M108" s="156">
        <f>310876.5+189449.5+81911+30301+17300.5+2478+1808+1661.5+1269</f>
        <v>637055</v>
      </c>
      <c r="N108" s="154">
        <f>27485+16830+7465+3781+3026+485+290+393+249</f>
        <v>60004</v>
      </c>
      <c r="O108" s="179">
        <f>IF(M108&lt;&gt;0,M108/N108,"")</f>
        <v>10.616875541630558</v>
      </c>
      <c r="P108" s="313"/>
    </row>
    <row r="109" spans="1:16" ht="15">
      <c r="A109" s="99">
        <v>106</v>
      </c>
      <c r="B109" s="57" t="s">
        <v>195</v>
      </c>
      <c r="C109" s="42">
        <v>39374</v>
      </c>
      <c r="D109" s="45" t="s">
        <v>63</v>
      </c>
      <c r="E109" s="45" t="s">
        <v>77</v>
      </c>
      <c r="F109" s="65">
        <v>86</v>
      </c>
      <c r="G109" s="65">
        <v>2</v>
      </c>
      <c r="H109" s="65">
        <v>10</v>
      </c>
      <c r="I109" s="260">
        <v>1210</v>
      </c>
      <c r="J109" s="261">
        <v>272</v>
      </c>
      <c r="K109" s="262">
        <f>IF(I109&lt;&gt;0,J109/G109,"")</f>
        <v>136</v>
      </c>
      <c r="L109" s="263">
        <f>IF(I109&lt;&gt;0,I109/J109,"")</f>
        <v>4.448529411764706</v>
      </c>
      <c r="M109" s="264">
        <v>333964</v>
      </c>
      <c r="N109" s="257">
        <v>46724</v>
      </c>
      <c r="O109" s="286">
        <f>IF(M109&lt;&gt;0,M109/N109,"")</f>
        <v>7.147590103587022</v>
      </c>
      <c r="P109" s="313"/>
    </row>
    <row r="110" spans="1:16" ht="15">
      <c r="A110" s="99">
        <v>107</v>
      </c>
      <c r="B110" s="59" t="s">
        <v>196</v>
      </c>
      <c r="C110" s="42">
        <v>39395</v>
      </c>
      <c r="D110" s="48" t="s">
        <v>148</v>
      </c>
      <c r="E110" s="48" t="s">
        <v>197</v>
      </c>
      <c r="F110" s="66" t="s">
        <v>198</v>
      </c>
      <c r="G110" s="66" t="s">
        <v>140</v>
      </c>
      <c r="H110" s="66" t="s">
        <v>53</v>
      </c>
      <c r="I110" s="265">
        <v>1188</v>
      </c>
      <c r="J110" s="266">
        <v>396</v>
      </c>
      <c r="K110" s="274">
        <f aca="true" t="shared" si="9" ref="K110:K134">J110/G110</f>
        <v>396</v>
      </c>
      <c r="L110" s="275">
        <f aca="true" t="shared" si="10" ref="L110:L121">I110/J110</f>
        <v>3</v>
      </c>
      <c r="M110" s="267">
        <v>271632</v>
      </c>
      <c r="N110" s="268">
        <v>34018</v>
      </c>
      <c r="O110" s="288">
        <f>+M110/N110</f>
        <v>7.984949144570521</v>
      </c>
      <c r="P110" s="313">
        <v>1</v>
      </c>
    </row>
    <row r="111" spans="1:16" ht="15">
      <c r="A111" s="99">
        <v>108</v>
      </c>
      <c r="B111" s="59" t="s">
        <v>127</v>
      </c>
      <c r="C111" s="42">
        <v>39395</v>
      </c>
      <c r="D111" s="48" t="s">
        <v>80</v>
      </c>
      <c r="E111" s="48" t="s">
        <v>178</v>
      </c>
      <c r="F111" s="66" t="s">
        <v>54</v>
      </c>
      <c r="G111" s="66" t="s">
        <v>140</v>
      </c>
      <c r="H111" s="66" t="s">
        <v>179</v>
      </c>
      <c r="I111" s="265">
        <v>1187.99</v>
      </c>
      <c r="J111" s="266">
        <v>238</v>
      </c>
      <c r="K111" s="274">
        <f t="shared" si="9"/>
        <v>238</v>
      </c>
      <c r="L111" s="275">
        <f t="shared" si="10"/>
        <v>4.991554621848739</v>
      </c>
      <c r="M111" s="267">
        <v>140618.16</v>
      </c>
      <c r="N111" s="268">
        <v>22867</v>
      </c>
      <c r="O111" s="288">
        <f>+M111/N111</f>
        <v>6.149392574452268</v>
      </c>
      <c r="P111" s="313"/>
    </row>
    <row r="112" spans="1:16" ht="15">
      <c r="A112" s="99">
        <v>109</v>
      </c>
      <c r="B112" s="58" t="s">
        <v>100</v>
      </c>
      <c r="C112" s="43">
        <v>39423</v>
      </c>
      <c r="D112" s="47" t="s">
        <v>69</v>
      </c>
      <c r="E112" s="47" t="s">
        <v>70</v>
      </c>
      <c r="F112" s="44">
        <v>40</v>
      </c>
      <c r="G112" s="44">
        <v>2</v>
      </c>
      <c r="H112" s="44">
        <v>8</v>
      </c>
      <c r="I112" s="255">
        <v>1105</v>
      </c>
      <c r="J112" s="256">
        <v>221</v>
      </c>
      <c r="K112" s="274">
        <f t="shared" si="9"/>
        <v>110.5</v>
      </c>
      <c r="L112" s="275">
        <f t="shared" si="10"/>
        <v>5</v>
      </c>
      <c r="M112" s="259">
        <f>337397.5+246059+95618.5+43492.5+31631.5+2705+4609+1105</f>
        <v>762618</v>
      </c>
      <c r="N112" s="257">
        <f>35596+24953+11024+7059+5745+543+908+221</f>
        <v>86049</v>
      </c>
      <c r="O112" s="287">
        <f>M112/N112</f>
        <v>8.862601540982464</v>
      </c>
      <c r="P112" s="313"/>
    </row>
    <row r="113" spans="1:16" ht="15">
      <c r="A113" s="99">
        <v>110</v>
      </c>
      <c r="B113" s="59" t="s">
        <v>180</v>
      </c>
      <c r="C113" s="43">
        <v>39381</v>
      </c>
      <c r="D113" s="48" t="s">
        <v>141</v>
      </c>
      <c r="E113" s="48" t="s">
        <v>57</v>
      </c>
      <c r="F113" s="96">
        <v>2</v>
      </c>
      <c r="G113" s="97">
        <v>1</v>
      </c>
      <c r="H113" s="96">
        <v>10</v>
      </c>
      <c r="I113" s="265">
        <v>1080</v>
      </c>
      <c r="J113" s="266">
        <v>216</v>
      </c>
      <c r="K113" s="274">
        <f t="shared" si="9"/>
        <v>216</v>
      </c>
      <c r="L113" s="275">
        <f t="shared" si="10"/>
        <v>5</v>
      </c>
      <c r="M113" s="267">
        <v>36278.5</v>
      </c>
      <c r="N113" s="268">
        <v>5687</v>
      </c>
      <c r="O113" s="288">
        <f>+M113/N113</f>
        <v>6.379198171267804</v>
      </c>
      <c r="P113" s="313"/>
    </row>
    <row r="114" spans="1:16" ht="15">
      <c r="A114" s="99">
        <v>111</v>
      </c>
      <c r="B114" s="59" t="s">
        <v>127</v>
      </c>
      <c r="C114" s="42">
        <v>39395</v>
      </c>
      <c r="D114" s="48" t="s">
        <v>80</v>
      </c>
      <c r="E114" s="48" t="s">
        <v>8</v>
      </c>
      <c r="F114" s="66" t="s">
        <v>54</v>
      </c>
      <c r="G114" s="66" t="s">
        <v>140</v>
      </c>
      <c r="H114" s="66" t="s">
        <v>146</v>
      </c>
      <c r="I114" s="265">
        <v>1069.19</v>
      </c>
      <c r="J114" s="266">
        <v>217</v>
      </c>
      <c r="K114" s="274">
        <f t="shared" si="9"/>
        <v>217</v>
      </c>
      <c r="L114" s="275">
        <f t="shared" si="10"/>
        <v>4.927142857142857</v>
      </c>
      <c r="M114" s="267">
        <v>139430.17</v>
      </c>
      <c r="N114" s="268">
        <v>22629</v>
      </c>
      <c r="O114" s="288">
        <f>+M114/N114</f>
        <v>6.161570109151974</v>
      </c>
      <c r="P114" s="313"/>
    </row>
    <row r="115" spans="1:16" ht="15">
      <c r="A115" s="99">
        <v>112</v>
      </c>
      <c r="B115" s="59" t="s">
        <v>0</v>
      </c>
      <c r="C115" s="43">
        <v>39409</v>
      </c>
      <c r="D115" s="48" t="s">
        <v>141</v>
      </c>
      <c r="E115" s="48" t="s">
        <v>57</v>
      </c>
      <c r="F115" s="96">
        <v>1</v>
      </c>
      <c r="G115" s="97">
        <v>1</v>
      </c>
      <c r="H115" s="96">
        <v>4</v>
      </c>
      <c r="I115" s="265">
        <v>1069</v>
      </c>
      <c r="J115" s="266">
        <v>267</v>
      </c>
      <c r="K115" s="274">
        <f t="shared" si="9"/>
        <v>267</v>
      </c>
      <c r="L115" s="275">
        <f t="shared" si="10"/>
        <v>4.00374531835206</v>
      </c>
      <c r="M115" s="267">
        <v>23569.2</v>
      </c>
      <c r="N115" s="268">
        <v>3396</v>
      </c>
      <c r="O115" s="288">
        <f>+M115/N115</f>
        <v>6.940282685512368</v>
      </c>
      <c r="P115" s="313"/>
    </row>
    <row r="116" spans="1:16" ht="15">
      <c r="A116" s="99">
        <v>113</v>
      </c>
      <c r="B116" s="57" t="s">
        <v>125</v>
      </c>
      <c r="C116" s="42">
        <v>39395</v>
      </c>
      <c r="D116" s="46" t="s">
        <v>67</v>
      </c>
      <c r="E116" s="45" t="s">
        <v>72</v>
      </c>
      <c r="F116" s="65">
        <v>56</v>
      </c>
      <c r="G116" s="65">
        <v>1</v>
      </c>
      <c r="H116" s="65">
        <v>8</v>
      </c>
      <c r="I116" s="265">
        <v>1039</v>
      </c>
      <c r="J116" s="266">
        <v>158</v>
      </c>
      <c r="K116" s="274">
        <f t="shared" si="9"/>
        <v>158</v>
      </c>
      <c r="L116" s="275">
        <f t="shared" si="10"/>
        <v>6.575949367088608</v>
      </c>
      <c r="M116" s="267">
        <f>1295+255300+147780+51761+8278+8834+918+1598+1039</f>
        <v>476803</v>
      </c>
      <c r="N116" s="268">
        <f>119+28097+15891+6021+1461+2448+162+667+158</f>
        <v>55024</v>
      </c>
      <c r="O116" s="288">
        <f>+M116/N116</f>
        <v>8.665364204710672</v>
      </c>
      <c r="P116" s="313"/>
    </row>
    <row r="117" spans="1:16" ht="15">
      <c r="A117" s="99">
        <v>114</v>
      </c>
      <c r="B117" s="58" t="s">
        <v>24</v>
      </c>
      <c r="C117" s="43">
        <v>39444</v>
      </c>
      <c r="D117" s="47" t="s">
        <v>69</v>
      </c>
      <c r="E117" s="47" t="s">
        <v>7</v>
      </c>
      <c r="F117" s="65">
        <v>10</v>
      </c>
      <c r="G117" s="44">
        <v>3</v>
      </c>
      <c r="H117" s="44">
        <v>3</v>
      </c>
      <c r="I117" s="255">
        <v>1013.5</v>
      </c>
      <c r="J117" s="256">
        <v>157</v>
      </c>
      <c r="K117" s="274">
        <f t="shared" si="9"/>
        <v>52.333333333333336</v>
      </c>
      <c r="L117" s="275">
        <f t="shared" si="10"/>
        <v>6.455414012738854</v>
      </c>
      <c r="M117" s="259">
        <f>8804+1895+1013.5</f>
        <v>11712.5</v>
      </c>
      <c r="N117" s="257">
        <f>970+200+157</f>
        <v>1327</v>
      </c>
      <c r="O117" s="287">
        <f>M117/N117</f>
        <v>8.82629992464205</v>
      </c>
      <c r="P117" s="313">
        <v>1</v>
      </c>
    </row>
    <row r="118" spans="1:16" ht="15">
      <c r="A118" s="99">
        <v>115</v>
      </c>
      <c r="B118" s="59" t="s">
        <v>181</v>
      </c>
      <c r="C118" s="43">
        <v>39381</v>
      </c>
      <c r="D118" s="48" t="s">
        <v>141</v>
      </c>
      <c r="E118" s="48" t="s">
        <v>182</v>
      </c>
      <c r="F118" s="96">
        <v>1</v>
      </c>
      <c r="G118" s="97">
        <v>1</v>
      </c>
      <c r="H118" s="96">
        <v>7</v>
      </c>
      <c r="I118" s="265">
        <v>952</v>
      </c>
      <c r="J118" s="266">
        <v>238</v>
      </c>
      <c r="K118" s="274">
        <f t="shared" si="9"/>
        <v>238</v>
      </c>
      <c r="L118" s="275">
        <f t="shared" si="10"/>
        <v>4</v>
      </c>
      <c r="M118" s="267">
        <v>13388</v>
      </c>
      <c r="N118" s="268">
        <v>2171</v>
      </c>
      <c r="O118" s="288">
        <f aca="true" t="shared" si="11" ref="O118:O134">+M118/N118</f>
        <v>6.166743436204514</v>
      </c>
      <c r="P118" s="313"/>
    </row>
    <row r="119" spans="1:16" ht="15">
      <c r="A119" s="99">
        <v>116</v>
      </c>
      <c r="B119" s="59" t="s">
        <v>87</v>
      </c>
      <c r="C119" s="43">
        <v>39311</v>
      </c>
      <c r="D119" s="48" t="s">
        <v>141</v>
      </c>
      <c r="E119" s="48" t="s">
        <v>76</v>
      </c>
      <c r="F119" s="96">
        <v>10</v>
      </c>
      <c r="G119" s="97">
        <v>1</v>
      </c>
      <c r="H119" s="96">
        <v>17</v>
      </c>
      <c r="I119" s="93">
        <v>952</v>
      </c>
      <c r="J119" s="105">
        <v>238</v>
      </c>
      <c r="K119" s="164">
        <f t="shared" si="9"/>
        <v>238</v>
      </c>
      <c r="L119" s="165">
        <f t="shared" si="10"/>
        <v>4</v>
      </c>
      <c r="M119" s="166">
        <v>54548</v>
      </c>
      <c r="N119" s="167">
        <v>6721</v>
      </c>
      <c r="O119" s="89">
        <f t="shared" si="11"/>
        <v>8.11605415860735</v>
      </c>
      <c r="P119" s="313">
        <v>1</v>
      </c>
    </row>
    <row r="120" spans="1:16" ht="15">
      <c r="A120" s="99">
        <v>117</v>
      </c>
      <c r="B120" s="59" t="s">
        <v>127</v>
      </c>
      <c r="C120" s="42">
        <v>39395</v>
      </c>
      <c r="D120" s="48" t="s">
        <v>80</v>
      </c>
      <c r="E120" s="48" t="s">
        <v>178</v>
      </c>
      <c r="F120" s="66" t="s">
        <v>54</v>
      </c>
      <c r="G120" s="66" t="s">
        <v>140</v>
      </c>
      <c r="H120" s="66" t="s">
        <v>199</v>
      </c>
      <c r="I120" s="265">
        <v>950.39</v>
      </c>
      <c r="J120" s="266">
        <v>189</v>
      </c>
      <c r="K120" s="274">
        <f t="shared" si="9"/>
        <v>189</v>
      </c>
      <c r="L120" s="275">
        <f t="shared" si="10"/>
        <v>5.028518518518519</v>
      </c>
      <c r="M120" s="267">
        <v>141568.55</v>
      </c>
      <c r="N120" s="268">
        <v>23056</v>
      </c>
      <c r="O120" s="288">
        <f t="shared" si="11"/>
        <v>6.140204285218598</v>
      </c>
      <c r="P120" s="313"/>
    </row>
    <row r="121" spans="1:16" ht="15">
      <c r="A121" s="99">
        <v>118</v>
      </c>
      <c r="B121" s="57" t="s">
        <v>39</v>
      </c>
      <c r="C121" s="42">
        <v>39297</v>
      </c>
      <c r="D121" s="46" t="s">
        <v>67</v>
      </c>
      <c r="E121" s="45" t="s">
        <v>72</v>
      </c>
      <c r="F121" s="65">
        <v>51</v>
      </c>
      <c r="G121" s="65">
        <v>1</v>
      </c>
      <c r="H121" s="65">
        <v>22</v>
      </c>
      <c r="I121" s="265">
        <v>950</v>
      </c>
      <c r="J121" s="266">
        <v>317</v>
      </c>
      <c r="K121" s="274">
        <f t="shared" si="9"/>
        <v>317</v>
      </c>
      <c r="L121" s="275">
        <f t="shared" si="10"/>
        <v>2.996845425867508</v>
      </c>
      <c r="M121" s="267">
        <f>281080+182131+123214+30406+27098+21662+14107+7795+5519+3816+6498+1771+4249+2936+5464+1364+837+581+150+1798+831+950</f>
        <v>724257</v>
      </c>
      <c r="N121" s="268">
        <f>31883+21094+14754+4546+4836+4070+2318+1360+917+566+1261+309+845+581+1094+264+153+117+22+892+277+317</f>
        <v>92476</v>
      </c>
      <c r="O121" s="288">
        <f t="shared" si="11"/>
        <v>7.831837449716684</v>
      </c>
      <c r="P121" s="313">
        <v>1</v>
      </c>
    </row>
    <row r="122" spans="1:16" ht="15">
      <c r="A122" s="99">
        <v>119</v>
      </c>
      <c r="B122" s="58" t="s">
        <v>114</v>
      </c>
      <c r="C122" s="43">
        <v>39388</v>
      </c>
      <c r="D122" s="95" t="s">
        <v>68</v>
      </c>
      <c r="E122" s="95" t="s">
        <v>73</v>
      </c>
      <c r="F122" s="44">
        <v>60</v>
      </c>
      <c r="G122" s="44">
        <v>1</v>
      </c>
      <c r="H122" s="44">
        <v>10</v>
      </c>
      <c r="I122" s="94">
        <v>945</v>
      </c>
      <c r="J122" s="107">
        <v>350</v>
      </c>
      <c r="K122" s="154">
        <f t="shared" si="9"/>
        <v>350</v>
      </c>
      <c r="L122" s="155">
        <f>+I122/J122</f>
        <v>2.7</v>
      </c>
      <c r="M122" s="156">
        <v>604935</v>
      </c>
      <c r="N122" s="154">
        <v>66207</v>
      </c>
      <c r="O122" s="178">
        <f t="shared" si="11"/>
        <v>9.137024785898772</v>
      </c>
      <c r="P122" s="313">
        <v>1</v>
      </c>
    </row>
    <row r="123" spans="1:16" ht="15">
      <c r="A123" s="99">
        <v>120</v>
      </c>
      <c r="B123" s="57" t="s">
        <v>125</v>
      </c>
      <c r="C123" s="42">
        <v>39395</v>
      </c>
      <c r="D123" s="46" t="s">
        <v>67</v>
      </c>
      <c r="E123" s="45" t="s">
        <v>72</v>
      </c>
      <c r="F123" s="65">
        <v>56</v>
      </c>
      <c r="G123" s="65">
        <v>2</v>
      </c>
      <c r="H123" s="65">
        <v>6</v>
      </c>
      <c r="I123" s="93">
        <v>918</v>
      </c>
      <c r="J123" s="105">
        <v>162</v>
      </c>
      <c r="K123" s="164">
        <f t="shared" si="9"/>
        <v>81</v>
      </c>
      <c r="L123" s="165">
        <f>I123/J123</f>
        <v>5.666666666666667</v>
      </c>
      <c r="M123" s="166">
        <f>1295+255300+147780+51761+8278+8834+918</f>
        <v>474166</v>
      </c>
      <c r="N123" s="167">
        <f>119+28097+15891+6021+1461+2448+162</f>
        <v>54199</v>
      </c>
      <c r="O123" s="89">
        <f t="shared" si="11"/>
        <v>8.748611597999963</v>
      </c>
      <c r="P123" s="313"/>
    </row>
    <row r="124" spans="1:16" ht="15">
      <c r="A124" s="99">
        <v>121</v>
      </c>
      <c r="B124" s="57" t="s">
        <v>97</v>
      </c>
      <c r="C124" s="42">
        <v>39409</v>
      </c>
      <c r="D124" s="46" t="s">
        <v>67</v>
      </c>
      <c r="E124" s="45" t="s">
        <v>78</v>
      </c>
      <c r="F124" s="65">
        <v>69</v>
      </c>
      <c r="G124" s="65">
        <v>1</v>
      </c>
      <c r="H124" s="65">
        <v>9</v>
      </c>
      <c r="I124" s="265">
        <v>916</v>
      </c>
      <c r="J124" s="266">
        <v>479</v>
      </c>
      <c r="K124" s="274">
        <f t="shared" si="9"/>
        <v>479</v>
      </c>
      <c r="L124" s="275">
        <f>I124/J124</f>
        <v>1.9123173277661796</v>
      </c>
      <c r="M124" s="267">
        <f>387069+277494+166747+4993+4045+7291+3613+313+916</f>
        <v>852481</v>
      </c>
      <c r="N124" s="268">
        <f>37017+27892+17708+698+855+1523+696+56+479</f>
        <v>86924</v>
      </c>
      <c r="O124" s="288">
        <f t="shared" si="11"/>
        <v>9.807199392572823</v>
      </c>
      <c r="P124" s="313"/>
    </row>
    <row r="125" spans="1:16" ht="15">
      <c r="A125" s="99">
        <v>122</v>
      </c>
      <c r="B125" s="58" t="s">
        <v>25</v>
      </c>
      <c r="C125" s="43">
        <v>39416</v>
      </c>
      <c r="D125" s="95" t="s">
        <v>68</v>
      </c>
      <c r="E125" s="95" t="s">
        <v>81</v>
      </c>
      <c r="F125" s="44">
        <v>11</v>
      </c>
      <c r="G125" s="44">
        <v>3</v>
      </c>
      <c r="H125" s="44">
        <v>6</v>
      </c>
      <c r="I125" s="94">
        <v>893</v>
      </c>
      <c r="J125" s="107">
        <v>150</v>
      </c>
      <c r="K125" s="154">
        <f t="shared" si="9"/>
        <v>50</v>
      </c>
      <c r="L125" s="155">
        <f>+I125/J125</f>
        <v>5.953333333333333</v>
      </c>
      <c r="M125" s="156">
        <v>32259</v>
      </c>
      <c r="N125" s="154">
        <v>3764</v>
      </c>
      <c r="O125" s="178">
        <f t="shared" si="11"/>
        <v>8.570403825717323</v>
      </c>
      <c r="P125" s="313"/>
    </row>
    <row r="126" spans="1:16" ht="15">
      <c r="A126" s="99">
        <v>123</v>
      </c>
      <c r="B126" s="58" t="s">
        <v>131</v>
      </c>
      <c r="C126" s="43">
        <v>39402</v>
      </c>
      <c r="D126" s="95" t="s">
        <v>68</v>
      </c>
      <c r="E126" s="95" t="s">
        <v>105</v>
      </c>
      <c r="F126" s="44">
        <v>130</v>
      </c>
      <c r="G126" s="44">
        <v>21</v>
      </c>
      <c r="H126" s="44">
        <v>9</v>
      </c>
      <c r="I126" s="255">
        <v>873</v>
      </c>
      <c r="J126" s="256">
        <v>153</v>
      </c>
      <c r="K126" s="257">
        <f t="shared" si="9"/>
        <v>7.285714285714286</v>
      </c>
      <c r="L126" s="258">
        <f>+I126/J126</f>
        <v>5.705882352941177</v>
      </c>
      <c r="M126" s="259">
        <v>2077602</v>
      </c>
      <c r="N126" s="257">
        <v>260683</v>
      </c>
      <c r="O126" s="285">
        <f t="shared" si="11"/>
        <v>7.969840764453378</v>
      </c>
      <c r="P126" s="313"/>
    </row>
    <row r="127" spans="1:16" ht="15">
      <c r="A127" s="99">
        <v>124</v>
      </c>
      <c r="B127" s="57" t="s">
        <v>19</v>
      </c>
      <c r="C127" s="42">
        <v>39437</v>
      </c>
      <c r="D127" s="46" t="s">
        <v>67</v>
      </c>
      <c r="E127" s="45" t="s">
        <v>56</v>
      </c>
      <c r="F127" s="65">
        <v>49</v>
      </c>
      <c r="G127" s="65">
        <v>4</v>
      </c>
      <c r="H127" s="65">
        <v>6</v>
      </c>
      <c r="I127" s="265">
        <v>871</v>
      </c>
      <c r="J127" s="266">
        <v>163</v>
      </c>
      <c r="K127" s="274">
        <f t="shared" si="9"/>
        <v>40.75</v>
      </c>
      <c r="L127" s="275">
        <f>I127/J127</f>
        <v>5.343558282208589</v>
      </c>
      <c r="M127" s="267">
        <f>265356+150950+36636+752+2313+871</f>
        <v>456878</v>
      </c>
      <c r="N127" s="268">
        <f>28419+15898+4109+157+424+163</f>
        <v>49170</v>
      </c>
      <c r="O127" s="288">
        <f t="shared" si="11"/>
        <v>9.291803945495221</v>
      </c>
      <c r="P127" s="313"/>
    </row>
    <row r="128" spans="1:16" ht="15">
      <c r="A128" s="99">
        <v>125</v>
      </c>
      <c r="B128" s="59" t="s">
        <v>200</v>
      </c>
      <c r="C128" s="43">
        <v>39416</v>
      </c>
      <c r="D128" s="48" t="s">
        <v>141</v>
      </c>
      <c r="E128" s="48" t="s">
        <v>51</v>
      </c>
      <c r="F128" s="96">
        <v>4</v>
      </c>
      <c r="G128" s="97">
        <v>1</v>
      </c>
      <c r="H128" s="96">
        <v>8</v>
      </c>
      <c r="I128" s="265">
        <v>860</v>
      </c>
      <c r="J128" s="266">
        <v>172</v>
      </c>
      <c r="K128" s="274">
        <f t="shared" si="9"/>
        <v>172</v>
      </c>
      <c r="L128" s="275">
        <f>I128/J128</f>
        <v>5</v>
      </c>
      <c r="M128" s="267">
        <v>44160</v>
      </c>
      <c r="N128" s="268">
        <v>4797</v>
      </c>
      <c r="O128" s="288">
        <f t="shared" si="11"/>
        <v>9.205753595997498</v>
      </c>
      <c r="P128" s="313"/>
    </row>
    <row r="129" spans="1:16" ht="15">
      <c r="A129" s="99">
        <v>126</v>
      </c>
      <c r="B129" s="59" t="s">
        <v>4</v>
      </c>
      <c r="C129" s="42">
        <v>39444</v>
      </c>
      <c r="D129" s="48" t="s">
        <v>102</v>
      </c>
      <c r="E129" s="48" t="s">
        <v>102</v>
      </c>
      <c r="F129" s="60">
        <v>14</v>
      </c>
      <c r="G129" s="60">
        <v>2</v>
      </c>
      <c r="H129" s="60">
        <v>5</v>
      </c>
      <c r="I129" s="265">
        <v>840</v>
      </c>
      <c r="J129" s="266">
        <v>141</v>
      </c>
      <c r="K129" s="274">
        <f t="shared" si="9"/>
        <v>70.5</v>
      </c>
      <c r="L129" s="275">
        <f>I129/J129</f>
        <v>5.957446808510638</v>
      </c>
      <c r="M129" s="267">
        <v>231043</v>
      </c>
      <c r="N129" s="268">
        <v>22513</v>
      </c>
      <c r="O129" s="286">
        <f t="shared" si="11"/>
        <v>10.262648247679119</v>
      </c>
      <c r="P129" s="313"/>
    </row>
    <row r="130" spans="1:16" ht="15">
      <c r="A130" s="99">
        <v>127</v>
      </c>
      <c r="B130" s="57" t="s">
        <v>39</v>
      </c>
      <c r="C130" s="42">
        <v>39297</v>
      </c>
      <c r="D130" s="46" t="s">
        <v>67</v>
      </c>
      <c r="E130" s="45" t="s">
        <v>72</v>
      </c>
      <c r="F130" s="65">
        <v>51</v>
      </c>
      <c r="G130" s="65">
        <v>1</v>
      </c>
      <c r="H130" s="65">
        <v>21</v>
      </c>
      <c r="I130" s="265">
        <v>831</v>
      </c>
      <c r="J130" s="266">
        <v>277</v>
      </c>
      <c r="K130" s="274">
        <f t="shared" si="9"/>
        <v>277</v>
      </c>
      <c r="L130" s="275">
        <f>I130/J130</f>
        <v>3</v>
      </c>
      <c r="M130" s="267">
        <f>281080+182131+123214+30406+27098+21662+14107+7795+5519+3816+6498+1771+4249+2936+5464+1364+837+581+150+1798+831</f>
        <v>723307</v>
      </c>
      <c r="N130" s="268">
        <f>31883+21094+14754+4546+4836+4070+2318+1360+917+566+1261+309+845+581+1094+264+153+117+22+892+277</f>
        <v>92159</v>
      </c>
      <c r="O130" s="288">
        <f t="shared" si="11"/>
        <v>7.848468407860328</v>
      </c>
      <c r="P130" s="313"/>
    </row>
    <row r="131" spans="1:16" ht="15">
      <c r="A131" s="99">
        <v>128</v>
      </c>
      <c r="B131" s="57" t="s">
        <v>97</v>
      </c>
      <c r="C131" s="42">
        <v>39409</v>
      </c>
      <c r="D131" s="46" t="s">
        <v>67</v>
      </c>
      <c r="E131" s="45" t="s">
        <v>78</v>
      </c>
      <c r="F131" s="65">
        <v>69</v>
      </c>
      <c r="G131" s="65">
        <v>1</v>
      </c>
      <c r="H131" s="65">
        <v>10</v>
      </c>
      <c r="I131" s="265">
        <v>831</v>
      </c>
      <c r="J131" s="266">
        <v>146</v>
      </c>
      <c r="K131" s="274">
        <f t="shared" si="9"/>
        <v>146</v>
      </c>
      <c r="L131" s="275">
        <f>I131/J131</f>
        <v>5.691780821917808</v>
      </c>
      <c r="M131" s="267">
        <f>387069+277494+166747+4993+4045+7291+3613+313+916+831</f>
        <v>853312</v>
      </c>
      <c r="N131" s="268">
        <f>37017+27892+17708+698+855+1523+696+56+479+146</f>
        <v>87070</v>
      </c>
      <c r="O131" s="288">
        <f t="shared" si="11"/>
        <v>9.800298610313542</v>
      </c>
      <c r="P131" s="313"/>
    </row>
    <row r="132" spans="1:16" ht="15">
      <c r="A132" s="99">
        <v>129</v>
      </c>
      <c r="B132" s="297" t="s">
        <v>40</v>
      </c>
      <c r="C132" s="254">
        <v>39416</v>
      </c>
      <c r="D132" s="298" t="s">
        <v>68</v>
      </c>
      <c r="E132" s="298" t="s">
        <v>81</v>
      </c>
      <c r="F132" s="299">
        <v>11</v>
      </c>
      <c r="G132" s="299">
        <v>3</v>
      </c>
      <c r="H132" s="299">
        <v>7</v>
      </c>
      <c r="I132" s="300">
        <v>823</v>
      </c>
      <c r="J132" s="301">
        <v>302</v>
      </c>
      <c r="K132" s="302">
        <f t="shared" si="9"/>
        <v>100.66666666666667</v>
      </c>
      <c r="L132" s="303">
        <f>+I132/J132</f>
        <v>2.725165562913907</v>
      </c>
      <c r="M132" s="304">
        <v>33082</v>
      </c>
      <c r="N132" s="302">
        <v>4066</v>
      </c>
      <c r="O132" s="305">
        <f t="shared" si="11"/>
        <v>8.136251844564683</v>
      </c>
      <c r="P132" s="312"/>
    </row>
    <row r="133" spans="1:16" ht="15">
      <c r="A133" s="99">
        <v>130</v>
      </c>
      <c r="B133" s="57" t="s">
        <v>41</v>
      </c>
      <c r="C133" s="42">
        <v>39437</v>
      </c>
      <c r="D133" s="46" t="s">
        <v>67</v>
      </c>
      <c r="E133" s="45" t="s">
        <v>56</v>
      </c>
      <c r="F133" s="65">
        <v>49</v>
      </c>
      <c r="G133" s="65">
        <v>3</v>
      </c>
      <c r="H133" s="65">
        <v>4</v>
      </c>
      <c r="I133" s="265">
        <v>752</v>
      </c>
      <c r="J133" s="266">
        <v>157</v>
      </c>
      <c r="K133" s="274">
        <f t="shared" si="9"/>
        <v>52.333333333333336</v>
      </c>
      <c r="L133" s="275">
        <f>I133/J133</f>
        <v>4.789808917197452</v>
      </c>
      <c r="M133" s="267">
        <f>265356+150950+36636+752</f>
        <v>453694</v>
      </c>
      <c r="N133" s="268">
        <f>28419+15898+4109+157</f>
        <v>48583</v>
      </c>
      <c r="O133" s="288">
        <f t="shared" si="11"/>
        <v>9.338534055122162</v>
      </c>
      <c r="P133" s="312"/>
    </row>
    <row r="134" spans="1:16" ht="15">
      <c r="A134" s="99">
        <v>131</v>
      </c>
      <c r="B134" s="59" t="s">
        <v>120</v>
      </c>
      <c r="C134" s="42">
        <v>39437</v>
      </c>
      <c r="D134" s="48" t="s">
        <v>80</v>
      </c>
      <c r="E134" s="48" t="s">
        <v>55</v>
      </c>
      <c r="F134" s="66" t="s">
        <v>121</v>
      </c>
      <c r="G134" s="66" t="s">
        <v>113</v>
      </c>
      <c r="H134" s="66" t="s">
        <v>144</v>
      </c>
      <c r="I134" s="265">
        <v>665</v>
      </c>
      <c r="J134" s="266">
        <v>135</v>
      </c>
      <c r="K134" s="274">
        <f t="shared" si="9"/>
        <v>33.75</v>
      </c>
      <c r="L134" s="275">
        <f>I134/J134</f>
        <v>4.925925925925926</v>
      </c>
      <c r="M134" s="267">
        <v>77917.5</v>
      </c>
      <c r="N134" s="268">
        <v>8195</v>
      </c>
      <c r="O134" s="288">
        <f t="shared" si="11"/>
        <v>9.507931665649787</v>
      </c>
      <c r="P134" s="312"/>
    </row>
    <row r="135" spans="1:16" ht="15">
      <c r="A135" s="99">
        <v>132</v>
      </c>
      <c r="B135" s="79" t="s">
        <v>92</v>
      </c>
      <c r="C135" s="63">
        <v>39416</v>
      </c>
      <c r="D135" s="88" t="s">
        <v>83</v>
      </c>
      <c r="E135" s="88" t="s">
        <v>61</v>
      </c>
      <c r="F135" s="86">
        <v>45</v>
      </c>
      <c r="G135" s="87">
        <v>2</v>
      </c>
      <c r="H135" s="87">
        <v>8</v>
      </c>
      <c r="I135" s="269">
        <v>654</v>
      </c>
      <c r="J135" s="270">
        <v>109</v>
      </c>
      <c r="K135" s="271">
        <v>92.17647058823529</v>
      </c>
      <c r="L135" s="272">
        <v>5.0644543714103385</v>
      </c>
      <c r="M135" s="273">
        <v>172737.5</v>
      </c>
      <c r="N135" s="282">
        <v>25144</v>
      </c>
      <c r="O135" s="287">
        <f>M135/N135</f>
        <v>6.869929207763284</v>
      </c>
      <c r="P135" s="312">
        <v>1</v>
      </c>
    </row>
    <row r="136" spans="1:16" ht="15">
      <c r="A136" s="99">
        <v>133</v>
      </c>
      <c r="B136" s="79" t="s">
        <v>60</v>
      </c>
      <c r="C136" s="63">
        <v>39339</v>
      </c>
      <c r="D136" s="88" t="s">
        <v>83</v>
      </c>
      <c r="E136" s="88" t="s">
        <v>61</v>
      </c>
      <c r="F136" s="86">
        <v>79</v>
      </c>
      <c r="G136" s="87">
        <v>2</v>
      </c>
      <c r="H136" s="87">
        <v>18</v>
      </c>
      <c r="I136" s="269">
        <v>628</v>
      </c>
      <c r="J136" s="270">
        <v>190</v>
      </c>
      <c r="K136" s="271">
        <v>7.333333333333333</v>
      </c>
      <c r="L136" s="272">
        <v>6.363636363636363</v>
      </c>
      <c r="M136" s="273">
        <v>308527</v>
      </c>
      <c r="N136" s="274">
        <v>48739</v>
      </c>
      <c r="O136" s="287">
        <f>M136/N136</f>
        <v>6.330187324319334</v>
      </c>
      <c r="P136" s="312"/>
    </row>
    <row r="137" spans="1:16" ht="15">
      <c r="A137" s="99">
        <v>134</v>
      </c>
      <c r="B137" s="57" t="s">
        <v>161</v>
      </c>
      <c r="C137" s="42">
        <v>39381</v>
      </c>
      <c r="D137" s="46" t="s">
        <v>67</v>
      </c>
      <c r="E137" s="45" t="s">
        <v>78</v>
      </c>
      <c r="F137" s="65">
        <v>144</v>
      </c>
      <c r="G137" s="65">
        <v>1</v>
      </c>
      <c r="H137" s="65">
        <v>11</v>
      </c>
      <c r="I137" s="93">
        <v>616</v>
      </c>
      <c r="J137" s="105">
        <v>90</v>
      </c>
      <c r="K137" s="164">
        <f aca="true" t="shared" si="12" ref="K137:K142">J137/G137</f>
        <v>90</v>
      </c>
      <c r="L137" s="165">
        <f>I137/J137</f>
        <v>6.844444444444444</v>
      </c>
      <c r="M137" s="166">
        <f>2013361+924282+612528+224314+161621+67993+19442+6068+2170+613+616</f>
        <v>4033008</v>
      </c>
      <c r="N137" s="167">
        <f>250162+117111+77738+30679+29851+12478+4485+1923+349+89+90</f>
        <v>524955</v>
      </c>
      <c r="O137" s="89">
        <f aca="true" t="shared" si="13" ref="O137:O142">+M137/N137</f>
        <v>7.682578506729148</v>
      </c>
      <c r="P137" s="312"/>
    </row>
    <row r="138" spans="1:16" ht="15">
      <c r="A138" s="99">
        <v>135</v>
      </c>
      <c r="B138" s="59" t="s">
        <v>127</v>
      </c>
      <c r="C138" s="42">
        <v>39395</v>
      </c>
      <c r="D138" s="48" t="s">
        <v>80</v>
      </c>
      <c r="E138" s="48" t="s">
        <v>8</v>
      </c>
      <c r="F138" s="66" t="s">
        <v>54</v>
      </c>
      <c r="G138" s="66" t="s">
        <v>140</v>
      </c>
      <c r="H138" s="66" t="s">
        <v>1</v>
      </c>
      <c r="I138" s="93">
        <v>611</v>
      </c>
      <c r="J138" s="105">
        <v>178</v>
      </c>
      <c r="K138" s="164">
        <f t="shared" si="12"/>
        <v>178</v>
      </c>
      <c r="L138" s="165">
        <f>I138/J138</f>
        <v>3.432584269662921</v>
      </c>
      <c r="M138" s="166">
        <v>138360.98</v>
      </c>
      <c r="N138" s="167">
        <v>22412</v>
      </c>
      <c r="O138" s="89">
        <f t="shared" si="13"/>
        <v>6.173522220239158</v>
      </c>
      <c r="P138" s="312"/>
    </row>
    <row r="139" spans="1:16" ht="15">
      <c r="A139" s="99">
        <v>136</v>
      </c>
      <c r="B139" s="59" t="s">
        <v>120</v>
      </c>
      <c r="C139" s="42">
        <v>39437</v>
      </c>
      <c r="D139" s="48" t="s">
        <v>80</v>
      </c>
      <c r="E139" s="48" t="s">
        <v>55</v>
      </c>
      <c r="F139" s="66" t="s">
        <v>121</v>
      </c>
      <c r="G139" s="66" t="s">
        <v>2</v>
      </c>
      <c r="H139" s="66" t="s">
        <v>113</v>
      </c>
      <c r="I139" s="265">
        <v>610</v>
      </c>
      <c r="J139" s="266">
        <v>115</v>
      </c>
      <c r="K139" s="274">
        <f t="shared" si="12"/>
        <v>19.166666666666668</v>
      </c>
      <c r="L139" s="275">
        <f>I139/J139</f>
        <v>5.304347826086956</v>
      </c>
      <c r="M139" s="267">
        <v>77252.5</v>
      </c>
      <c r="N139" s="268">
        <v>8060</v>
      </c>
      <c r="O139" s="288">
        <f t="shared" si="13"/>
        <v>9.584677419354838</v>
      </c>
      <c r="P139" s="312"/>
    </row>
    <row r="140" spans="1:16" ht="15">
      <c r="A140" s="99">
        <v>137</v>
      </c>
      <c r="B140" s="58" t="s">
        <v>201</v>
      </c>
      <c r="C140" s="43">
        <v>39416</v>
      </c>
      <c r="D140" s="95" t="s">
        <v>68</v>
      </c>
      <c r="E140" s="95" t="s">
        <v>81</v>
      </c>
      <c r="F140" s="44">
        <v>11</v>
      </c>
      <c r="G140" s="44">
        <v>3</v>
      </c>
      <c r="H140" s="44">
        <v>9</v>
      </c>
      <c r="I140" s="255">
        <v>603</v>
      </c>
      <c r="J140" s="256">
        <v>109</v>
      </c>
      <c r="K140" s="257">
        <f t="shared" si="12"/>
        <v>36.333333333333336</v>
      </c>
      <c r="L140" s="258">
        <f>+I140/J140</f>
        <v>5.532110091743119</v>
      </c>
      <c r="M140" s="259">
        <v>33685</v>
      </c>
      <c r="N140" s="257">
        <v>4175</v>
      </c>
      <c r="O140" s="288">
        <f t="shared" si="13"/>
        <v>8.068263473053893</v>
      </c>
      <c r="P140" s="312"/>
    </row>
    <row r="141" spans="1:16" ht="15">
      <c r="A141" s="99">
        <v>138</v>
      </c>
      <c r="B141" s="59" t="s">
        <v>52</v>
      </c>
      <c r="C141" s="43">
        <v>39094</v>
      </c>
      <c r="D141" s="48" t="s">
        <v>141</v>
      </c>
      <c r="E141" s="48" t="s">
        <v>76</v>
      </c>
      <c r="F141" s="96">
        <v>42</v>
      </c>
      <c r="G141" s="97">
        <v>2</v>
      </c>
      <c r="H141" s="96">
        <v>37</v>
      </c>
      <c r="I141" s="93">
        <v>576</v>
      </c>
      <c r="J141" s="105">
        <v>130</v>
      </c>
      <c r="K141" s="164">
        <f t="shared" si="12"/>
        <v>65</v>
      </c>
      <c r="L141" s="165">
        <f>I141/J141</f>
        <v>4.430769230769231</v>
      </c>
      <c r="M141" s="166">
        <v>450428.5</v>
      </c>
      <c r="N141" s="167">
        <v>69310</v>
      </c>
      <c r="O141" s="89">
        <f t="shared" si="13"/>
        <v>6.498751983840716</v>
      </c>
      <c r="P141" s="312">
        <v>1</v>
      </c>
    </row>
    <row r="142" spans="1:16" ht="15">
      <c r="A142" s="99">
        <v>139</v>
      </c>
      <c r="B142" s="59" t="s">
        <v>42</v>
      </c>
      <c r="C142" s="43">
        <v>39395</v>
      </c>
      <c r="D142" s="48" t="s">
        <v>141</v>
      </c>
      <c r="E142" s="48" t="s">
        <v>43</v>
      </c>
      <c r="F142" s="96">
        <v>5</v>
      </c>
      <c r="G142" s="97">
        <v>2</v>
      </c>
      <c r="H142" s="96">
        <v>4</v>
      </c>
      <c r="I142" s="265">
        <v>522</v>
      </c>
      <c r="J142" s="266">
        <v>257</v>
      </c>
      <c r="K142" s="274">
        <f t="shared" si="12"/>
        <v>128.5</v>
      </c>
      <c r="L142" s="275">
        <f>I142/J142</f>
        <v>2.0311284046692606</v>
      </c>
      <c r="M142" s="267">
        <v>3590.5</v>
      </c>
      <c r="N142" s="268">
        <v>641</v>
      </c>
      <c r="O142" s="288">
        <f t="shared" si="13"/>
        <v>5.601404056162247</v>
      </c>
      <c r="P142" s="312"/>
    </row>
    <row r="143" spans="1:16" ht="15">
      <c r="A143" s="99">
        <v>140</v>
      </c>
      <c r="B143" s="79" t="s">
        <v>92</v>
      </c>
      <c r="C143" s="63">
        <v>39416</v>
      </c>
      <c r="D143" s="88" t="s">
        <v>83</v>
      </c>
      <c r="E143" s="88" t="s">
        <v>61</v>
      </c>
      <c r="F143" s="86">
        <v>45</v>
      </c>
      <c r="G143" s="87">
        <v>2</v>
      </c>
      <c r="H143" s="87">
        <v>7</v>
      </c>
      <c r="I143" s="269">
        <v>455</v>
      </c>
      <c r="J143" s="270">
        <v>73</v>
      </c>
      <c r="K143" s="271">
        <v>92.17647058823529</v>
      </c>
      <c r="L143" s="272">
        <v>5.0644543714103385</v>
      </c>
      <c r="M143" s="273">
        <v>172083.5</v>
      </c>
      <c r="N143" s="282">
        <v>25035</v>
      </c>
      <c r="O143" s="287">
        <f>M143/N143</f>
        <v>6.8737167964849215</v>
      </c>
      <c r="P143" s="312"/>
    </row>
    <row r="144" spans="1:16" ht="15">
      <c r="A144" s="99">
        <v>141</v>
      </c>
      <c r="B144" s="59" t="s">
        <v>6</v>
      </c>
      <c r="C144" s="42">
        <v>39444</v>
      </c>
      <c r="D144" s="48" t="s">
        <v>148</v>
      </c>
      <c r="E144" s="48" t="s">
        <v>23</v>
      </c>
      <c r="F144" s="66" t="s">
        <v>1</v>
      </c>
      <c r="G144" s="66" t="s">
        <v>147</v>
      </c>
      <c r="H144" s="66" t="s">
        <v>113</v>
      </c>
      <c r="I144" s="265">
        <v>451</v>
      </c>
      <c r="J144" s="266">
        <v>80</v>
      </c>
      <c r="K144" s="274">
        <f aca="true" t="shared" si="14" ref="K144:K150">J144/G144</f>
        <v>40</v>
      </c>
      <c r="L144" s="275">
        <f>I144/J144</f>
        <v>5.6375</v>
      </c>
      <c r="M144" s="267">
        <v>20743.5</v>
      </c>
      <c r="N144" s="268">
        <v>2685</v>
      </c>
      <c r="O144" s="288">
        <f aca="true" t="shared" si="15" ref="O144:O150">+M144/N144</f>
        <v>7.725698324022346</v>
      </c>
      <c r="P144" s="312"/>
    </row>
    <row r="145" spans="1:16" ht="15">
      <c r="A145" s="99">
        <v>142</v>
      </c>
      <c r="B145" s="59" t="s">
        <v>163</v>
      </c>
      <c r="C145" s="43">
        <v>39381</v>
      </c>
      <c r="D145" s="48" t="s">
        <v>141</v>
      </c>
      <c r="E145" s="48" t="s">
        <v>164</v>
      </c>
      <c r="F145" s="96">
        <v>11</v>
      </c>
      <c r="G145" s="97">
        <v>1</v>
      </c>
      <c r="H145" s="96">
        <v>12</v>
      </c>
      <c r="I145" s="265">
        <v>348</v>
      </c>
      <c r="J145" s="266">
        <v>52</v>
      </c>
      <c r="K145" s="274">
        <f t="shared" si="14"/>
        <v>52</v>
      </c>
      <c r="L145" s="275">
        <f>I145/J145</f>
        <v>6.6923076923076925</v>
      </c>
      <c r="M145" s="267">
        <v>220758.7</v>
      </c>
      <c r="N145" s="268">
        <v>24841</v>
      </c>
      <c r="O145" s="288">
        <f t="shared" si="15"/>
        <v>8.886868483555412</v>
      </c>
      <c r="P145" s="312"/>
    </row>
    <row r="146" spans="1:16" ht="15">
      <c r="A146" s="99">
        <v>143</v>
      </c>
      <c r="B146" s="57" t="s">
        <v>97</v>
      </c>
      <c r="C146" s="42">
        <v>39409</v>
      </c>
      <c r="D146" s="46" t="s">
        <v>67</v>
      </c>
      <c r="E146" s="45" t="s">
        <v>78</v>
      </c>
      <c r="F146" s="65">
        <v>69</v>
      </c>
      <c r="G146" s="65">
        <v>1</v>
      </c>
      <c r="H146" s="65">
        <v>8</v>
      </c>
      <c r="I146" s="265">
        <v>313</v>
      </c>
      <c r="J146" s="266">
        <v>56</v>
      </c>
      <c r="K146" s="274">
        <f t="shared" si="14"/>
        <v>56</v>
      </c>
      <c r="L146" s="275">
        <f>I146/J146</f>
        <v>5.589285714285714</v>
      </c>
      <c r="M146" s="267">
        <f>387069+277494+166747+4993+4045+7291+3613+313</f>
        <v>851565</v>
      </c>
      <c r="N146" s="268">
        <f>37017+27892+17708+698+855+1523+696+56</f>
        <v>86445</v>
      </c>
      <c r="O146" s="288">
        <f t="shared" si="15"/>
        <v>9.850945688009718</v>
      </c>
      <c r="P146" s="312">
        <v>1</v>
      </c>
    </row>
    <row r="147" spans="1:16" ht="15">
      <c r="A147" s="99">
        <v>144</v>
      </c>
      <c r="B147" s="57" t="s">
        <v>135</v>
      </c>
      <c r="C147" s="42">
        <v>39402</v>
      </c>
      <c r="D147" s="46" t="s">
        <v>67</v>
      </c>
      <c r="E147" s="45" t="s">
        <v>78</v>
      </c>
      <c r="F147" s="65">
        <v>64</v>
      </c>
      <c r="G147" s="65">
        <v>1</v>
      </c>
      <c r="H147" s="65">
        <v>9</v>
      </c>
      <c r="I147" s="265">
        <v>284</v>
      </c>
      <c r="J147" s="266">
        <v>35</v>
      </c>
      <c r="K147" s="274">
        <f t="shared" si="14"/>
        <v>35</v>
      </c>
      <c r="L147" s="275">
        <f>I147/J147</f>
        <v>8.114285714285714</v>
      </c>
      <c r="M147" s="267">
        <f>299858+213967+97347+22667+8568+16509+4053+3337+284</f>
        <v>666590</v>
      </c>
      <c r="N147" s="268">
        <f>33225+24189+12517+4002+2479+2973+867+358+35</f>
        <v>80645</v>
      </c>
      <c r="O147" s="288">
        <f t="shared" si="15"/>
        <v>8.265732531465064</v>
      </c>
      <c r="P147" s="312"/>
    </row>
    <row r="148" spans="1:16" ht="15">
      <c r="A148" s="99">
        <v>145</v>
      </c>
      <c r="B148" s="57" t="s">
        <v>96</v>
      </c>
      <c r="C148" s="42">
        <v>39360</v>
      </c>
      <c r="D148" s="46" t="s">
        <v>67</v>
      </c>
      <c r="E148" s="45" t="s">
        <v>159</v>
      </c>
      <c r="F148" s="65">
        <v>73</v>
      </c>
      <c r="G148" s="65">
        <v>1</v>
      </c>
      <c r="H148" s="65">
        <v>15</v>
      </c>
      <c r="I148" s="265">
        <v>259</v>
      </c>
      <c r="J148" s="266">
        <v>37</v>
      </c>
      <c r="K148" s="274">
        <f t="shared" si="14"/>
        <v>37</v>
      </c>
      <c r="L148" s="275">
        <f>I148/J148</f>
        <v>7</v>
      </c>
      <c r="M148" s="267">
        <f>2527+398811+325917+116748+8773+28+28081+14690+2838+221+3656+238+712+147+168+168+259</f>
        <v>903982</v>
      </c>
      <c r="N148" s="268">
        <f>228+40290+35016+12251+1468+5988+2689+521+31+1450+32+140+21+26+24+37</f>
        <v>100212</v>
      </c>
      <c r="O148" s="288">
        <f t="shared" si="15"/>
        <v>9.020696124216661</v>
      </c>
      <c r="P148" s="312"/>
    </row>
    <row r="149" spans="1:16" ht="15">
      <c r="A149" s="99">
        <v>146</v>
      </c>
      <c r="B149" s="58" t="s">
        <v>88</v>
      </c>
      <c r="C149" s="43">
        <v>39318</v>
      </c>
      <c r="D149" s="95" t="s">
        <v>68</v>
      </c>
      <c r="E149" s="95" t="s">
        <v>71</v>
      </c>
      <c r="F149" s="44">
        <v>116</v>
      </c>
      <c r="G149" s="44">
        <v>1</v>
      </c>
      <c r="H149" s="44">
        <v>20</v>
      </c>
      <c r="I149" s="94">
        <v>232</v>
      </c>
      <c r="J149" s="107">
        <v>187</v>
      </c>
      <c r="K149" s="154">
        <f t="shared" si="14"/>
        <v>187</v>
      </c>
      <c r="L149" s="155">
        <f>+I149/J149</f>
        <v>1.2406417112299466</v>
      </c>
      <c r="M149" s="156">
        <v>2643571</v>
      </c>
      <c r="N149" s="154">
        <v>331519</v>
      </c>
      <c r="O149" s="178">
        <f t="shared" si="15"/>
        <v>7.974116114008549</v>
      </c>
      <c r="P149" s="312"/>
    </row>
    <row r="150" spans="1:16" ht="15">
      <c r="A150" s="99">
        <v>147</v>
      </c>
      <c r="B150" s="58" t="s">
        <v>131</v>
      </c>
      <c r="C150" s="43">
        <v>39402</v>
      </c>
      <c r="D150" s="95" t="s">
        <v>68</v>
      </c>
      <c r="E150" s="95" t="s">
        <v>105</v>
      </c>
      <c r="F150" s="44">
        <v>130</v>
      </c>
      <c r="G150" s="44">
        <v>21</v>
      </c>
      <c r="H150" s="44">
        <v>10</v>
      </c>
      <c r="I150" s="255">
        <v>204</v>
      </c>
      <c r="J150" s="256">
        <v>36</v>
      </c>
      <c r="K150" s="257">
        <f t="shared" si="14"/>
        <v>1.7142857142857142</v>
      </c>
      <c r="L150" s="258">
        <f>+I150/J150</f>
        <v>5.666666666666667</v>
      </c>
      <c r="M150" s="259">
        <v>2077806</v>
      </c>
      <c r="N150" s="257">
        <v>260719</v>
      </c>
      <c r="O150" s="288">
        <f t="shared" si="15"/>
        <v>7.96952274287643</v>
      </c>
      <c r="P150" s="312"/>
    </row>
    <row r="151" spans="1:16" ht="15">
      <c r="A151" s="99">
        <v>148</v>
      </c>
      <c r="B151" s="58" t="s">
        <v>99</v>
      </c>
      <c r="C151" s="43">
        <v>39409</v>
      </c>
      <c r="D151" s="47" t="s">
        <v>69</v>
      </c>
      <c r="E151" s="47" t="s">
        <v>115</v>
      </c>
      <c r="F151" s="44">
        <v>13</v>
      </c>
      <c r="G151" s="44">
        <v>1</v>
      </c>
      <c r="H151" s="44">
        <v>6</v>
      </c>
      <c r="I151" s="94">
        <v>193</v>
      </c>
      <c r="J151" s="107">
        <v>38</v>
      </c>
      <c r="K151" s="157">
        <f>IF(I151&lt;&gt;0,J151/G151,"")</f>
        <v>38</v>
      </c>
      <c r="L151" s="158">
        <f>IF(I151&lt;&gt;0,I151/J151,"")</f>
        <v>5.078947368421052</v>
      </c>
      <c r="M151" s="156">
        <f>12464+5333-100+2072+1025+199+193</f>
        <v>21186</v>
      </c>
      <c r="N151" s="154">
        <f>1407+644-8+342+204+38+38</f>
        <v>2665</v>
      </c>
      <c r="O151" s="179">
        <f>IF(M151&lt;&gt;0,M151/N151,"")</f>
        <v>7.949718574108818</v>
      </c>
      <c r="P151" s="312"/>
    </row>
    <row r="152" spans="1:16" ht="15">
      <c r="A152" s="99">
        <v>149</v>
      </c>
      <c r="B152" s="58" t="s">
        <v>14</v>
      </c>
      <c r="C152" s="43">
        <v>39437</v>
      </c>
      <c r="D152" s="48" t="s">
        <v>141</v>
      </c>
      <c r="E152" s="48" t="s">
        <v>122</v>
      </c>
      <c r="F152" s="96">
        <v>7</v>
      </c>
      <c r="G152" s="97">
        <v>1</v>
      </c>
      <c r="H152" s="96">
        <v>4</v>
      </c>
      <c r="I152" s="265">
        <v>180</v>
      </c>
      <c r="J152" s="266">
        <v>36</v>
      </c>
      <c r="K152" s="274">
        <f>J152/G152</f>
        <v>36</v>
      </c>
      <c r="L152" s="275">
        <f>I152/J152</f>
        <v>5</v>
      </c>
      <c r="M152" s="267">
        <v>38606</v>
      </c>
      <c r="N152" s="268">
        <v>4943</v>
      </c>
      <c r="O152" s="288">
        <f>+M152/N152</f>
        <v>7.810236698361319</v>
      </c>
      <c r="P152" s="312"/>
    </row>
    <row r="153" spans="1:16" ht="15">
      <c r="A153" s="99">
        <v>150</v>
      </c>
      <c r="B153" s="57" t="s">
        <v>183</v>
      </c>
      <c r="C153" s="42">
        <v>39332</v>
      </c>
      <c r="D153" s="46" t="s">
        <v>67</v>
      </c>
      <c r="E153" s="45" t="s">
        <v>159</v>
      </c>
      <c r="F153" s="65">
        <v>61</v>
      </c>
      <c r="G153" s="65">
        <v>1</v>
      </c>
      <c r="H153" s="65">
        <v>12</v>
      </c>
      <c r="I153" s="265">
        <v>173</v>
      </c>
      <c r="J153" s="266">
        <v>43</v>
      </c>
      <c r="K153" s="274">
        <f>J153/G153</f>
        <v>43</v>
      </c>
      <c r="L153" s="275">
        <f>I153/J153</f>
        <v>4.023255813953488</v>
      </c>
      <c r="M153" s="267">
        <f>1122962+173</f>
        <v>1123135</v>
      </c>
      <c r="N153" s="268">
        <f>117710+43</f>
        <v>117753</v>
      </c>
      <c r="O153" s="288">
        <f>+M153/N153</f>
        <v>9.538058478340254</v>
      </c>
      <c r="P153" s="312"/>
    </row>
    <row r="154" spans="1:16" ht="15">
      <c r="A154" s="99">
        <v>151</v>
      </c>
      <c r="B154" s="58" t="s">
        <v>184</v>
      </c>
      <c r="C154" s="43">
        <v>38947</v>
      </c>
      <c r="D154" s="47" t="s">
        <v>69</v>
      </c>
      <c r="E154" s="47" t="s">
        <v>70</v>
      </c>
      <c r="F154" s="65">
        <v>85</v>
      </c>
      <c r="G154" s="44">
        <v>1</v>
      </c>
      <c r="H154" s="44">
        <v>33</v>
      </c>
      <c r="I154" s="255">
        <v>168</v>
      </c>
      <c r="J154" s="256">
        <v>24</v>
      </c>
      <c r="K154" s="274">
        <f>J154/G154</f>
        <v>24</v>
      </c>
      <c r="L154" s="275">
        <f>I154/J154</f>
        <v>7</v>
      </c>
      <c r="M154" s="259">
        <f>851045+613251.5+405140+216081+124391+88721.5+33772.5+20268.5+9628+2255.5+1314.5+2611.5+726.5+537.5+1115+625.5+6606+1330.5+1386+-611+1222+4532+530+28400+130+4027.5+416+3201.5+838+1128+2376+4027+2423+168</f>
        <v>2433615.5</v>
      </c>
      <c r="N154" s="257">
        <f>116878+84823+56865+31359+21609+17621+6633+4111+1582+390+233+473+110+78+157+95+2946+355+318+132+906+105+5667+18+806+100+801+209+188+594+1006+599+24</f>
        <v>357791</v>
      </c>
      <c r="O154" s="288">
        <f>+M154/N154</f>
        <v>6.801779530508034</v>
      </c>
      <c r="P154" s="312"/>
    </row>
    <row r="155" spans="1:16" ht="15">
      <c r="A155" s="99">
        <v>152</v>
      </c>
      <c r="B155" s="57" t="s">
        <v>96</v>
      </c>
      <c r="C155" s="42">
        <v>39360</v>
      </c>
      <c r="D155" s="46" t="s">
        <v>67</v>
      </c>
      <c r="E155" s="45" t="s">
        <v>159</v>
      </c>
      <c r="F155" s="65">
        <v>73</v>
      </c>
      <c r="G155" s="65">
        <v>1</v>
      </c>
      <c r="H155" s="65">
        <v>14</v>
      </c>
      <c r="I155" s="93">
        <v>168</v>
      </c>
      <c r="J155" s="105">
        <v>24</v>
      </c>
      <c r="K155" s="164">
        <f>J155/G155</f>
        <v>24</v>
      </c>
      <c r="L155" s="165">
        <f>I155/J155</f>
        <v>7</v>
      </c>
      <c r="M155" s="166">
        <f>2527+398811+325917+116748+8773+28+28081+14690+2838+221+3656+238+712+147+168+168</f>
        <v>903723</v>
      </c>
      <c r="N155" s="167">
        <f>228+40290+35016+12251+1468+5988+2689+521+31+1450+32+140+21+26+24</f>
        <v>100175</v>
      </c>
      <c r="O155" s="89">
        <f>+M155/N155</f>
        <v>9.021442475667582</v>
      </c>
      <c r="P155" s="312">
        <v>1</v>
      </c>
    </row>
    <row r="156" spans="1:16" ht="15">
      <c r="A156" s="99">
        <v>153</v>
      </c>
      <c r="B156" s="79" t="s">
        <v>60</v>
      </c>
      <c r="C156" s="63">
        <v>39339</v>
      </c>
      <c r="D156" s="88" t="s">
        <v>83</v>
      </c>
      <c r="E156" s="88" t="s">
        <v>61</v>
      </c>
      <c r="F156" s="86">
        <v>79</v>
      </c>
      <c r="G156" s="87">
        <v>1</v>
      </c>
      <c r="H156" s="87">
        <v>19</v>
      </c>
      <c r="I156" s="269">
        <v>147</v>
      </c>
      <c r="J156" s="270">
        <v>22</v>
      </c>
      <c r="K156" s="271">
        <v>7.333333333333333</v>
      </c>
      <c r="L156" s="272">
        <v>6.363636363636363</v>
      </c>
      <c r="M156" s="273">
        <v>308674</v>
      </c>
      <c r="N156" s="274">
        <v>48761</v>
      </c>
      <c r="O156" s="287">
        <f>M156/N156</f>
        <v>6.3303459732163</v>
      </c>
      <c r="P156" s="312"/>
    </row>
    <row r="157" spans="1:16" ht="15">
      <c r="A157" s="99">
        <v>154</v>
      </c>
      <c r="B157" s="58" t="s">
        <v>203</v>
      </c>
      <c r="C157" s="43">
        <v>38947</v>
      </c>
      <c r="D157" s="47" t="s">
        <v>69</v>
      </c>
      <c r="E157" s="47" t="s">
        <v>70</v>
      </c>
      <c r="F157" s="65">
        <v>106</v>
      </c>
      <c r="G157" s="44">
        <v>1</v>
      </c>
      <c r="H157" s="44">
        <v>34</v>
      </c>
      <c r="I157" s="255">
        <v>147</v>
      </c>
      <c r="J157" s="256">
        <v>21</v>
      </c>
      <c r="K157" s="274">
        <f aca="true" t="shared" si="16" ref="K157:K163">J157/G157</f>
        <v>21</v>
      </c>
      <c r="L157" s="275">
        <f>I157/J157</f>
        <v>7</v>
      </c>
      <c r="M157" s="259">
        <f>851045+613251.5+405140+216081+124391+88721.5+33772.5+20268.5+9628+2255.5+1314.5+2611.5+726.5+537.5+1115+625.5+6606+1330.5+1386+-611+1222+4532+530+28400+130+4027.5+416+3201.5+838+1128+2376+4027+2423+168+147</f>
        <v>2433762.5</v>
      </c>
      <c r="N157" s="257">
        <f>116878+84823+56865+31359+21609+17621+6633+4111+1582+390+233+473+110+78+157+95+2946+355+318+132+906+105+5667+18+806+100+801+209+188+594+1006+599+24+21</f>
        <v>357812</v>
      </c>
      <c r="O157" s="287">
        <f>M157/N157</f>
        <v>6.801791164074989</v>
      </c>
      <c r="P157" s="312"/>
    </row>
    <row r="158" spans="1:16" ht="15">
      <c r="A158" s="99">
        <v>155</v>
      </c>
      <c r="B158" s="57" t="s">
        <v>96</v>
      </c>
      <c r="C158" s="42">
        <v>39360</v>
      </c>
      <c r="D158" s="46" t="s">
        <v>67</v>
      </c>
      <c r="E158" s="45" t="s">
        <v>159</v>
      </c>
      <c r="F158" s="65">
        <v>73</v>
      </c>
      <c r="G158" s="65">
        <v>1</v>
      </c>
      <c r="H158" s="65">
        <v>16</v>
      </c>
      <c r="I158" s="265">
        <v>147</v>
      </c>
      <c r="J158" s="266">
        <v>21</v>
      </c>
      <c r="K158" s="274">
        <f t="shared" si="16"/>
        <v>21</v>
      </c>
      <c r="L158" s="275">
        <f>I158/J158</f>
        <v>7</v>
      </c>
      <c r="M158" s="267">
        <f>2527+398811+325917+116748+8773+28+28081+14690+2838+221+3656+238+712+147+168+168+259+147</f>
        <v>904129</v>
      </c>
      <c r="N158" s="268">
        <f>228+40290+35016+12251+1468+5988+2689+521+31+1450+32+140+21+26+24+37+21</f>
        <v>100233</v>
      </c>
      <c r="O158" s="288">
        <f>+M158/N158</f>
        <v>9.020272764458811</v>
      </c>
      <c r="P158" s="312"/>
    </row>
    <row r="159" spans="1:16" ht="15">
      <c r="A159" s="99">
        <v>156</v>
      </c>
      <c r="B159" s="59" t="s">
        <v>82</v>
      </c>
      <c r="C159" s="43">
        <v>39220</v>
      </c>
      <c r="D159" s="48" t="s">
        <v>141</v>
      </c>
      <c r="E159" s="48" t="s">
        <v>76</v>
      </c>
      <c r="F159" s="96">
        <v>88</v>
      </c>
      <c r="G159" s="97">
        <v>1</v>
      </c>
      <c r="H159" s="96">
        <v>33</v>
      </c>
      <c r="I159" s="93">
        <v>146</v>
      </c>
      <c r="J159" s="105">
        <v>34</v>
      </c>
      <c r="K159" s="164">
        <f t="shared" si="16"/>
        <v>34</v>
      </c>
      <c r="L159" s="165">
        <f>I159/J159</f>
        <v>4.294117647058823</v>
      </c>
      <c r="M159" s="166">
        <v>587148</v>
      </c>
      <c r="N159" s="167">
        <v>86661</v>
      </c>
      <c r="O159" s="89">
        <f>+M159/N159</f>
        <v>6.775227611036106</v>
      </c>
      <c r="P159" s="312"/>
    </row>
    <row r="160" spans="1:16" ht="15">
      <c r="A160" s="99">
        <v>157</v>
      </c>
      <c r="B160" s="79" t="s">
        <v>60</v>
      </c>
      <c r="C160" s="63">
        <v>39339</v>
      </c>
      <c r="D160" s="88" t="s">
        <v>83</v>
      </c>
      <c r="E160" s="88" t="s">
        <v>61</v>
      </c>
      <c r="F160" s="86">
        <v>79</v>
      </c>
      <c r="G160" s="87">
        <v>1</v>
      </c>
      <c r="H160" s="87">
        <v>20</v>
      </c>
      <c r="I160" s="269">
        <v>144</v>
      </c>
      <c r="J160" s="270">
        <v>22</v>
      </c>
      <c r="K160" s="274">
        <f t="shared" si="16"/>
        <v>22</v>
      </c>
      <c r="L160" s="275">
        <f>I160/J160</f>
        <v>6.545454545454546</v>
      </c>
      <c r="M160" s="273">
        <v>308818</v>
      </c>
      <c r="N160" s="274">
        <v>48783</v>
      </c>
      <c r="O160" s="287">
        <f>M160/N160</f>
        <v>6.330442982186417</v>
      </c>
      <c r="P160" s="312"/>
    </row>
    <row r="161" spans="1:16" ht="15">
      <c r="A161" s="99">
        <v>158</v>
      </c>
      <c r="B161" s="59" t="s">
        <v>95</v>
      </c>
      <c r="C161" s="43">
        <v>39416</v>
      </c>
      <c r="D161" s="48" t="s">
        <v>141</v>
      </c>
      <c r="E161" s="48" t="s">
        <v>51</v>
      </c>
      <c r="F161" s="96">
        <v>4</v>
      </c>
      <c r="G161" s="97">
        <v>1</v>
      </c>
      <c r="H161" s="96">
        <v>7</v>
      </c>
      <c r="I161" s="265">
        <v>131</v>
      </c>
      <c r="J161" s="266">
        <v>21</v>
      </c>
      <c r="K161" s="274">
        <f t="shared" si="16"/>
        <v>21</v>
      </c>
      <c r="L161" s="275">
        <f>I161/J161</f>
        <v>6.238095238095238</v>
      </c>
      <c r="M161" s="267">
        <v>43300</v>
      </c>
      <c r="N161" s="268">
        <v>4625</v>
      </c>
      <c r="O161" s="288">
        <f>+M161/N161</f>
        <v>9.362162162162162</v>
      </c>
      <c r="P161" s="312"/>
    </row>
    <row r="162" spans="1:16" ht="15">
      <c r="A162" s="99">
        <v>159</v>
      </c>
      <c r="B162" s="58" t="s">
        <v>131</v>
      </c>
      <c r="C162" s="43">
        <v>39402</v>
      </c>
      <c r="D162" s="95" t="s">
        <v>68</v>
      </c>
      <c r="E162" s="95" t="s">
        <v>78</v>
      </c>
      <c r="F162" s="44">
        <v>130</v>
      </c>
      <c r="G162" s="44">
        <v>21</v>
      </c>
      <c r="H162" s="44">
        <v>9</v>
      </c>
      <c r="I162" s="255">
        <v>120</v>
      </c>
      <c r="J162" s="256">
        <v>22</v>
      </c>
      <c r="K162" s="257">
        <f t="shared" si="16"/>
        <v>1.0476190476190477</v>
      </c>
      <c r="L162" s="258">
        <f>+I162/J162</f>
        <v>5.454545454545454</v>
      </c>
      <c r="M162" s="259">
        <v>20767729</v>
      </c>
      <c r="N162" s="257">
        <v>260530</v>
      </c>
      <c r="O162" s="285">
        <f>+M162/N162</f>
        <v>79.7133880935017</v>
      </c>
      <c r="P162" s="312"/>
    </row>
    <row r="163" spans="1:16" ht="15">
      <c r="A163" s="99">
        <v>160</v>
      </c>
      <c r="B163" s="59" t="s">
        <v>90</v>
      </c>
      <c r="C163" s="42">
        <v>39416</v>
      </c>
      <c r="D163" s="48" t="s">
        <v>80</v>
      </c>
      <c r="E163" s="48" t="s">
        <v>55</v>
      </c>
      <c r="F163" s="66" t="s">
        <v>91</v>
      </c>
      <c r="G163" s="66" t="s">
        <v>140</v>
      </c>
      <c r="H163" s="66" t="s">
        <v>38</v>
      </c>
      <c r="I163" s="265">
        <v>112</v>
      </c>
      <c r="J163" s="266">
        <v>22</v>
      </c>
      <c r="K163" s="274">
        <f t="shared" si="16"/>
        <v>22</v>
      </c>
      <c r="L163" s="275">
        <f>I163/J163</f>
        <v>5.090909090909091</v>
      </c>
      <c r="M163" s="267">
        <v>258869</v>
      </c>
      <c r="N163" s="268">
        <v>27599</v>
      </c>
      <c r="O163" s="288">
        <f>+M163/N163</f>
        <v>9.379651436646256</v>
      </c>
      <c r="P163" s="312"/>
    </row>
    <row r="164" spans="1:16" ht="15">
      <c r="A164" s="99">
        <v>161</v>
      </c>
      <c r="B164" s="79" t="s">
        <v>60</v>
      </c>
      <c r="C164" s="63">
        <v>39339</v>
      </c>
      <c r="D164" s="88" t="s">
        <v>83</v>
      </c>
      <c r="E164" s="88" t="s">
        <v>61</v>
      </c>
      <c r="F164" s="86">
        <v>79</v>
      </c>
      <c r="G164" s="87">
        <v>2</v>
      </c>
      <c r="H164" s="87">
        <v>17</v>
      </c>
      <c r="I164" s="135">
        <v>111</v>
      </c>
      <c r="J164" s="160">
        <v>16</v>
      </c>
      <c r="K164" s="161">
        <v>7.333333333333333</v>
      </c>
      <c r="L164" s="162">
        <v>6.363636363636363</v>
      </c>
      <c r="M164" s="163">
        <v>307739</v>
      </c>
      <c r="N164" s="164">
        <v>48509</v>
      </c>
      <c r="O164" s="180">
        <f>M164/N164</f>
        <v>6.3439567915232224</v>
      </c>
      <c r="P164" s="312"/>
    </row>
    <row r="165" spans="1:16" ht="15">
      <c r="A165" s="99">
        <v>162</v>
      </c>
      <c r="B165" s="59" t="s">
        <v>6</v>
      </c>
      <c r="C165" s="42">
        <v>39444</v>
      </c>
      <c r="D165" s="48" t="s">
        <v>148</v>
      </c>
      <c r="E165" s="48" t="s">
        <v>204</v>
      </c>
      <c r="F165" s="66" t="s">
        <v>1</v>
      </c>
      <c r="G165" s="66" t="s">
        <v>140</v>
      </c>
      <c r="H165" s="66" t="s">
        <v>144</v>
      </c>
      <c r="I165" s="265">
        <v>109</v>
      </c>
      <c r="J165" s="266">
        <v>18</v>
      </c>
      <c r="K165" s="274">
        <f>J165/G165</f>
        <v>18</v>
      </c>
      <c r="L165" s="275">
        <f>I165/J165</f>
        <v>6.055555555555555</v>
      </c>
      <c r="M165" s="267">
        <v>20852.5</v>
      </c>
      <c r="N165" s="268">
        <v>2703</v>
      </c>
      <c r="O165" s="288">
        <f>+M165/N165</f>
        <v>7.7145763965963745</v>
      </c>
      <c r="P165" s="312"/>
    </row>
    <row r="166" spans="1:16" ht="15">
      <c r="A166" s="99">
        <v>163</v>
      </c>
      <c r="B166" s="57" t="s">
        <v>96</v>
      </c>
      <c r="C166" s="42">
        <v>39360</v>
      </c>
      <c r="D166" s="46" t="s">
        <v>67</v>
      </c>
      <c r="E166" s="45" t="s">
        <v>159</v>
      </c>
      <c r="F166" s="65">
        <v>73</v>
      </c>
      <c r="G166" s="65">
        <v>1</v>
      </c>
      <c r="H166" s="65">
        <v>17</v>
      </c>
      <c r="I166" s="265">
        <v>105</v>
      </c>
      <c r="J166" s="266">
        <v>15</v>
      </c>
      <c r="K166" s="274">
        <f>J166/G166</f>
        <v>15</v>
      </c>
      <c r="L166" s="275">
        <f>I166/J166</f>
        <v>7</v>
      </c>
      <c r="M166" s="267">
        <f>2527+398811+325917+116748+8773+28+28081+14690+2838+221+3656+238+712+147+168+168+259+147+105</f>
        <v>904234</v>
      </c>
      <c r="N166" s="268">
        <f>228+40290+35016+12251+1468+5988+2689+521+31+1450+32+140+21+26+24+37+21+15</f>
        <v>100248</v>
      </c>
      <c r="O166" s="288">
        <f>+M166/N166</f>
        <v>9.0199704732264</v>
      </c>
      <c r="P166" s="312"/>
    </row>
    <row r="167" spans="1:16" ht="15">
      <c r="A167" s="99">
        <v>164</v>
      </c>
      <c r="B167" s="58" t="s">
        <v>205</v>
      </c>
      <c r="C167" s="43">
        <v>38821</v>
      </c>
      <c r="D167" s="47" t="s">
        <v>69</v>
      </c>
      <c r="E167" s="47" t="s">
        <v>70</v>
      </c>
      <c r="F167" s="65">
        <v>118</v>
      </c>
      <c r="G167" s="44">
        <v>1</v>
      </c>
      <c r="H167" s="44">
        <v>39</v>
      </c>
      <c r="I167" s="255">
        <v>91</v>
      </c>
      <c r="J167" s="256">
        <v>13</v>
      </c>
      <c r="K167" s="274">
        <f>J167/G167</f>
        <v>13</v>
      </c>
      <c r="L167" s="275">
        <f>I167/J167</f>
        <v>7</v>
      </c>
      <c r="M167" s="259">
        <f>1908861+1583540+976953.5+606582.5+358386.5+257458.5+154619+107195+70567+37968.5+18157.5+11925.5+12529.5+11442+10137.5+11279.5+11047+23092+6089.5+13588+1331+1245+48+90+312+4271+1314+128+1008+10+610+1572+5035-409+4651.5+3349+2013.5+2852+91</f>
        <v>6220941.5</v>
      </c>
      <c r="N167" s="257">
        <f>267837+226672+141343+93283+56706+48660+34140+24736+15604+6640+3341+2116+2223+1865+2002+2375+2554+5432+1329+3323+245+218+8+15+52+1073+314+16+252+116+261+1007-77+884+645+503+712+13</f>
        <v>948438</v>
      </c>
      <c r="O167" s="287">
        <f>M167/N167</f>
        <v>6.559144087436396</v>
      </c>
      <c r="P167" s="312"/>
    </row>
    <row r="168" spans="1:16" ht="15">
      <c r="A168" s="99">
        <v>165</v>
      </c>
      <c r="B168" s="57" t="s">
        <v>185</v>
      </c>
      <c r="C168" s="42">
        <v>39346</v>
      </c>
      <c r="D168" s="45" t="s">
        <v>63</v>
      </c>
      <c r="E168" s="45" t="s">
        <v>58</v>
      </c>
      <c r="F168" s="65">
        <v>43</v>
      </c>
      <c r="G168" s="65">
        <v>1</v>
      </c>
      <c r="H168" s="65">
        <v>11</v>
      </c>
      <c r="I168" s="260">
        <v>86</v>
      </c>
      <c r="J168" s="261">
        <v>24</v>
      </c>
      <c r="K168" s="262">
        <f>IF(I168&lt;&gt;0,J168/G168,"")</f>
        <v>24</v>
      </c>
      <c r="L168" s="263">
        <f>IF(I168&lt;&gt;0,I168/J168,"")</f>
        <v>3.5833333333333335</v>
      </c>
      <c r="M168" s="264">
        <f>120242+0</f>
        <v>120242</v>
      </c>
      <c r="N168" s="257">
        <f>15823+0</f>
        <v>15823</v>
      </c>
      <c r="O168" s="286">
        <f>IF(M168&lt;&gt;0,M168/N168,"")</f>
        <v>7.599191051001706</v>
      </c>
      <c r="P168" s="312"/>
    </row>
    <row r="169" spans="1:16" ht="15">
      <c r="A169" s="99">
        <v>166</v>
      </c>
      <c r="B169" s="57" t="s">
        <v>206</v>
      </c>
      <c r="C169" s="42">
        <v>39332</v>
      </c>
      <c r="D169" s="46" t="s">
        <v>67</v>
      </c>
      <c r="E169" s="45" t="s">
        <v>159</v>
      </c>
      <c r="F169" s="65">
        <v>61</v>
      </c>
      <c r="G169" s="65">
        <v>1</v>
      </c>
      <c r="H169" s="65">
        <v>13</v>
      </c>
      <c r="I169" s="265">
        <v>85</v>
      </c>
      <c r="J169" s="266">
        <v>21</v>
      </c>
      <c r="K169" s="274">
        <f>J169/G169</f>
        <v>21</v>
      </c>
      <c r="L169" s="275">
        <f>I169/J169</f>
        <v>4.0476190476190474</v>
      </c>
      <c r="M169" s="267">
        <f>1122962+173+85</f>
        <v>1123220</v>
      </c>
      <c r="N169" s="268">
        <f>117710+43+21</f>
        <v>117774</v>
      </c>
      <c r="O169" s="288">
        <f>+M169/N169</f>
        <v>9.537079491228964</v>
      </c>
      <c r="P169" s="312">
        <v>1</v>
      </c>
    </row>
    <row r="170" spans="1:16" ht="15">
      <c r="A170" s="99">
        <v>167</v>
      </c>
      <c r="B170" s="64" t="s">
        <v>84</v>
      </c>
      <c r="C170" s="42">
        <v>39304</v>
      </c>
      <c r="D170" s="46" t="s">
        <v>67</v>
      </c>
      <c r="E170" s="45" t="s">
        <v>159</v>
      </c>
      <c r="F170" s="65">
        <v>165</v>
      </c>
      <c r="G170" s="65">
        <v>1</v>
      </c>
      <c r="H170" s="65">
        <v>22</v>
      </c>
      <c r="I170" s="93">
        <v>81</v>
      </c>
      <c r="J170" s="105">
        <v>40</v>
      </c>
      <c r="K170" s="164">
        <f>J170/G170</f>
        <v>40</v>
      </c>
      <c r="L170" s="165">
        <f>I170/J170</f>
        <v>2.025</v>
      </c>
      <c r="M170" s="166">
        <f>2632960+1103806+622810+343330+175885+112509+60772+28410+15737+16484+3567+7825+3899+7196+3981+1749+1616+3566+772+1288+684+81</f>
        <v>5148927</v>
      </c>
      <c r="N170" s="167">
        <f>336483+141879+82533+45209+26903+20540+11529+5833+3987+3318+680+865+384+1787+580+811+720+1776+383+644+340+40</f>
        <v>687224</v>
      </c>
      <c r="O170" s="89">
        <f>+M170/N170</f>
        <v>7.492356204090661</v>
      </c>
      <c r="P170" s="312"/>
    </row>
    <row r="171" spans="1:16" ht="15">
      <c r="A171" s="99">
        <v>168</v>
      </c>
      <c r="B171" s="59" t="s">
        <v>26</v>
      </c>
      <c r="C171" s="42">
        <v>39416</v>
      </c>
      <c r="D171" s="48" t="s">
        <v>148</v>
      </c>
      <c r="E171" s="48" t="s">
        <v>27</v>
      </c>
      <c r="F171" s="66" t="s">
        <v>94</v>
      </c>
      <c r="G171" s="66" t="s">
        <v>140</v>
      </c>
      <c r="H171" s="66" t="s">
        <v>144</v>
      </c>
      <c r="I171" s="93">
        <v>80</v>
      </c>
      <c r="J171" s="105">
        <v>14</v>
      </c>
      <c r="K171" s="164">
        <f>J171/G171</f>
        <v>14</v>
      </c>
      <c r="L171" s="165">
        <f>I171/J171</f>
        <v>5.714285714285714</v>
      </c>
      <c r="M171" s="166">
        <v>28346</v>
      </c>
      <c r="N171" s="167">
        <v>3690</v>
      </c>
      <c r="O171" s="89">
        <f>+M171/N171</f>
        <v>7.681842818428184</v>
      </c>
      <c r="P171" s="312">
        <v>1</v>
      </c>
    </row>
    <row r="172" spans="1:16" ht="15">
      <c r="A172" s="99">
        <v>169</v>
      </c>
      <c r="B172" s="58" t="s">
        <v>86</v>
      </c>
      <c r="C172" s="43">
        <v>39311</v>
      </c>
      <c r="D172" s="47" t="s">
        <v>69</v>
      </c>
      <c r="E172" s="45" t="s">
        <v>70</v>
      </c>
      <c r="F172" s="65">
        <v>51</v>
      </c>
      <c r="G172" s="44">
        <v>1</v>
      </c>
      <c r="H172" s="44">
        <v>13</v>
      </c>
      <c r="I172" s="94">
        <v>80</v>
      </c>
      <c r="J172" s="107">
        <v>12</v>
      </c>
      <c r="K172" s="157">
        <f>IF(I172&lt;&gt;0,J172/G172,"")</f>
        <v>12</v>
      </c>
      <c r="L172" s="158">
        <f>IF(I172&lt;&gt;0,I172/J172,"")</f>
        <v>6.666666666666667</v>
      </c>
      <c r="M172" s="156">
        <f>307706+165406+101634+49698+32049.5+23376.5+11639-20+12239.5+6765.5+893+48+38+80</f>
        <v>711553</v>
      </c>
      <c r="N172" s="154">
        <f>37496+19653+12173+6929+5777+4291+2342-2+2292+1679+199+7+5+12</f>
        <v>92853</v>
      </c>
      <c r="O172" s="179">
        <f>IF(M172&lt;&gt;0,M172/N172,"")</f>
        <v>7.663220359062174</v>
      </c>
      <c r="P172" s="312"/>
    </row>
    <row r="173" spans="1:16" ht="15">
      <c r="A173" s="99">
        <v>170</v>
      </c>
      <c r="B173" s="57" t="s">
        <v>128</v>
      </c>
      <c r="C173" s="42">
        <v>39402</v>
      </c>
      <c r="D173" s="46" t="s">
        <v>67</v>
      </c>
      <c r="E173" s="45" t="s">
        <v>159</v>
      </c>
      <c r="F173" s="65">
        <v>20</v>
      </c>
      <c r="G173" s="65">
        <v>1</v>
      </c>
      <c r="H173" s="65">
        <v>11</v>
      </c>
      <c r="I173" s="265">
        <v>64</v>
      </c>
      <c r="J173" s="266">
        <v>16</v>
      </c>
      <c r="K173" s="274">
        <f>J173/G173</f>
        <v>16</v>
      </c>
      <c r="L173" s="275">
        <f>I173/J173</f>
        <v>4</v>
      </c>
      <c r="M173" s="267">
        <f>8296+141704+66729+20126+11859+581+2076+3662+3777+6557+1754+64</f>
        <v>267185</v>
      </c>
      <c r="N173" s="268">
        <f>702+12499+6089+1727+1871+101+444+549+663+1089+276+16</f>
        <v>26026</v>
      </c>
      <c r="O173" s="288">
        <f>+M173/N173</f>
        <v>10.26608007377238</v>
      </c>
      <c r="P173" s="312"/>
    </row>
    <row r="174" spans="1:16" ht="15">
      <c r="A174" s="99">
        <v>171</v>
      </c>
      <c r="B174" s="58" t="s">
        <v>110</v>
      </c>
      <c r="C174" s="43">
        <v>39430</v>
      </c>
      <c r="D174" s="47" t="s">
        <v>69</v>
      </c>
      <c r="E174" s="47" t="s">
        <v>111</v>
      </c>
      <c r="F174" s="44">
        <v>43</v>
      </c>
      <c r="G174" s="44">
        <v>1</v>
      </c>
      <c r="H174" s="44">
        <v>5</v>
      </c>
      <c r="I174" s="255">
        <v>50</v>
      </c>
      <c r="J174" s="256">
        <v>5</v>
      </c>
      <c r="K174" s="257">
        <f>J174/G174</f>
        <v>5</v>
      </c>
      <c r="L174" s="258">
        <f>+I174/J174</f>
        <v>10</v>
      </c>
      <c r="M174" s="259">
        <f>43240+25728.5+5226.5+5207.5+50</f>
        <v>79452.5</v>
      </c>
      <c r="N174" s="257">
        <f>5272+3593+870+1171+5</f>
        <v>10911</v>
      </c>
      <c r="O174" s="285">
        <f>+M174/N174</f>
        <v>7.281871505819815</v>
      </c>
      <c r="P174" s="312">
        <v>1</v>
      </c>
    </row>
    <row r="175" spans="1:16" ht="15.75" thickBot="1">
      <c r="A175" s="99">
        <v>172</v>
      </c>
      <c r="B175" s="151" t="s">
        <v>88</v>
      </c>
      <c r="C175" s="109">
        <v>39318</v>
      </c>
      <c r="D175" s="290" t="s">
        <v>68</v>
      </c>
      <c r="E175" s="290" t="s">
        <v>71</v>
      </c>
      <c r="F175" s="152">
        <v>116</v>
      </c>
      <c r="G175" s="152">
        <v>1</v>
      </c>
      <c r="H175" s="152">
        <v>189</v>
      </c>
      <c r="I175" s="291">
        <v>27</v>
      </c>
      <c r="J175" s="292">
        <v>22</v>
      </c>
      <c r="K175" s="293">
        <f>J175/G175</f>
        <v>22</v>
      </c>
      <c r="L175" s="294">
        <f>+I175/J175</f>
        <v>1.2272727272727273</v>
      </c>
      <c r="M175" s="295">
        <v>2643760</v>
      </c>
      <c r="N175" s="293">
        <v>331546</v>
      </c>
      <c r="O175" s="296">
        <f>+M175/N175</f>
        <v>7.97403678524247</v>
      </c>
      <c r="P175" s="312"/>
    </row>
    <row r="176" spans="1:16" ht="12.75">
      <c r="A176" s="143"/>
      <c r="B176" s="144"/>
      <c r="C176" s="145"/>
      <c r="D176" s="145"/>
      <c r="E176" s="145"/>
      <c r="F176" s="223"/>
      <c r="G176" s="224"/>
      <c r="H176" s="225"/>
      <c r="I176" s="147">
        <f>SUM(I4:I175)</f>
        <v>9368428.76</v>
      </c>
      <c r="J176" s="148">
        <f>SUM(J4:J175)</f>
        <v>1274777</v>
      </c>
      <c r="K176" s="146"/>
      <c r="L176" s="146"/>
      <c r="M176" s="146"/>
      <c r="N176" s="146"/>
      <c r="O176" s="146"/>
      <c r="P176" s="312"/>
    </row>
    <row r="177" spans="1:9" ht="12.75">
      <c r="A177" s="34"/>
      <c r="B177" s="32"/>
      <c r="C177" s="24"/>
      <c r="D177" s="24"/>
      <c r="E177" s="24"/>
      <c r="F177" s="226"/>
      <c r="G177" s="227"/>
      <c r="I177" s="153"/>
    </row>
    <row r="178" spans="1:15" ht="13.5">
      <c r="A178" s="34"/>
      <c r="B178" s="32"/>
      <c r="C178" s="140"/>
      <c r="D178" s="141"/>
      <c r="E178" s="141"/>
      <c r="F178" s="24"/>
      <c r="G178" s="24"/>
      <c r="K178" s="383" t="s">
        <v>133</v>
      </c>
      <c r="L178" s="401"/>
      <c r="M178" s="401"/>
      <c r="N178" s="401"/>
      <c r="O178" s="401"/>
    </row>
    <row r="179" spans="1:15" ht="12.75">
      <c r="A179" s="34"/>
      <c r="B179" s="32"/>
      <c r="C179" s="141"/>
      <c r="D179" s="141"/>
      <c r="E179" s="141"/>
      <c r="F179" s="24"/>
      <c r="G179" s="24"/>
      <c r="K179" s="401"/>
      <c r="L179" s="401"/>
      <c r="M179" s="401"/>
      <c r="N179" s="401"/>
      <c r="O179" s="401"/>
    </row>
    <row r="180" spans="1:15" ht="12.75">
      <c r="A180" s="34"/>
      <c r="B180" s="32"/>
      <c r="C180" s="141"/>
      <c r="D180" s="141"/>
      <c r="E180" s="141"/>
      <c r="F180" s="24"/>
      <c r="G180" s="24"/>
      <c r="K180" s="401"/>
      <c r="L180" s="401"/>
      <c r="M180" s="401"/>
      <c r="N180" s="401"/>
      <c r="O180" s="401"/>
    </row>
    <row r="181" spans="1:15" ht="8.25" customHeight="1">
      <c r="A181" s="34"/>
      <c r="B181" s="32"/>
      <c r="C181" s="141"/>
      <c r="D181" s="141"/>
      <c r="E181" s="141"/>
      <c r="F181" s="24"/>
      <c r="G181" s="24"/>
      <c r="K181" s="401"/>
      <c r="L181" s="401"/>
      <c r="M181" s="401"/>
      <c r="N181" s="401"/>
      <c r="O181" s="401"/>
    </row>
    <row r="182" spans="1:15" ht="12.75">
      <c r="A182" s="34"/>
      <c r="B182" s="32"/>
      <c r="C182" s="141"/>
      <c r="D182" s="141"/>
      <c r="E182" s="141"/>
      <c r="F182" s="24"/>
      <c r="G182" s="24"/>
      <c r="K182" s="401"/>
      <c r="L182" s="401"/>
      <c r="M182" s="401"/>
      <c r="N182" s="401"/>
      <c r="O182" s="401"/>
    </row>
    <row r="183" spans="1:15" ht="116.25" customHeight="1">
      <c r="A183" s="34"/>
      <c r="B183" s="32"/>
      <c r="C183" s="141"/>
      <c r="D183" s="141"/>
      <c r="E183" s="141"/>
      <c r="F183" s="24"/>
      <c r="G183" s="24"/>
      <c r="K183" s="401"/>
      <c r="L183" s="401"/>
      <c r="M183" s="401"/>
      <c r="N183" s="401"/>
      <c r="O183" s="401"/>
    </row>
    <row r="184" spans="1:15" ht="12.75">
      <c r="A184" s="34"/>
      <c r="B184" s="32"/>
      <c r="C184" s="24"/>
      <c r="D184" s="141"/>
      <c r="E184" s="141"/>
      <c r="F184" s="226"/>
      <c r="G184" s="227"/>
      <c r="K184" s="101"/>
      <c r="L184" s="100"/>
      <c r="M184" s="100"/>
      <c r="N184" s="139"/>
      <c r="O184" s="104"/>
    </row>
    <row r="185" spans="1:15" ht="13.5">
      <c r="A185" s="34"/>
      <c r="B185" s="32"/>
      <c r="C185" s="142"/>
      <c r="D185" s="141"/>
      <c r="E185" s="141"/>
      <c r="F185" s="24"/>
      <c r="G185" s="24"/>
      <c r="K185" s="400" t="s">
        <v>139</v>
      </c>
      <c r="L185" s="401"/>
      <c r="M185" s="401"/>
      <c r="N185" s="401"/>
      <c r="O185" s="401"/>
    </row>
    <row r="186" spans="1:15" ht="12.75">
      <c r="A186" s="34"/>
      <c r="B186" s="32"/>
      <c r="C186" s="141"/>
      <c r="D186" s="141"/>
      <c r="E186" s="141"/>
      <c r="F186" s="24"/>
      <c r="G186" s="24"/>
      <c r="K186" s="401"/>
      <c r="L186" s="401"/>
      <c r="M186" s="401"/>
      <c r="N186" s="401"/>
      <c r="O186" s="401"/>
    </row>
    <row r="187" spans="1:15" ht="12.75">
      <c r="A187" s="34"/>
      <c r="B187" s="32"/>
      <c r="C187" s="141"/>
      <c r="D187" s="141"/>
      <c r="E187" s="141"/>
      <c r="F187" s="24"/>
      <c r="G187" s="24"/>
      <c r="K187" s="401"/>
      <c r="L187" s="401"/>
      <c r="M187" s="401"/>
      <c r="N187" s="401"/>
      <c r="O187" s="401"/>
    </row>
    <row r="188" spans="1:15" ht="12.75">
      <c r="A188" s="34"/>
      <c r="B188" s="32"/>
      <c r="C188" s="141"/>
      <c r="D188" s="141"/>
      <c r="E188" s="141"/>
      <c r="F188" s="24"/>
      <c r="G188" s="24"/>
      <c r="K188" s="401"/>
      <c r="L188" s="401"/>
      <c r="M188" s="401"/>
      <c r="N188" s="401"/>
      <c r="O188" s="401"/>
    </row>
    <row r="189" spans="1:15" ht="12.75">
      <c r="A189" s="34"/>
      <c r="B189" s="32"/>
      <c r="C189" s="141"/>
      <c r="D189" s="141"/>
      <c r="E189" s="141"/>
      <c r="F189" s="24"/>
      <c r="G189" s="24"/>
      <c r="K189" s="401"/>
      <c r="L189" s="401"/>
      <c r="M189" s="401"/>
      <c r="N189" s="401"/>
      <c r="O189" s="401"/>
    </row>
    <row r="190" spans="1:15" ht="12.75">
      <c r="A190" s="34"/>
      <c r="B190" s="32"/>
      <c r="C190" s="141"/>
      <c r="D190" s="141"/>
      <c r="E190" s="141"/>
      <c r="F190" s="24"/>
      <c r="G190" s="24"/>
      <c r="K190" s="401"/>
      <c r="L190" s="401"/>
      <c r="M190" s="401"/>
      <c r="N190" s="401"/>
      <c r="O190" s="401"/>
    </row>
    <row r="191" spans="1:15" ht="141.75" customHeight="1">
      <c r="A191" s="34"/>
      <c r="B191" s="32"/>
      <c r="C191" s="32"/>
      <c r="D191" s="32"/>
      <c r="E191" s="32"/>
      <c r="F191" s="24"/>
      <c r="G191" s="24"/>
      <c r="K191" s="402"/>
      <c r="L191" s="402"/>
      <c r="M191" s="402"/>
      <c r="N191" s="402"/>
      <c r="O191" s="402"/>
    </row>
    <row r="192" spans="1:7" ht="12.75">
      <c r="A192" s="34"/>
      <c r="B192" s="32"/>
      <c r="C192" s="24"/>
      <c r="D192" s="24"/>
      <c r="E192" s="24"/>
      <c r="F192" s="226"/>
      <c r="G192" s="227"/>
    </row>
    <row r="193" spans="1:7" ht="12.75">
      <c r="A193" s="34"/>
      <c r="B193" s="32"/>
      <c r="C193" s="24"/>
      <c r="D193" s="24"/>
      <c r="E193" s="24"/>
      <c r="F193" s="226"/>
      <c r="G193" s="227"/>
    </row>
  </sheetData>
  <sheetProtection/>
  <mergeCells count="12">
    <mergeCell ref="A1:O1"/>
    <mergeCell ref="K178:O183"/>
    <mergeCell ref="B2:B3"/>
    <mergeCell ref="C2:C3"/>
    <mergeCell ref="D2:D3"/>
    <mergeCell ref="K185:O191"/>
    <mergeCell ref="G2:G3"/>
    <mergeCell ref="H2:H3"/>
    <mergeCell ref="I2:L2"/>
    <mergeCell ref="M2:O2"/>
    <mergeCell ref="E2:E3"/>
    <mergeCell ref="F2:F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61"/>
  <sheetViews>
    <sheetView zoomScale="190" zoomScaleNormal="190" zoomScalePageLayoutView="0" workbookViewId="0" topLeftCell="A1">
      <selection activeCell="C1" sqref="C1"/>
    </sheetView>
  </sheetViews>
  <sheetFormatPr defaultColWidth="9.140625" defaultRowHeight="12.75"/>
  <cols>
    <col min="1" max="1" width="1.7109375" style="194" bestFit="1" customWidth="1"/>
    <col min="2" max="2" width="4.28125" style="195" bestFit="1" customWidth="1"/>
    <col min="3" max="3" width="6.140625" style="196" bestFit="1" customWidth="1"/>
    <col min="4" max="4" width="3.140625" style="204" bestFit="1" customWidth="1"/>
    <col min="5" max="5" width="9.421875" style="205" bestFit="1" customWidth="1"/>
    <col min="6" max="6" width="6.8515625" style="204" bestFit="1" customWidth="1"/>
    <col min="7" max="7" width="1.7109375" style="194" bestFit="1" customWidth="1"/>
    <col min="8" max="8" width="8.7109375" style="213" bestFit="1" customWidth="1"/>
    <col min="9" max="9" width="5.7109375" style="214" bestFit="1" customWidth="1"/>
    <col min="10" max="10" width="5.57421875" style="215" bestFit="1" customWidth="1"/>
    <col min="11" max="11" width="2.421875" style="219" bestFit="1" customWidth="1"/>
    <col min="12" max="12" width="9.421875" style="205" bestFit="1" customWidth="1"/>
    <col min="13" max="13" width="6.8515625" style="204" bestFit="1" customWidth="1"/>
    <col min="14" max="14" width="5.57421875" style="220" bestFit="1" customWidth="1"/>
    <col min="15" max="16384" width="9.140625" style="102" customWidth="1"/>
  </cols>
  <sheetData>
    <row r="1" spans="1:14" ht="14.25" thickBot="1">
      <c r="A1" s="188">
        <v>1</v>
      </c>
      <c r="B1" s="189" t="s">
        <v>123</v>
      </c>
      <c r="C1" s="190" t="s">
        <v>134</v>
      </c>
      <c r="D1" s="197">
        <v>58</v>
      </c>
      <c r="E1" s="198">
        <v>5529440.2</v>
      </c>
      <c r="F1" s="199">
        <v>704032</v>
      </c>
      <c r="G1" s="188">
        <v>5</v>
      </c>
      <c r="H1" s="206">
        <v>1746028.5</v>
      </c>
      <c r="I1" s="207">
        <v>193534</v>
      </c>
      <c r="J1" s="208">
        <f>SUM(I1/F1)</f>
        <v>0.27489375482932593</v>
      </c>
      <c r="K1" s="197">
        <v>11</v>
      </c>
      <c r="L1" s="198">
        <v>2912032.2</v>
      </c>
      <c r="M1" s="216">
        <v>397934</v>
      </c>
      <c r="N1" s="217">
        <f>SUM(M1/F1)</f>
        <v>0.565221467206036</v>
      </c>
    </row>
    <row r="2" spans="1:14" ht="14.25" thickBot="1">
      <c r="A2" s="188">
        <v>2</v>
      </c>
      <c r="B2" s="189" t="s">
        <v>29</v>
      </c>
      <c r="C2" s="190" t="s">
        <v>134</v>
      </c>
      <c r="D2" s="200">
        <v>48</v>
      </c>
      <c r="E2" s="198">
        <v>7393668.19</v>
      </c>
      <c r="F2" s="199">
        <v>988537</v>
      </c>
      <c r="G2" s="188">
        <v>5</v>
      </c>
      <c r="H2" s="206">
        <v>4601743.5</v>
      </c>
      <c r="I2" s="207">
        <v>619525</v>
      </c>
      <c r="J2" s="208">
        <f>SUM(I2/F2)</f>
        <v>0.6267089648642388</v>
      </c>
      <c r="K2" s="197">
        <v>11</v>
      </c>
      <c r="L2" s="198">
        <v>6046921.69</v>
      </c>
      <c r="M2" s="216">
        <v>829474</v>
      </c>
      <c r="N2" s="217">
        <f>SUM(M2/F2)</f>
        <v>0.8390925175284284</v>
      </c>
    </row>
    <row r="3" spans="1:14" ht="14.25" thickBot="1">
      <c r="A3" s="188">
        <v>3</v>
      </c>
      <c r="B3" s="189" t="s">
        <v>165</v>
      </c>
      <c r="C3" s="190" t="s">
        <v>134</v>
      </c>
      <c r="D3" s="200">
        <v>57</v>
      </c>
      <c r="E3" s="198">
        <v>6770805.99</v>
      </c>
      <c r="F3" s="199">
        <v>912282</v>
      </c>
      <c r="G3" s="188">
        <v>6</v>
      </c>
      <c r="H3" s="206">
        <v>1362691</v>
      </c>
      <c r="I3" s="207">
        <v>150257</v>
      </c>
      <c r="J3" s="208">
        <f>SUM(I3/F3)</f>
        <v>0.16470455407428844</v>
      </c>
      <c r="K3" s="197">
        <v>11</v>
      </c>
      <c r="L3" s="198">
        <v>4604346.99</v>
      </c>
      <c r="M3" s="216">
        <v>653796</v>
      </c>
      <c r="N3" s="217">
        <f>SUM(M3/F3)</f>
        <v>0.7166599801377206</v>
      </c>
    </row>
    <row r="4" spans="1:14" ht="14.25" thickBot="1">
      <c r="A4" s="188">
        <v>4</v>
      </c>
      <c r="B4" s="189" t="s">
        <v>186</v>
      </c>
      <c r="C4" s="190" t="s">
        <v>134</v>
      </c>
      <c r="D4" s="200">
        <v>57</v>
      </c>
      <c r="E4" s="198">
        <v>7832354.38</v>
      </c>
      <c r="F4" s="199">
        <v>1009793</v>
      </c>
      <c r="G4" s="188">
        <v>5</v>
      </c>
      <c r="H4" s="206">
        <v>3882685</v>
      </c>
      <c r="I4" s="207">
        <v>469767</v>
      </c>
      <c r="J4" s="208">
        <f>SUM(I4/F4)</f>
        <v>0.4652111868472053</v>
      </c>
      <c r="K4" s="197">
        <v>13</v>
      </c>
      <c r="L4" s="198">
        <v>4384975.89</v>
      </c>
      <c r="M4" s="216">
        <v>594193</v>
      </c>
      <c r="N4" s="217">
        <f>SUM(M4/F4)</f>
        <v>0.5884305001123993</v>
      </c>
    </row>
    <row r="5" spans="1:14" ht="14.25" thickBot="1">
      <c r="A5" s="188"/>
      <c r="B5" s="189"/>
      <c r="C5" s="190"/>
      <c r="D5" s="200"/>
      <c r="E5" s="198"/>
      <c r="F5" s="199"/>
      <c r="G5" s="188"/>
      <c r="H5" s="206"/>
      <c r="I5" s="207"/>
      <c r="J5" s="208"/>
      <c r="K5" s="197"/>
      <c r="L5" s="198"/>
      <c r="M5" s="216"/>
      <c r="N5" s="217"/>
    </row>
    <row r="6" spans="1:14" ht="14.25" thickBot="1">
      <c r="A6" s="188"/>
      <c r="B6" s="189"/>
      <c r="C6" s="190"/>
      <c r="D6" s="200"/>
      <c r="E6" s="198"/>
      <c r="F6" s="199"/>
      <c r="G6" s="188"/>
      <c r="H6" s="206"/>
      <c r="I6" s="207"/>
      <c r="J6" s="208"/>
      <c r="K6" s="197"/>
      <c r="L6" s="198"/>
      <c r="M6" s="216"/>
      <c r="N6" s="217"/>
    </row>
    <row r="7" spans="1:14" ht="14.25" thickBot="1">
      <c r="A7" s="188"/>
      <c r="B7" s="189"/>
      <c r="C7" s="190"/>
      <c r="D7" s="200"/>
      <c r="E7" s="198"/>
      <c r="F7" s="199"/>
      <c r="G7" s="188"/>
      <c r="H7" s="206"/>
      <c r="I7" s="207"/>
      <c r="J7" s="208"/>
      <c r="K7" s="197"/>
      <c r="L7" s="198"/>
      <c r="M7" s="216"/>
      <c r="N7" s="217"/>
    </row>
    <row r="8" spans="1:14" ht="14.25" thickBot="1">
      <c r="A8" s="188"/>
      <c r="B8" s="189"/>
      <c r="C8" s="190"/>
      <c r="D8" s="200"/>
      <c r="E8" s="198"/>
      <c r="F8" s="199"/>
      <c r="G8" s="188"/>
      <c r="H8" s="206"/>
      <c r="I8" s="207"/>
      <c r="J8" s="208"/>
      <c r="K8" s="197"/>
      <c r="L8" s="198"/>
      <c r="M8" s="216"/>
      <c r="N8" s="217"/>
    </row>
    <row r="9" spans="1:14" ht="14.25" thickBot="1">
      <c r="A9" s="188"/>
      <c r="B9" s="189"/>
      <c r="C9" s="190"/>
      <c r="D9" s="200"/>
      <c r="E9" s="198"/>
      <c r="F9" s="199"/>
      <c r="G9" s="188"/>
      <c r="H9" s="206"/>
      <c r="I9" s="207"/>
      <c r="J9" s="208"/>
      <c r="K9" s="197"/>
      <c r="L9" s="198"/>
      <c r="M9" s="216"/>
      <c r="N9" s="217"/>
    </row>
    <row r="10" spans="1:14" ht="14.25" thickBot="1">
      <c r="A10" s="188"/>
      <c r="B10" s="189"/>
      <c r="C10" s="190"/>
      <c r="D10" s="200"/>
      <c r="E10" s="198"/>
      <c r="F10" s="199"/>
      <c r="G10" s="188"/>
      <c r="H10" s="206"/>
      <c r="I10" s="207"/>
      <c r="J10" s="208"/>
      <c r="K10" s="197"/>
      <c r="L10" s="198"/>
      <c r="M10" s="216"/>
      <c r="N10" s="217"/>
    </row>
    <row r="11" spans="1:14" ht="14.25" thickBot="1">
      <c r="A11" s="188"/>
      <c r="B11" s="189"/>
      <c r="C11" s="190"/>
      <c r="D11" s="200"/>
      <c r="E11" s="198"/>
      <c r="F11" s="199"/>
      <c r="G11" s="188"/>
      <c r="H11" s="206"/>
      <c r="I11" s="207"/>
      <c r="J11" s="208"/>
      <c r="K11" s="197"/>
      <c r="L11" s="198"/>
      <c r="M11" s="216"/>
      <c r="N11" s="217"/>
    </row>
    <row r="12" spans="1:14" ht="14.25" thickBot="1">
      <c r="A12" s="188"/>
      <c r="B12" s="189"/>
      <c r="C12" s="190"/>
      <c r="D12" s="200"/>
      <c r="E12" s="198"/>
      <c r="F12" s="199"/>
      <c r="G12" s="188"/>
      <c r="H12" s="206"/>
      <c r="I12" s="207"/>
      <c r="J12" s="208"/>
      <c r="K12" s="197"/>
      <c r="L12" s="198"/>
      <c r="M12" s="216"/>
      <c r="N12" s="217"/>
    </row>
    <row r="13" spans="1:14" ht="14.25" thickBot="1">
      <c r="A13" s="188"/>
      <c r="B13" s="189"/>
      <c r="C13" s="190"/>
      <c r="D13" s="200"/>
      <c r="E13" s="198"/>
      <c r="F13" s="199"/>
      <c r="G13" s="188"/>
      <c r="H13" s="206"/>
      <c r="I13" s="207"/>
      <c r="J13" s="208"/>
      <c r="K13" s="197"/>
      <c r="L13" s="198"/>
      <c r="M13" s="216"/>
      <c r="N13" s="217"/>
    </row>
    <row r="14" spans="1:14" ht="14.25" hidden="1" thickBot="1">
      <c r="A14" s="188"/>
      <c r="B14" s="189"/>
      <c r="C14" s="190"/>
      <c r="D14" s="200"/>
      <c r="E14" s="198"/>
      <c r="F14" s="199"/>
      <c r="G14" s="188"/>
      <c r="H14" s="206"/>
      <c r="I14" s="207"/>
      <c r="J14" s="208"/>
      <c r="K14" s="197"/>
      <c r="L14" s="198"/>
      <c r="M14" s="216"/>
      <c r="N14" s="217"/>
    </row>
    <row r="15" spans="1:14" ht="14.25" hidden="1" thickBot="1">
      <c r="A15" s="188"/>
      <c r="B15" s="189"/>
      <c r="C15" s="190"/>
      <c r="D15" s="200"/>
      <c r="E15" s="198"/>
      <c r="F15" s="199"/>
      <c r="G15" s="188"/>
      <c r="H15" s="206"/>
      <c r="I15" s="207"/>
      <c r="J15" s="208"/>
      <c r="K15" s="197"/>
      <c r="L15" s="198"/>
      <c r="M15" s="216"/>
      <c r="N15" s="217"/>
    </row>
    <row r="16" spans="1:14" ht="14.25" hidden="1" thickBot="1">
      <c r="A16" s="188"/>
      <c r="B16" s="189"/>
      <c r="C16" s="190"/>
      <c r="D16" s="200"/>
      <c r="E16" s="198"/>
      <c r="F16" s="199"/>
      <c r="G16" s="188"/>
      <c r="H16" s="206"/>
      <c r="I16" s="207"/>
      <c r="J16" s="208"/>
      <c r="K16" s="197"/>
      <c r="L16" s="198"/>
      <c r="M16" s="216"/>
      <c r="N16" s="217"/>
    </row>
    <row r="17" spans="1:14" ht="14.25" hidden="1" thickBot="1">
      <c r="A17" s="188"/>
      <c r="B17" s="189"/>
      <c r="C17" s="190"/>
      <c r="D17" s="200"/>
      <c r="E17" s="198"/>
      <c r="F17" s="199"/>
      <c r="G17" s="188"/>
      <c r="H17" s="206"/>
      <c r="I17" s="207"/>
      <c r="J17" s="208"/>
      <c r="K17" s="197"/>
      <c r="L17" s="198"/>
      <c r="M17" s="216"/>
      <c r="N17" s="217"/>
    </row>
    <row r="18" spans="1:14" ht="14.25" hidden="1" thickBot="1">
      <c r="A18" s="188"/>
      <c r="B18" s="189"/>
      <c r="C18" s="190"/>
      <c r="D18" s="200"/>
      <c r="E18" s="198"/>
      <c r="F18" s="199"/>
      <c r="G18" s="188"/>
      <c r="H18" s="206"/>
      <c r="I18" s="207"/>
      <c r="J18" s="208"/>
      <c r="K18" s="197"/>
      <c r="L18" s="198"/>
      <c r="M18" s="216"/>
      <c r="N18" s="217"/>
    </row>
    <row r="19" spans="1:14" ht="14.25" hidden="1" thickBot="1">
      <c r="A19" s="188"/>
      <c r="B19" s="189"/>
      <c r="C19" s="190"/>
      <c r="D19" s="200"/>
      <c r="E19" s="198"/>
      <c r="F19" s="199"/>
      <c r="G19" s="188"/>
      <c r="H19" s="206"/>
      <c r="I19" s="207"/>
      <c r="J19" s="208"/>
      <c r="K19" s="197"/>
      <c r="L19" s="198"/>
      <c r="M19" s="216"/>
      <c r="N19" s="217"/>
    </row>
    <row r="20" spans="1:14" ht="14.25" hidden="1" thickBot="1">
      <c r="A20" s="188"/>
      <c r="B20" s="189"/>
      <c r="C20" s="190"/>
      <c r="D20" s="200"/>
      <c r="E20" s="198"/>
      <c r="F20" s="199"/>
      <c r="G20" s="188"/>
      <c r="H20" s="206"/>
      <c r="I20" s="207"/>
      <c r="J20" s="208"/>
      <c r="K20" s="197"/>
      <c r="L20" s="198"/>
      <c r="M20" s="216"/>
      <c r="N20" s="217"/>
    </row>
    <row r="21" spans="1:14" ht="14.25" hidden="1" thickBot="1">
      <c r="A21" s="188"/>
      <c r="B21" s="189"/>
      <c r="C21" s="190"/>
      <c r="D21" s="200"/>
      <c r="E21" s="198"/>
      <c r="F21" s="199"/>
      <c r="G21" s="188"/>
      <c r="H21" s="206"/>
      <c r="I21" s="207"/>
      <c r="J21" s="208"/>
      <c r="K21" s="197"/>
      <c r="L21" s="198"/>
      <c r="M21" s="216"/>
      <c r="N21" s="217"/>
    </row>
    <row r="22" spans="1:14" ht="14.25" hidden="1" thickBot="1">
      <c r="A22" s="188"/>
      <c r="B22" s="189"/>
      <c r="C22" s="190"/>
      <c r="D22" s="200"/>
      <c r="E22" s="198"/>
      <c r="F22" s="199"/>
      <c r="G22" s="188"/>
      <c r="H22" s="206"/>
      <c r="I22" s="207"/>
      <c r="J22" s="208"/>
      <c r="K22" s="197"/>
      <c r="L22" s="198"/>
      <c r="M22" s="216"/>
      <c r="N22" s="217"/>
    </row>
    <row r="23" spans="1:14" ht="14.25" hidden="1" thickBot="1">
      <c r="A23" s="188"/>
      <c r="B23" s="189"/>
      <c r="C23" s="190"/>
      <c r="D23" s="200"/>
      <c r="E23" s="198"/>
      <c r="F23" s="199"/>
      <c r="G23" s="188"/>
      <c r="H23" s="206"/>
      <c r="I23" s="207"/>
      <c r="J23" s="208"/>
      <c r="K23" s="197"/>
      <c r="L23" s="198"/>
      <c r="M23" s="216"/>
      <c r="N23" s="217"/>
    </row>
    <row r="24" spans="1:14" ht="14.25" hidden="1" thickBot="1">
      <c r="A24" s="188"/>
      <c r="B24" s="189"/>
      <c r="C24" s="190"/>
      <c r="D24" s="200"/>
      <c r="E24" s="198"/>
      <c r="F24" s="199"/>
      <c r="G24" s="188"/>
      <c r="H24" s="206"/>
      <c r="I24" s="207"/>
      <c r="J24" s="208"/>
      <c r="K24" s="197"/>
      <c r="L24" s="198"/>
      <c r="M24" s="216"/>
      <c r="N24" s="217"/>
    </row>
    <row r="25" spans="1:14" ht="14.25" hidden="1" thickBot="1">
      <c r="A25" s="188"/>
      <c r="B25" s="189"/>
      <c r="C25" s="190"/>
      <c r="D25" s="200"/>
      <c r="E25" s="198"/>
      <c r="F25" s="199"/>
      <c r="G25" s="188"/>
      <c r="H25" s="206"/>
      <c r="I25" s="207"/>
      <c r="J25" s="208"/>
      <c r="K25" s="197"/>
      <c r="L25" s="198"/>
      <c r="M25" s="216"/>
      <c r="N25" s="217"/>
    </row>
    <row r="26" spans="1:14" ht="14.25" hidden="1" thickBot="1">
      <c r="A26" s="188"/>
      <c r="B26" s="189"/>
      <c r="C26" s="190"/>
      <c r="D26" s="200"/>
      <c r="E26" s="198"/>
      <c r="F26" s="199"/>
      <c r="G26" s="188"/>
      <c r="H26" s="206"/>
      <c r="I26" s="207"/>
      <c r="J26" s="208"/>
      <c r="K26" s="197"/>
      <c r="L26" s="198"/>
      <c r="M26" s="216"/>
      <c r="N26" s="217"/>
    </row>
    <row r="27" spans="1:14" ht="14.25" hidden="1" thickBot="1">
      <c r="A27" s="188"/>
      <c r="B27" s="189"/>
      <c r="C27" s="190"/>
      <c r="D27" s="200"/>
      <c r="E27" s="198"/>
      <c r="F27" s="199"/>
      <c r="G27" s="188"/>
      <c r="H27" s="206"/>
      <c r="I27" s="207"/>
      <c r="J27" s="208"/>
      <c r="K27" s="197"/>
      <c r="L27" s="198"/>
      <c r="M27" s="216"/>
      <c r="N27" s="217"/>
    </row>
    <row r="28" spans="1:14" ht="14.25" hidden="1" thickBot="1">
      <c r="A28" s="188"/>
      <c r="B28" s="189"/>
      <c r="C28" s="190"/>
      <c r="D28" s="200"/>
      <c r="E28" s="198"/>
      <c r="F28" s="199"/>
      <c r="G28" s="188"/>
      <c r="H28" s="206"/>
      <c r="I28" s="207"/>
      <c r="J28" s="208"/>
      <c r="K28" s="197"/>
      <c r="L28" s="198"/>
      <c r="M28" s="216"/>
      <c r="N28" s="217"/>
    </row>
    <row r="29" spans="1:14" ht="14.25" hidden="1" thickBot="1">
      <c r="A29" s="188"/>
      <c r="B29" s="189"/>
      <c r="C29" s="190"/>
      <c r="D29" s="200"/>
      <c r="E29" s="198"/>
      <c r="F29" s="199"/>
      <c r="G29" s="188"/>
      <c r="H29" s="206"/>
      <c r="I29" s="207"/>
      <c r="J29" s="208"/>
      <c r="K29" s="197"/>
      <c r="L29" s="198"/>
      <c r="M29" s="216"/>
      <c r="N29" s="217"/>
    </row>
    <row r="30" spans="1:14" ht="14.25" hidden="1" thickBot="1">
      <c r="A30" s="188"/>
      <c r="B30" s="189"/>
      <c r="C30" s="190"/>
      <c r="D30" s="200"/>
      <c r="E30" s="198"/>
      <c r="F30" s="199"/>
      <c r="G30" s="188"/>
      <c r="H30" s="206"/>
      <c r="I30" s="207"/>
      <c r="J30" s="208"/>
      <c r="K30" s="197"/>
      <c r="L30" s="198"/>
      <c r="M30" s="216"/>
      <c r="N30" s="217"/>
    </row>
    <row r="31" spans="1:14" ht="14.25" hidden="1" thickBot="1">
      <c r="A31" s="188"/>
      <c r="B31" s="189"/>
      <c r="C31" s="190"/>
      <c r="D31" s="200"/>
      <c r="E31" s="198"/>
      <c r="F31" s="199"/>
      <c r="G31" s="188"/>
      <c r="H31" s="206"/>
      <c r="I31" s="207"/>
      <c r="J31" s="208"/>
      <c r="K31" s="197"/>
      <c r="L31" s="198"/>
      <c r="M31" s="216"/>
      <c r="N31" s="217"/>
    </row>
    <row r="32" spans="1:14" ht="14.25" hidden="1" thickBot="1">
      <c r="A32" s="188"/>
      <c r="B32" s="189"/>
      <c r="C32" s="190"/>
      <c r="D32" s="200"/>
      <c r="E32" s="198"/>
      <c r="F32" s="199"/>
      <c r="G32" s="188"/>
      <c r="H32" s="206"/>
      <c r="I32" s="207"/>
      <c r="J32" s="208"/>
      <c r="K32" s="197"/>
      <c r="L32" s="198"/>
      <c r="M32" s="216"/>
      <c r="N32" s="217"/>
    </row>
    <row r="33" spans="1:14" ht="14.25" hidden="1" thickBot="1">
      <c r="A33" s="188"/>
      <c r="B33" s="189"/>
      <c r="C33" s="190"/>
      <c r="D33" s="200"/>
      <c r="E33" s="198"/>
      <c r="F33" s="199"/>
      <c r="G33" s="188"/>
      <c r="H33" s="206"/>
      <c r="I33" s="207"/>
      <c r="J33" s="208"/>
      <c r="K33" s="197"/>
      <c r="L33" s="198"/>
      <c r="M33" s="216"/>
      <c r="N33" s="217"/>
    </row>
    <row r="34" spans="1:14" ht="14.25" hidden="1" thickBot="1">
      <c r="A34" s="188"/>
      <c r="B34" s="189"/>
      <c r="C34" s="190"/>
      <c r="D34" s="200"/>
      <c r="E34" s="198"/>
      <c r="F34" s="199"/>
      <c r="G34" s="188"/>
      <c r="H34" s="206"/>
      <c r="I34" s="207"/>
      <c r="J34" s="208"/>
      <c r="K34" s="197"/>
      <c r="L34" s="198"/>
      <c r="M34" s="216"/>
      <c r="N34" s="217"/>
    </row>
    <row r="35" spans="1:14" ht="14.25" hidden="1" thickBot="1">
      <c r="A35" s="188"/>
      <c r="B35" s="189"/>
      <c r="C35" s="190"/>
      <c r="D35" s="200"/>
      <c r="E35" s="198"/>
      <c r="F35" s="199"/>
      <c r="G35" s="188"/>
      <c r="H35" s="206"/>
      <c r="I35" s="207"/>
      <c r="J35" s="208"/>
      <c r="K35" s="197"/>
      <c r="L35" s="198"/>
      <c r="M35" s="216"/>
      <c r="N35" s="217"/>
    </row>
    <row r="36" spans="1:14" ht="14.25" hidden="1" thickBot="1">
      <c r="A36" s="188"/>
      <c r="B36" s="189"/>
      <c r="C36" s="190"/>
      <c r="D36" s="200"/>
      <c r="E36" s="198"/>
      <c r="F36" s="199"/>
      <c r="G36" s="188"/>
      <c r="H36" s="206"/>
      <c r="I36" s="207"/>
      <c r="J36" s="208"/>
      <c r="K36" s="197"/>
      <c r="L36" s="198"/>
      <c r="M36" s="216"/>
      <c r="N36" s="217"/>
    </row>
    <row r="37" spans="1:14" ht="14.25" hidden="1" thickBot="1">
      <c r="A37" s="188"/>
      <c r="B37" s="189"/>
      <c r="C37" s="190"/>
      <c r="D37" s="200"/>
      <c r="E37" s="198"/>
      <c r="F37" s="199"/>
      <c r="G37" s="188"/>
      <c r="H37" s="206"/>
      <c r="I37" s="207"/>
      <c r="J37" s="208"/>
      <c r="K37" s="197"/>
      <c r="L37" s="198"/>
      <c r="M37" s="216"/>
      <c r="N37" s="217"/>
    </row>
    <row r="38" spans="1:14" ht="14.25" hidden="1" thickBot="1">
      <c r="A38" s="188"/>
      <c r="B38" s="189"/>
      <c r="C38" s="190"/>
      <c r="D38" s="200"/>
      <c r="E38" s="198"/>
      <c r="F38" s="199"/>
      <c r="G38" s="188"/>
      <c r="H38" s="206"/>
      <c r="I38" s="207"/>
      <c r="J38" s="208"/>
      <c r="K38" s="197"/>
      <c r="L38" s="198"/>
      <c r="M38" s="216"/>
      <c r="N38" s="217"/>
    </row>
    <row r="39" spans="1:14" ht="14.25" hidden="1" thickBot="1">
      <c r="A39" s="188"/>
      <c r="B39" s="189"/>
      <c r="C39" s="190"/>
      <c r="D39" s="200"/>
      <c r="E39" s="198"/>
      <c r="F39" s="199"/>
      <c r="G39" s="188"/>
      <c r="H39" s="206"/>
      <c r="I39" s="207"/>
      <c r="J39" s="208"/>
      <c r="K39" s="197"/>
      <c r="L39" s="198"/>
      <c r="M39" s="216"/>
      <c r="N39" s="217"/>
    </row>
    <row r="40" spans="1:14" ht="14.25" hidden="1" thickBot="1">
      <c r="A40" s="188"/>
      <c r="B40" s="189"/>
      <c r="C40" s="190"/>
      <c r="D40" s="200"/>
      <c r="E40" s="198"/>
      <c r="F40" s="199"/>
      <c r="G40" s="188"/>
      <c r="H40" s="206"/>
      <c r="I40" s="207"/>
      <c r="J40" s="208"/>
      <c r="K40" s="197"/>
      <c r="L40" s="198"/>
      <c r="M40" s="216"/>
      <c r="N40" s="217"/>
    </row>
    <row r="41" spans="1:14" ht="14.25" hidden="1" thickBot="1">
      <c r="A41" s="188"/>
      <c r="B41" s="189"/>
      <c r="C41" s="190"/>
      <c r="D41" s="200"/>
      <c r="E41" s="198"/>
      <c r="F41" s="199"/>
      <c r="G41" s="188"/>
      <c r="H41" s="206"/>
      <c r="I41" s="207"/>
      <c r="J41" s="208"/>
      <c r="K41" s="197"/>
      <c r="L41" s="198"/>
      <c r="M41" s="216"/>
      <c r="N41" s="217"/>
    </row>
    <row r="42" spans="1:14" ht="14.25" hidden="1" thickBot="1">
      <c r="A42" s="188"/>
      <c r="B42" s="189"/>
      <c r="C42" s="190"/>
      <c r="D42" s="200"/>
      <c r="E42" s="198"/>
      <c r="F42" s="199"/>
      <c r="G42" s="188"/>
      <c r="H42" s="206"/>
      <c r="I42" s="207"/>
      <c r="J42" s="208"/>
      <c r="K42" s="197"/>
      <c r="L42" s="198"/>
      <c r="M42" s="216"/>
      <c r="N42" s="217"/>
    </row>
    <row r="43" spans="1:14" ht="14.25" hidden="1" thickBot="1">
      <c r="A43" s="188"/>
      <c r="B43" s="189"/>
      <c r="C43" s="190"/>
      <c r="D43" s="200"/>
      <c r="E43" s="198"/>
      <c r="F43" s="199"/>
      <c r="G43" s="188"/>
      <c r="H43" s="206"/>
      <c r="I43" s="207"/>
      <c r="J43" s="208"/>
      <c r="K43" s="197"/>
      <c r="L43" s="198"/>
      <c r="M43" s="216"/>
      <c r="N43" s="217"/>
    </row>
    <row r="44" spans="1:14" ht="14.25" hidden="1" thickBot="1">
      <c r="A44" s="188"/>
      <c r="B44" s="189"/>
      <c r="C44" s="190"/>
      <c r="D44" s="200"/>
      <c r="E44" s="198"/>
      <c r="F44" s="199"/>
      <c r="G44" s="188"/>
      <c r="H44" s="206"/>
      <c r="I44" s="207"/>
      <c r="J44" s="208"/>
      <c r="K44" s="197"/>
      <c r="L44" s="198"/>
      <c r="M44" s="216"/>
      <c r="N44" s="217"/>
    </row>
    <row r="45" spans="1:14" ht="14.25" hidden="1" thickBot="1">
      <c r="A45" s="188"/>
      <c r="B45" s="189"/>
      <c r="C45" s="190"/>
      <c r="D45" s="200"/>
      <c r="E45" s="198"/>
      <c r="F45" s="199"/>
      <c r="G45" s="188"/>
      <c r="H45" s="206"/>
      <c r="I45" s="207"/>
      <c r="J45" s="208"/>
      <c r="K45" s="197"/>
      <c r="L45" s="198"/>
      <c r="M45" s="216"/>
      <c r="N45" s="217"/>
    </row>
    <row r="46" spans="1:14" ht="14.25" hidden="1" thickBot="1">
      <c r="A46" s="188"/>
      <c r="B46" s="189"/>
      <c r="C46" s="190"/>
      <c r="D46" s="200"/>
      <c r="E46" s="198"/>
      <c r="F46" s="199"/>
      <c r="G46" s="188"/>
      <c r="H46" s="206"/>
      <c r="I46" s="207"/>
      <c r="J46" s="208"/>
      <c r="K46" s="197"/>
      <c r="L46" s="198"/>
      <c r="M46" s="216"/>
      <c r="N46" s="217"/>
    </row>
    <row r="47" spans="1:14" ht="14.25" hidden="1" thickBot="1">
      <c r="A47" s="188"/>
      <c r="B47" s="189"/>
      <c r="C47" s="190"/>
      <c r="D47" s="200"/>
      <c r="E47" s="198"/>
      <c r="F47" s="199"/>
      <c r="G47" s="188"/>
      <c r="H47" s="206"/>
      <c r="I47" s="207"/>
      <c r="J47" s="208"/>
      <c r="K47" s="197"/>
      <c r="L47" s="198"/>
      <c r="M47" s="216"/>
      <c r="N47" s="217"/>
    </row>
    <row r="48" spans="1:14" ht="14.25" thickBot="1">
      <c r="A48" s="188"/>
      <c r="B48" s="189"/>
      <c r="C48" s="190"/>
      <c r="D48" s="200"/>
      <c r="E48" s="198"/>
      <c r="F48" s="199"/>
      <c r="G48" s="188"/>
      <c r="H48" s="206"/>
      <c r="I48" s="207"/>
      <c r="J48" s="208"/>
      <c r="K48" s="197"/>
      <c r="L48" s="198"/>
      <c r="M48" s="216"/>
      <c r="N48" s="217"/>
    </row>
    <row r="49" spans="1:14" ht="13.5">
      <c r="A49" s="191"/>
      <c r="B49" s="192"/>
      <c r="C49" s="193"/>
      <c r="D49" s="201"/>
      <c r="E49" s="202"/>
      <c r="F49" s="201"/>
      <c r="G49" s="191"/>
      <c r="H49" s="209"/>
      <c r="I49" s="210"/>
      <c r="J49" s="211"/>
      <c r="K49" s="203"/>
      <c r="L49" s="202"/>
      <c r="M49" s="201"/>
      <c r="N49" s="218"/>
    </row>
    <row r="50" spans="1:14" ht="13.5">
      <c r="A50" s="191"/>
      <c r="B50" s="192"/>
      <c r="C50" s="193"/>
      <c r="D50" s="201"/>
      <c r="E50" s="202"/>
      <c r="F50" s="201"/>
      <c r="G50" s="191"/>
      <c r="H50" s="209"/>
      <c r="I50" s="210"/>
      <c r="J50" s="211"/>
      <c r="K50" s="203"/>
      <c r="L50" s="202"/>
      <c r="M50" s="201"/>
      <c r="N50" s="218"/>
    </row>
    <row r="51" spans="1:14" ht="13.5">
      <c r="A51" s="191"/>
      <c r="B51" s="192"/>
      <c r="C51" s="193"/>
      <c r="D51" s="201"/>
      <c r="E51" s="202"/>
      <c r="F51" s="201"/>
      <c r="G51" s="191"/>
      <c r="H51" s="209"/>
      <c r="I51" s="210"/>
      <c r="J51" s="211"/>
      <c r="K51" s="203"/>
      <c r="L51" s="202"/>
      <c r="M51" s="201"/>
      <c r="N51" s="218"/>
    </row>
    <row r="55" spans="1:14" ht="13.5">
      <c r="A55" s="418">
        <v>2008</v>
      </c>
      <c r="B55" s="419"/>
      <c r="C55" s="419"/>
      <c r="D55" s="201">
        <f>SUM(D1:D52)</f>
        <v>220</v>
      </c>
      <c r="E55" s="202">
        <f>SUM(E1:E52)</f>
        <v>27526268.76</v>
      </c>
      <c r="F55" s="201">
        <f>SUM(F1:F54)</f>
        <v>3614644</v>
      </c>
      <c r="G55" s="191"/>
      <c r="H55" s="209"/>
      <c r="I55" s="210"/>
      <c r="J55" s="211"/>
      <c r="K55" s="203"/>
      <c r="L55" s="202">
        <f>SUM(L1:L52)</f>
        <v>17948276.77</v>
      </c>
      <c r="M55" s="201">
        <f>SUM(M1:M52)</f>
        <v>2475397</v>
      </c>
      <c r="N55" s="218">
        <f>SUM(M55/F55)</f>
        <v>0.6848245636361423</v>
      </c>
    </row>
    <row r="56" spans="1:14" s="103" customFormat="1" ht="13.5">
      <c r="A56" s="420"/>
      <c r="B56" s="421"/>
      <c r="C56" s="421"/>
      <c r="D56" s="203"/>
      <c r="E56" s="202"/>
      <c r="F56" s="201"/>
      <c r="G56" s="191"/>
      <c r="H56" s="209"/>
      <c r="I56" s="210"/>
      <c r="J56" s="211"/>
      <c r="K56" s="203"/>
      <c r="L56" s="202"/>
      <c r="M56" s="201"/>
      <c r="N56" s="218"/>
    </row>
    <row r="57" spans="1:14" ht="13.5">
      <c r="A57" s="191"/>
      <c r="B57" s="192"/>
      <c r="C57" s="193"/>
      <c r="D57" s="201"/>
      <c r="E57" s="202"/>
      <c r="F57" s="201"/>
      <c r="G57" s="212"/>
      <c r="H57" s="209"/>
      <c r="I57" s="210"/>
      <c r="J57" s="211"/>
      <c r="K57" s="203"/>
      <c r="L57" s="202"/>
      <c r="M57" s="201"/>
      <c r="N57" s="218"/>
    </row>
    <row r="58" spans="1:14" ht="13.5">
      <c r="A58" s="191"/>
      <c r="B58" s="192"/>
      <c r="C58" s="193"/>
      <c r="D58" s="201"/>
      <c r="E58" s="202"/>
      <c r="F58" s="201"/>
      <c r="G58" s="191"/>
      <c r="H58" s="209"/>
      <c r="I58" s="210"/>
      <c r="J58" s="211"/>
      <c r="K58" s="203"/>
      <c r="L58" s="202"/>
      <c r="M58" s="201"/>
      <c r="N58" s="218"/>
    </row>
    <row r="61" ht="13.5">
      <c r="L61" s="204"/>
    </row>
  </sheetData>
  <sheetProtection/>
  <mergeCells count="2">
    <mergeCell ref="A55:C55"/>
    <mergeCell ref="A56:C56"/>
  </mergeCells>
  <printOptions/>
  <pageMargins left="0.75" right="0.75" top="1" bottom="1" header="0.5" footer="0.5"/>
  <pageSetup orientation="portrait" paperSize="9"/>
  <ignoredErrors>
    <ignoredError sqref="F55:G55 D55 E55 M55 L55 H55:K55 N55" emptyCellReference="1"/>
    <ignoredError sqref="B2"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2008-02-01T22:08:32Z</dcterms:modified>
  <cp:category/>
  <cp:version/>
  <cp:contentType/>
  <cp:contentStatus/>
</cp:coreProperties>
</file>