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315" windowWidth="15480" windowHeight="11640" tabRatio="804" activeTab="0"/>
  </bookViews>
  <sheets>
    <sheet name="Sep 07 - 09 (we 37)" sheetId="1" r:id="rId1"/>
    <sheet name="Sep 07 - 09 (TOP 20)" sheetId="2" r:id="rId2"/>
  </sheets>
  <definedNames>
    <definedName name="_xlnm.Print_Area" localSheetId="1">'Sep 07 - 09 (TOP 20)'!$A$1:$W$45</definedName>
    <definedName name="_xlnm.Print_Area" localSheetId="0">'Sep 07 - 09 (we 37)'!$A$1:$W$85</definedName>
  </definedNames>
  <calcPr fullCalcOnLoad="1"/>
</workbook>
</file>

<file path=xl/sharedStrings.xml><?xml version="1.0" encoding="utf-8"?>
<sst xmlns="http://schemas.openxmlformats.org/spreadsheetml/2006/main" count="302" uniqueCount="121">
  <si>
    <t>RISE: BLOOD HUNTER</t>
  </si>
  <si>
    <t>Last Weekend</t>
  </si>
  <si>
    <t>HARRY POTTER AND THE ORDER OF THE PHOENIX</t>
  </si>
  <si>
    <t>GEORGIA RULE</t>
  </si>
  <si>
    <t>Distributor</t>
  </si>
  <si>
    <t>Friday</t>
  </si>
  <si>
    <t>Saturday</t>
  </si>
  <si>
    <t>Sunday</t>
  </si>
  <si>
    <t>Change</t>
  </si>
  <si>
    <t>Adm.</t>
  </si>
  <si>
    <t>WB</t>
  </si>
  <si>
    <t>WARNER BROS.</t>
  </si>
  <si>
    <t>CHANTIER</t>
  </si>
  <si>
    <t>G.B.O.</t>
  </si>
  <si>
    <t>Release
Date</t>
  </si>
  <si>
    <t># of
Prints</t>
  </si>
  <si>
    <t># of
Screen</t>
  </si>
  <si>
    <t>Weeks in Release</t>
  </si>
  <si>
    <t>Weekend Total</t>
  </si>
  <si>
    <t>DIE HARD 4,0</t>
  </si>
  <si>
    <t>SHREK THE THIRD</t>
  </si>
  <si>
    <t>UIP</t>
  </si>
  <si>
    <t>BUENA VISTA</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</si>
  <si>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</si>
  <si>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</si>
  <si>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MUTLULUK</t>
  </si>
  <si>
    <t>KENDA</t>
  </si>
  <si>
    <t>FILMPOP</t>
  </si>
  <si>
    <t>CANDY</t>
  </si>
  <si>
    <t>MIRAMAX</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</si>
  <si>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</si>
  <si>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</si>
  <si>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</si>
  <si>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</si>
  <si>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</si>
  <si>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</si>
  <si>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</si>
  <si>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</si>
  <si>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TRANSFORMERS</t>
  </si>
  <si>
    <t>SATURNO CONTRO</t>
  </si>
  <si>
    <t>AFS</t>
  </si>
  <si>
    <t>Cumulative</t>
  </si>
  <si>
    <t>Scr.Avg.
(Adm.)</t>
  </si>
  <si>
    <t>Avg.
Ticket</t>
  </si>
  <si>
    <t>.</t>
  </si>
  <si>
    <t>*Sorted according to Weekend Total G.B.O. - Hafta sonu toplam hasılat sütununa göre sıralanmıştır.</t>
  </si>
  <si>
    <t>FOX</t>
  </si>
  <si>
    <t>COLUMBIA</t>
  </si>
  <si>
    <t>Company</t>
  </si>
  <si>
    <t>35 MILIM</t>
  </si>
  <si>
    <t>28 WEEKS LATER</t>
  </si>
  <si>
    <t>WHISPER</t>
  </si>
  <si>
    <t>HOT FUZZ</t>
  </si>
  <si>
    <t>ANS</t>
  </si>
  <si>
    <t>WEINSTEIN CO.</t>
  </si>
  <si>
    <t>TMNT</t>
  </si>
  <si>
    <t>AVSAR FILM</t>
  </si>
  <si>
    <t>WILD BUNCH</t>
  </si>
  <si>
    <t>UNIVERSAL</t>
  </si>
  <si>
    <t>BESTLINE</t>
  </si>
  <si>
    <t>FIDA</t>
  </si>
  <si>
    <t>VACANCY</t>
  </si>
  <si>
    <t>NEW FILMS</t>
  </si>
  <si>
    <t>SIMSONS MOVIE, THE</t>
  </si>
  <si>
    <t>BLACK SNAKE MOAN</t>
  </si>
  <si>
    <t>FRITT WILT</t>
  </si>
  <si>
    <t>OCEAN'S THIRTEEN</t>
  </si>
  <si>
    <t>GREAT RAID, THE</t>
  </si>
  <si>
    <t>SURF'S UP</t>
  </si>
  <si>
    <t>DISTURBIA</t>
  </si>
  <si>
    <t>IT'S A BOY GIRL THING</t>
  </si>
  <si>
    <t>ICON</t>
  </si>
  <si>
    <t>LA VIE EN ROSE</t>
  </si>
  <si>
    <t xml:space="preserve">QUAND J'ETAIS CHANTEUR </t>
  </si>
  <si>
    <t>FALL DOWN DEAD</t>
  </si>
  <si>
    <t>SPIDER-MAN 3</t>
  </si>
  <si>
    <t>TIGLON</t>
  </si>
  <si>
    <t>GRINDHOUSE</t>
  </si>
  <si>
    <t>EUROPA</t>
  </si>
  <si>
    <t>SHARK BAIT</t>
  </si>
  <si>
    <t xml:space="preserve">CARS </t>
  </si>
  <si>
    <t>EVAN ALMIGHTY!</t>
  </si>
  <si>
    <t>RATATOUILLE</t>
  </si>
  <si>
    <t>4: RISE OF THE SILVER SURFER</t>
  </si>
  <si>
    <t>I WANT CANDY</t>
  </si>
  <si>
    <t>EALING STUDIOS</t>
  </si>
  <si>
    <t>PIRATES OF THE CARIBBEAN: AT WORLD'S END</t>
  </si>
  <si>
    <t>INVISIBLE WAVES</t>
  </si>
  <si>
    <t>DESCENT, THE</t>
  </si>
  <si>
    <t>WAR</t>
  </si>
  <si>
    <t>MARSH, THE</t>
  </si>
  <si>
    <t>MASKELİ BEŞLER I.R.A.K</t>
  </si>
  <si>
    <t>HORS DE PRIX</t>
  </si>
  <si>
    <t>FOUNTAIN, THE</t>
  </si>
  <si>
    <t>MESSENGERS, THE</t>
  </si>
  <si>
    <t>MANDATE</t>
  </si>
  <si>
    <t>LAST MIMZY, THE</t>
  </si>
  <si>
    <t>NEW LINE</t>
  </si>
  <si>
    <t>Elimize ulaşan en son raporun saati: 17.03</t>
  </si>
  <si>
    <t>*Bu hafta sonu Umut Sanat, R Film ve Barbar Film'in dağıtımda filmi yoktur. Bir Film'in raporu ise elimize ulaşmamıştır.</t>
  </si>
  <si>
    <t>NO RESERVATIONS</t>
  </si>
  <si>
    <t>I NOW PRONOUNCE YOU CHUCK AND LARRY</t>
  </si>
  <si>
    <t>HOSTEL : PART II</t>
  </si>
  <si>
    <t>BRATZ</t>
  </si>
  <si>
    <t>OZEN - UMUT</t>
  </si>
  <si>
    <t>HAYATIMIN KADINISIN</t>
  </si>
  <si>
    <t>TMC</t>
  </si>
  <si>
    <t>SINAV</t>
  </si>
  <si>
    <t>ÇİNLİLER GELİYOR</t>
  </si>
  <si>
    <t>PERA</t>
  </si>
  <si>
    <t>ARZU - FIDA</t>
  </si>
  <si>
    <t>LITTLE MISS SUNSHINE</t>
  </si>
  <si>
    <t>UGLY DUCKLING AND ME, THE</t>
  </si>
  <si>
    <t>SON OSMANLI "YANDIM ALİ"</t>
  </si>
  <si>
    <t>ÖZEN</t>
  </si>
  <si>
    <t>DÜNYAYI KURTARAN ADAM'IN OĞLU</t>
  </si>
  <si>
    <t>HILLS HAVE EYES 2</t>
  </si>
  <si>
    <t>LADIES IN LAVENDER</t>
  </si>
  <si>
    <t>LAKESHORE</t>
  </si>
  <si>
    <t>KÜÇÜK KIYAMET</t>
  </si>
  <si>
    <t>LIMON</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</si>
</sst>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2">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0"/>
      <name val="Trebuchet MS"/>
      <family val="2"/>
    </font>
    <font>
      <b/>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hair"/>
      <right style="hair"/>
      <top>
        <color indexed="63"/>
      </top>
      <bottom style="hair"/>
    </border>
    <border>
      <left style="medium"/>
      <right style="hair"/>
      <top style="hair"/>
      <bottom style="hair"/>
    </border>
    <border>
      <left style="hair"/>
      <right style="hair"/>
      <top style="medium"/>
      <bottom style="hair"/>
    </border>
    <border>
      <left style="hair"/>
      <right style="medium"/>
      <top style="hair"/>
      <bottom style="hair"/>
    </border>
    <border>
      <left style="hair"/>
      <right style="hair"/>
      <top style="hair"/>
      <bottom style="medium"/>
    </border>
    <border>
      <left style="hair"/>
      <right style="medium"/>
      <top>
        <color indexed="63"/>
      </top>
      <bottom style="hair"/>
    </border>
    <border>
      <left style="hair"/>
      <right style="hair"/>
      <top style="hair"/>
      <bottom style="thin"/>
    </border>
    <border>
      <left style="medium"/>
      <right style="hair"/>
      <top style="medium"/>
      <bottom style="hair"/>
    </border>
    <border>
      <left style="hair"/>
      <right style="medium"/>
      <top style="medium"/>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medium"/>
      <right style="hair"/>
      <top style="hair"/>
      <bottom style="thin"/>
    </border>
    <border>
      <left style="hair"/>
      <right style="medium"/>
      <top style="hair"/>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58">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1"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20" fillId="0" borderId="11" xfId="0" applyFont="1" applyFill="1" applyBorder="1" applyAlignment="1" applyProtection="1">
      <alignment horizontal="right" vertical="center"/>
      <protection/>
    </xf>
    <xf numFmtId="0" fontId="20" fillId="0" borderId="12" xfId="0" applyFont="1" applyFill="1" applyBorder="1" applyAlignment="1" applyProtection="1">
      <alignment horizontal="right" vertical="center"/>
      <protection/>
    </xf>
    <xf numFmtId="0" fontId="20" fillId="0" borderId="13" xfId="0"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4" xfId="0" applyFont="1" applyBorder="1" applyAlignment="1" applyProtection="1">
      <alignment horizontal="center" vertical="center"/>
      <protection/>
    </xf>
    <xf numFmtId="0" fontId="17" fillId="0" borderId="15" xfId="0" applyFont="1" applyBorder="1" applyAlignment="1" applyProtection="1">
      <alignment horizontal="center" wrapText="1"/>
      <protection/>
    </xf>
    <xf numFmtId="193" fontId="17" fillId="0" borderId="15" xfId="0" applyNumberFormat="1" applyFont="1" applyFill="1" applyBorder="1" applyAlignment="1" applyProtection="1">
      <alignment horizontal="center" wrapText="1"/>
      <protection/>
    </xf>
    <xf numFmtId="188" fontId="17" fillId="0" borderId="15" xfId="0" applyNumberFormat="1" applyFont="1" applyBorder="1" applyAlignment="1" applyProtection="1">
      <alignment horizontal="center" wrapText="1"/>
      <protection/>
    </xf>
    <xf numFmtId="193" fontId="17" fillId="0" borderId="16"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190" fontId="7" fillId="0" borderId="0" xfId="0" applyNumberFormat="1" applyFont="1" applyBorder="1" applyAlignment="1" applyProtection="1">
      <alignment horizontal="center" vertical="center"/>
      <protection locked="0"/>
    </xf>
    <xf numFmtId="190" fontId="7" fillId="0" borderId="0" xfId="0" applyNumberFormat="1" applyFont="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3" fontId="22" fillId="33" borderId="18" xfId="0" applyNumberFormat="1"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193" fontId="22" fillId="33" borderId="18" xfId="0" applyNumberFormat="1" applyFont="1" applyFill="1" applyBorder="1" applyAlignment="1" applyProtection="1">
      <alignment horizontal="center" vertical="center"/>
      <protection/>
    </xf>
    <xf numFmtId="192" fontId="22" fillId="33" borderId="18" xfId="60" applyNumberFormat="1" applyFont="1" applyFill="1" applyBorder="1" applyAlignment="1" applyProtection="1">
      <alignment horizontal="center" vertical="center"/>
      <protection/>
    </xf>
    <xf numFmtId="193" fontId="22" fillId="33" borderId="19" xfId="0" applyNumberFormat="1" applyFont="1" applyFill="1" applyBorder="1" applyAlignment="1" applyProtection="1">
      <alignment horizontal="center" vertical="center"/>
      <protection/>
    </xf>
    <xf numFmtId="0" fontId="22" fillId="33" borderId="20" xfId="0" applyFont="1" applyFill="1" applyBorder="1" applyAlignment="1" applyProtection="1">
      <alignment horizontal="center" vertical="center"/>
      <protection/>
    </xf>
    <xf numFmtId="171"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5" xfId="0" applyNumberFormat="1" applyFont="1" applyBorder="1" applyAlignment="1" applyProtection="1">
      <alignment horizontal="center" wrapText="1"/>
      <protection/>
    </xf>
    <xf numFmtId="191" fontId="22" fillId="33" borderId="18" xfId="0" applyNumberFormat="1" applyFont="1" applyFill="1" applyBorder="1" applyAlignment="1" applyProtection="1">
      <alignment horizontal="center" vertical="center"/>
      <protection/>
    </xf>
    <xf numFmtId="191" fontId="13" fillId="0" borderId="0" xfId="0" applyNumberFormat="1" applyFont="1" applyFill="1" applyBorder="1" applyAlignment="1" applyProtection="1">
      <alignment vertical="center"/>
      <protection/>
    </xf>
    <xf numFmtId="191" fontId="7" fillId="0" borderId="0" xfId="0" applyNumberFormat="1" applyFont="1" applyBorder="1" applyAlignment="1" applyProtection="1">
      <alignment vertical="center"/>
      <protection locked="0"/>
    </xf>
    <xf numFmtId="191" fontId="7" fillId="0" borderId="0" xfId="0" applyNumberFormat="1" applyFont="1" applyAlignment="1" applyProtection="1">
      <alignment vertical="center"/>
      <protection locked="0"/>
    </xf>
    <xf numFmtId="191" fontId="4" fillId="0" borderId="0" xfId="0" applyNumberFormat="1" applyFont="1" applyFill="1" applyBorder="1" applyAlignment="1" applyProtection="1">
      <alignment horizontal="right" vertical="center"/>
      <protection/>
    </xf>
    <xf numFmtId="191" fontId="17" fillId="0" borderId="15"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91" fontId="7" fillId="0" borderId="0" xfId="0" applyNumberFormat="1" applyFont="1" applyAlignment="1" applyProtection="1">
      <alignment horizontal="right" vertical="center"/>
      <protection locked="0"/>
    </xf>
    <xf numFmtId="188" fontId="22" fillId="33" borderId="18" xfId="0" applyNumberFormat="1" applyFont="1" applyFill="1" applyBorder="1" applyAlignment="1" applyProtection="1">
      <alignment horizontal="right" vertical="center"/>
      <protection/>
    </xf>
    <xf numFmtId="188" fontId="7" fillId="0" borderId="0" xfId="0" applyNumberFormat="1" applyFont="1" applyBorder="1" applyAlignment="1" applyProtection="1">
      <alignment horizontal="right" vertical="center"/>
      <protection locked="0"/>
    </xf>
    <xf numFmtId="188" fontId="7" fillId="0" borderId="0" xfId="0" applyNumberFormat="1" applyFont="1" applyAlignment="1" applyProtection="1">
      <alignment horizontal="right" vertical="center"/>
      <protection locked="0"/>
    </xf>
    <xf numFmtId="188" fontId="4" fillId="0" borderId="0" xfId="0" applyNumberFormat="1" applyFont="1" applyFill="1" applyBorder="1" applyAlignment="1" applyProtection="1">
      <alignment horizontal="right" vertical="center"/>
      <protection locked="0"/>
    </xf>
    <xf numFmtId="188" fontId="17" fillId="0" borderId="15"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3" fontId="22" fillId="33" borderId="21" xfId="0" applyNumberFormat="1" applyFont="1" applyFill="1" applyBorder="1" applyAlignment="1" applyProtection="1">
      <alignment horizontal="center" vertical="center"/>
      <protection/>
    </xf>
    <xf numFmtId="0" fontId="22" fillId="33" borderId="21" xfId="0" applyFont="1" applyFill="1" applyBorder="1" applyAlignment="1" applyProtection="1">
      <alignment horizontal="center" vertical="center"/>
      <protection/>
    </xf>
    <xf numFmtId="185" fontId="22" fillId="33" borderId="21" xfId="0" applyNumberFormat="1" applyFont="1" applyFill="1" applyBorder="1" applyAlignment="1" applyProtection="1">
      <alignment horizontal="center" vertical="center"/>
      <protection/>
    </xf>
    <xf numFmtId="188" fontId="22" fillId="33" borderId="21" xfId="0" applyNumberFormat="1" applyFont="1" applyFill="1" applyBorder="1" applyAlignment="1" applyProtection="1">
      <alignment horizontal="center" vertical="center"/>
      <protection/>
    </xf>
    <xf numFmtId="193" fontId="22" fillId="33" borderId="21" xfId="0" applyNumberFormat="1" applyFont="1" applyFill="1" applyBorder="1" applyAlignment="1" applyProtection="1">
      <alignment horizontal="center" vertical="center"/>
      <protection/>
    </xf>
    <xf numFmtId="192" fontId="22" fillId="33" borderId="21" xfId="6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5" xfId="0" applyNumberFormat="1" applyFont="1" applyBorder="1" applyAlignment="1" applyProtection="1">
      <alignment horizontal="center" vertical="center" wrapText="1"/>
      <protection/>
    </xf>
    <xf numFmtId="188" fontId="17" fillId="0" borderId="15" xfId="0" applyNumberFormat="1" applyFont="1" applyBorder="1" applyAlignment="1" applyProtection="1">
      <alignment horizontal="center" vertical="center" wrapText="1"/>
      <protection/>
    </xf>
    <xf numFmtId="191" fontId="17" fillId="0" borderId="15" xfId="0" applyNumberFormat="1" applyFont="1" applyFill="1" applyBorder="1" applyAlignment="1" applyProtection="1">
      <alignment horizontal="center" vertical="center" wrapText="1"/>
      <protection/>
    </xf>
    <xf numFmtId="188" fontId="17" fillId="0" borderId="15"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193" fontId="17" fillId="0" borderId="16" xfId="0" applyNumberFormat="1" applyFont="1" applyFill="1" applyBorder="1" applyAlignment="1" applyProtection="1">
      <alignment horizontal="center" vertical="center" wrapText="1"/>
      <protection/>
    </xf>
    <xf numFmtId="190" fontId="26" fillId="0" borderId="17" xfId="0" applyNumberFormat="1" applyFont="1" applyFill="1" applyBorder="1" applyAlignment="1" applyProtection="1">
      <alignment horizontal="center" vertical="center"/>
      <protection locked="0"/>
    </xf>
    <xf numFmtId="190" fontId="26" fillId="0" borderId="17" xfId="0" applyNumberFormat="1" applyFont="1" applyFill="1" applyBorder="1" applyAlignment="1">
      <alignment horizontal="center" vertical="center"/>
    </xf>
    <xf numFmtId="0" fontId="26" fillId="0" borderId="17" xfId="0" applyNumberFormat="1" applyFont="1" applyFill="1" applyBorder="1" applyAlignment="1" applyProtection="1">
      <alignment horizontal="center" vertical="center"/>
      <protection locked="0"/>
    </xf>
    <xf numFmtId="0" fontId="26" fillId="0" borderId="17" xfId="0" applyNumberFormat="1" applyFont="1" applyFill="1" applyBorder="1" applyAlignment="1">
      <alignment horizontal="center" vertical="center"/>
    </xf>
    <xf numFmtId="190" fontId="26" fillId="0" borderId="17" xfId="57" applyNumberFormat="1" applyFont="1" applyFill="1" applyBorder="1" applyAlignment="1" applyProtection="1">
      <alignment horizontal="center" vertical="center"/>
      <protection/>
    </xf>
    <xf numFmtId="0" fontId="26" fillId="0" borderId="17" xfId="57" applyNumberFormat="1" applyFont="1" applyFill="1" applyBorder="1" applyAlignment="1" applyProtection="1">
      <alignment horizontal="center" vertical="center"/>
      <protection/>
    </xf>
    <xf numFmtId="0" fontId="26" fillId="0" borderId="22" xfId="0" applyNumberFormat="1" applyFont="1" applyFill="1" applyBorder="1" applyAlignment="1" applyProtection="1">
      <alignment horizontal="left" vertical="center"/>
      <protection locked="0"/>
    </xf>
    <xf numFmtId="0" fontId="26" fillId="0" borderId="22" xfId="0" applyNumberFormat="1" applyFont="1" applyFill="1" applyBorder="1" applyAlignment="1">
      <alignment horizontal="left" vertical="center"/>
    </xf>
    <xf numFmtId="190" fontId="26" fillId="0" borderId="17" xfId="0" applyNumberFormat="1" applyFont="1" applyFill="1" applyBorder="1" applyAlignment="1" applyProtection="1">
      <alignment horizontal="center" vertical="center"/>
      <protection/>
    </xf>
    <xf numFmtId="0" fontId="26" fillId="0" borderId="17" xfId="0" applyNumberFormat="1" applyFont="1" applyFill="1" applyBorder="1" applyAlignment="1">
      <alignment horizontal="left" vertical="center"/>
    </xf>
    <xf numFmtId="185" fontId="26" fillId="0" borderId="17" xfId="42" applyNumberFormat="1" applyFont="1" applyFill="1" applyBorder="1" applyAlignment="1">
      <alignment vertical="center"/>
    </xf>
    <xf numFmtId="196" fontId="26" fillId="0" borderId="17" xfId="42" applyNumberFormat="1" applyFont="1" applyFill="1" applyBorder="1" applyAlignment="1">
      <alignment vertical="center"/>
    </xf>
    <xf numFmtId="185" fontId="27" fillId="0" borderId="17" xfId="42" applyNumberFormat="1" applyFont="1" applyFill="1" applyBorder="1" applyAlignment="1">
      <alignment vertical="center"/>
    </xf>
    <xf numFmtId="196" fontId="27" fillId="0" borderId="17" xfId="42" applyNumberFormat="1" applyFont="1" applyFill="1" applyBorder="1" applyAlignment="1">
      <alignment vertical="center"/>
    </xf>
    <xf numFmtId="193" fontId="26" fillId="0" borderId="17" xfId="42" applyNumberFormat="1" applyFont="1" applyFill="1" applyBorder="1" applyAlignment="1">
      <alignment vertical="center"/>
    </xf>
    <xf numFmtId="192" fontId="26" fillId="0" borderId="17" xfId="60" applyNumberFormat="1" applyFont="1" applyFill="1" applyBorder="1" applyAlignment="1" applyProtection="1">
      <alignment vertical="center"/>
      <protection/>
    </xf>
    <xf numFmtId="0" fontId="26" fillId="0" borderId="17" xfId="0" applyNumberFormat="1" applyFont="1" applyFill="1" applyBorder="1" applyAlignment="1" applyProtection="1">
      <alignment horizontal="left" vertical="center"/>
      <protection locked="0"/>
    </xf>
    <xf numFmtId="185" fontId="26" fillId="0" borderId="17" xfId="42" applyNumberFormat="1" applyFont="1" applyFill="1" applyBorder="1" applyAlignment="1" applyProtection="1">
      <alignment vertical="center"/>
      <protection locked="0"/>
    </xf>
    <xf numFmtId="196" fontId="26" fillId="0" borderId="17" xfId="42" applyNumberFormat="1" applyFont="1" applyFill="1" applyBorder="1" applyAlignment="1" applyProtection="1">
      <alignment vertical="center"/>
      <protection locked="0"/>
    </xf>
    <xf numFmtId="185" fontId="27" fillId="0" borderId="17" xfId="42" applyNumberFormat="1" applyFont="1" applyFill="1" applyBorder="1" applyAlignment="1" applyProtection="1">
      <alignment vertical="center"/>
      <protection/>
    </xf>
    <xf numFmtId="196" fontId="27" fillId="0" borderId="17" xfId="42" applyNumberFormat="1" applyFont="1" applyFill="1" applyBorder="1" applyAlignment="1" applyProtection="1">
      <alignment vertical="center"/>
      <protection/>
    </xf>
    <xf numFmtId="196" fontId="26" fillId="0" borderId="17" xfId="60" applyNumberFormat="1" applyFont="1" applyFill="1" applyBorder="1" applyAlignment="1" applyProtection="1">
      <alignment vertical="center"/>
      <protection/>
    </xf>
    <xf numFmtId="193" fontId="26" fillId="0" borderId="17" xfId="60" applyNumberFormat="1" applyFont="1" applyFill="1" applyBorder="1" applyAlignment="1" applyProtection="1">
      <alignment vertical="center"/>
      <protection/>
    </xf>
    <xf numFmtId="185" fontId="26" fillId="0" borderId="17" xfId="0" applyNumberFormat="1" applyFont="1" applyFill="1" applyBorder="1" applyAlignment="1">
      <alignment vertical="center"/>
    </xf>
    <xf numFmtId="196" fontId="26" fillId="0" borderId="17" xfId="0" applyNumberFormat="1" applyFont="1" applyFill="1" applyBorder="1" applyAlignment="1">
      <alignment vertical="center"/>
    </xf>
    <xf numFmtId="185" fontId="26" fillId="0" borderId="17" xfId="42" applyNumberFormat="1" applyFont="1" applyFill="1" applyBorder="1" applyAlignment="1" applyProtection="1">
      <alignment vertical="center"/>
      <protection/>
    </xf>
    <xf numFmtId="185" fontId="26" fillId="0" borderId="17" xfId="57" applyNumberFormat="1" applyFont="1" applyFill="1" applyBorder="1" applyAlignment="1" applyProtection="1">
      <alignment vertical="center"/>
      <protection/>
    </xf>
    <xf numFmtId="196" fontId="26" fillId="0" borderId="17" xfId="57" applyNumberFormat="1" applyFont="1" applyFill="1" applyBorder="1" applyAlignment="1" applyProtection="1">
      <alignment vertical="center"/>
      <protection/>
    </xf>
    <xf numFmtId="185" fontId="27" fillId="0" borderId="17" xfId="57" applyNumberFormat="1" applyFont="1" applyFill="1" applyBorder="1" applyAlignment="1" applyProtection="1">
      <alignment vertical="center"/>
      <protection/>
    </xf>
    <xf numFmtId="196" fontId="27" fillId="0" borderId="17" xfId="57" applyNumberFormat="1" applyFont="1" applyFill="1" applyBorder="1" applyAlignment="1" applyProtection="1">
      <alignment vertical="center"/>
      <protection/>
    </xf>
    <xf numFmtId="185" fontId="26" fillId="0" borderId="17" xfId="0" applyNumberFormat="1" applyFont="1" applyFill="1" applyBorder="1" applyAlignment="1" applyProtection="1">
      <alignment vertical="center"/>
      <protection/>
    </xf>
    <xf numFmtId="196" fontId="26" fillId="0" borderId="17" xfId="0" applyNumberFormat="1" applyFont="1" applyFill="1" applyBorder="1" applyAlignment="1" applyProtection="1">
      <alignment vertical="center"/>
      <protection/>
    </xf>
    <xf numFmtId="185" fontId="27" fillId="0" borderId="17" xfId="0" applyNumberFormat="1" applyFont="1" applyFill="1" applyBorder="1" applyAlignment="1" applyProtection="1">
      <alignment vertical="center"/>
      <protection/>
    </xf>
    <xf numFmtId="196" fontId="27" fillId="0" borderId="17" xfId="0" applyNumberFormat="1" applyFont="1" applyFill="1" applyBorder="1" applyAlignment="1" applyProtection="1">
      <alignment vertical="center"/>
      <protection/>
    </xf>
    <xf numFmtId="193" fontId="26" fillId="0" borderId="17" xfId="0" applyNumberFormat="1" applyFont="1" applyFill="1" applyBorder="1" applyAlignment="1" applyProtection="1">
      <alignment vertical="center"/>
      <protection/>
    </xf>
    <xf numFmtId="192" fontId="26" fillId="0" borderId="23" xfId="60" applyNumberFormat="1" applyFont="1" applyFill="1" applyBorder="1" applyAlignment="1" applyProtection="1">
      <alignment vertical="center"/>
      <protection/>
    </xf>
    <xf numFmtId="193" fontId="26" fillId="0" borderId="24" xfId="42" applyNumberFormat="1" applyFont="1" applyFill="1" applyBorder="1" applyAlignment="1" applyProtection="1">
      <alignment vertical="center"/>
      <protection locked="0"/>
    </xf>
    <xf numFmtId="193" fontId="26" fillId="0" borderId="24" xfId="0" applyNumberFormat="1" applyFont="1" applyFill="1" applyBorder="1" applyAlignment="1">
      <alignment vertical="center"/>
    </xf>
    <xf numFmtId="193" fontId="26" fillId="0" borderId="24" xfId="42" applyNumberFormat="1" applyFont="1" applyFill="1" applyBorder="1" applyAlignment="1">
      <alignment vertical="center"/>
    </xf>
    <xf numFmtId="193" fontId="26" fillId="0" borderId="24" xfId="60" applyNumberFormat="1" applyFont="1" applyFill="1" applyBorder="1" applyAlignment="1" applyProtection="1">
      <alignment vertical="center"/>
      <protection/>
    </xf>
    <xf numFmtId="193" fontId="26" fillId="0" borderId="24" xfId="57" applyNumberFormat="1" applyFont="1" applyFill="1" applyBorder="1" applyAlignment="1" applyProtection="1">
      <alignment vertical="center"/>
      <protection/>
    </xf>
    <xf numFmtId="193" fontId="26" fillId="0" borderId="24" xfId="0" applyNumberFormat="1" applyFont="1" applyFill="1" applyBorder="1" applyAlignment="1" applyProtection="1">
      <alignment vertical="center"/>
      <protection/>
    </xf>
    <xf numFmtId="196" fontId="26" fillId="0" borderId="25" xfId="60" applyNumberFormat="1" applyFont="1" applyFill="1" applyBorder="1" applyAlignment="1" applyProtection="1">
      <alignment vertical="center"/>
      <protection/>
    </xf>
    <xf numFmtId="193" fontId="26" fillId="0" borderId="25" xfId="60" applyNumberFormat="1" applyFont="1" applyFill="1" applyBorder="1" applyAlignment="1" applyProtection="1">
      <alignment vertical="center"/>
      <protection/>
    </xf>
    <xf numFmtId="192" fontId="26" fillId="0" borderId="25" xfId="60" applyNumberFormat="1" applyFont="1" applyFill="1" applyBorder="1" applyAlignment="1" applyProtection="1">
      <alignment vertical="center"/>
      <protection/>
    </xf>
    <xf numFmtId="190" fontId="26" fillId="0" borderId="21" xfId="0" applyNumberFormat="1" applyFont="1" applyFill="1" applyBorder="1" applyAlignment="1" applyProtection="1">
      <alignment horizontal="center" vertical="center"/>
      <protection locked="0"/>
    </xf>
    <xf numFmtId="185" fontId="26" fillId="0" borderId="21" xfId="42" applyNumberFormat="1" applyFont="1" applyFill="1" applyBorder="1" applyAlignment="1" applyProtection="1">
      <alignment vertical="center"/>
      <protection locked="0"/>
    </xf>
    <xf numFmtId="196" fontId="26" fillId="0" borderId="21" xfId="42" applyNumberFormat="1" applyFont="1" applyFill="1" applyBorder="1" applyAlignment="1" applyProtection="1">
      <alignment vertical="center"/>
      <protection locked="0"/>
    </xf>
    <xf numFmtId="185" fontId="27" fillId="0" borderId="21" xfId="42" applyNumberFormat="1" applyFont="1" applyFill="1" applyBorder="1" applyAlignment="1" applyProtection="1">
      <alignment vertical="center"/>
      <protection/>
    </xf>
    <xf numFmtId="196" fontId="27" fillId="0" borderId="21" xfId="42" applyNumberFormat="1" applyFont="1" applyFill="1" applyBorder="1" applyAlignment="1" applyProtection="1">
      <alignment vertical="center"/>
      <protection/>
    </xf>
    <xf numFmtId="196" fontId="26" fillId="0" borderId="21" xfId="60" applyNumberFormat="1" applyFont="1" applyFill="1" applyBorder="1" applyAlignment="1" applyProtection="1">
      <alignment vertical="center"/>
      <protection/>
    </xf>
    <xf numFmtId="193" fontId="26" fillId="0" borderId="21" xfId="60" applyNumberFormat="1" applyFont="1" applyFill="1" applyBorder="1" applyAlignment="1" applyProtection="1">
      <alignment vertical="center"/>
      <protection/>
    </xf>
    <xf numFmtId="192" fontId="26" fillId="0" borderId="21" xfId="60" applyNumberFormat="1" applyFont="1" applyFill="1" applyBorder="1" applyAlignment="1" applyProtection="1">
      <alignment vertical="center"/>
      <protection/>
    </xf>
    <xf numFmtId="193" fontId="26" fillId="0" borderId="26" xfId="42" applyNumberFormat="1" applyFont="1" applyFill="1" applyBorder="1" applyAlignment="1" applyProtection="1">
      <alignment vertical="center"/>
      <protection locked="0"/>
    </xf>
    <xf numFmtId="196" fontId="26" fillId="0" borderId="27" xfId="60" applyNumberFormat="1" applyFont="1" applyFill="1" applyBorder="1" applyAlignment="1" applyProtection="1">
      <alignment vertical="center"/>
      <protection/>
    </xf>
    <xf numFmtId="193" fontId="26" fillId="0" borderId="27" xfId="60" applyNumberFormat="1" applyFont="1" applyFill="1" applyBorder="1" applyAlignment="1" applyProtection="1">
      <alignment vertical="center"/>
      <protection/>
    </xf>
    <xf numFmtId="192" fontId="26" fillId="0" borderId="27" xfId="60" applyNumberFormat="1" applyFont="1" applyFill="1" applyBorder="1" applyAlignment="1" applyProtection="1">
      <alignment vertical="center"/>
      <protection/>
    </xf>
    <xf numFmtId="0" fontId="26" fillId="0" borderId="17" xfId="0" applyFont="1" applyFill="1" applyBorder="1" applyAlignment="1" applyProtection="1">
      <alignment horizontal="left" vertical="center"/>
      <protection locked="0"/>
    </xf>
    <xf numFmtId="190" fontId="26" fillId="0" borderId="17" xfId="0" applyNumberFormat="1" applyFont="1" applyFill="1" applyBorder="1" applyAlignment="1" applyProtection="1">
      <alignment horizontal="left" vertical="center"/>
      <protection locked="0"/>
    </xf>
    <xf numFmtId="0" fontId="26" fillId="0" borderId="17" xfId="0" applyFont="1" applyFill="1" applyBorder="1" applyAlignment="1" applyProtection="1">
      <alignment horizontal="center" vertical="center"/>
      <protection locked="0"/>
    </xf>
    <xf numFmtId="0" fontId="26" fillId="0" borderId="17" xfId="0" applyFont="1" applyFill="1" applyBorder="1" applyAlignment="1">
      <alignment horizontal="left" vertical="center"/>
    </xf>
    <xf numFmtId="0" fontId="26" fillId="0" borderId="17" xfId="0" applyFont="1" applyFill="1" applyBorder="1" applyAlignment="1">
      <alignment horizontal="center" vertical="center"/>
    </xf>
    <xf numFmtId="0" fontId="26" fillId="0" borderId="17" xfId="57" applyFont="1" applyFill="1" applyBorder="1" applyAlignment="1" applyProtection="1">
      <alignment horizontal="left" vertical="center"/>
      <protection/>
    </xf>
    <xf numFmtId="0" fontId="26" fillId="0" borderId="17" xfId="57" applyFont="1" applyFill="1" applyBorder="1" applyAlignment="1" applyProtection="1">
      <alignment horizontal="center" vertical="center"/>
      <protection/>
    </xf>
    <xf numFmtId="0" fontId="26" fillId="0" borderId="17" xfId="0" applyFont="1" applyFill="1" applyBorder="1" applyAlignment="1" applyProtection="1">
      <alignment horizontal="left" vertical="center"/>
      <protection/>
    </xf>
    <xf numFmtId="0" fontId="26" fillId="0" borderId="17" xfId="0" applyFont="1" applyFill="1" applyBorder="1" applyAlignment="1" applyProtection="1">
      <alignment horizontal="center" vertical="center"/>
      <protection/>
    </xf>
    <xf numFmtId="190" fontId="26" fillId="0" borderId="17" xfId="0" applyNumberFormat="1" applyFont="1" applyFill="1" applyBorder="1" applyAlignment="1">
      <alignment horizontal="left" vertical="center"/>
    </xf>
    <xf numFmtId="192" fontId="26" fillId="0" borderId="17" xfId="0" applyNumberFormat="1" applyFont="1" applyFill="1" applyBorder="1" applyAlignment="1" applyProtection="1">
      <alignment vertical="center"/>
      <protection/>
    </xf>
    <xf numFmtId="0" fontId="26" fillId="0" borderId="28" xfId="0" applyFont="1" applyFill="1" applyBorder="1" applyAlignment="1" applyProtection="1">
      <alignment horizontal="left" vertical="center"/>
      <protection locked="0"/>
    </xf>
    <xf numFmtId="190" fontId="26" fillId="0" borderId="23" xfId="0" applyNumberFormat="1" applyFont="1" applyFill="1" applyBorder="1" applyAlignment="1" applyProtection="1">
      <alignment horizontal="center" vertical="center"/>
      <protection locked="0"/>
    </xf>
    <xf numFmtId="190" fontId="26" fillId="0" borderId="23" xfId="0" applyNumberFormat="1"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26" fillId="0" borderId="23" xfId="0" applyFont="1" applyFill="1" applyBorder="1" applyAlignment="1" applyProtection="1">
      <alignment horizontal="center" vertical="center"/>
      <protection locked="0"/>
    </xf>
    <xf numFmtId="185" fontId="26" fillId="0" borderId="23" xfId="42" applyNumberFormat="1" applyFont="1" applyFill="1" applyBorder="1" applyAlignment="1" applyProtection="1">
      <alignment vertical="center"/>
      <protection locked="0"/>
    </xf>
    <xf numFmtId="196" fontId="26" fillId="0" borderId="23" xfId="42" applyNumberFormat="1" applyFont="1" applyFill="1" applyBorder="1" applyAlignment="1" applyProtection="1">
      <alignment vertical="center"/>
      <protection locked="0"/>
    </xf>
    <xf numFmtId="185" fontId="27" fillId="0" borderId="23" xfId="42" applyNumberFormat="1" applyFont="1" applyFill="1" applyBorder="1" applyAlignment="1" applyProtection="1">
      <alignment vertical="center"/>
      <protection/>
    </xf>
    <xf numFmtId="196" fontId="27" fillId="0" borderId="23" xfId="42" applyNumberFormat="1" applyFont="1" applyFill="1" applyBorder="1" applyAlignment="1" applyProtection="1">
      <alignment vertical="center"/>
      <protection/>
    </xf>
    <xf numFmtId="196" fontId="26" fillId="0" borderId="23" xfId="60" applyNumberFormat="1" applyFont="1" applyFill="1" applyBorder="1" applyAlignment="1" applyProtection="1">
      <alignment vertical="center"/>
      <protection/>
    </xf>
    <xf numFmtId="193" fontId="26" fillId="0" borderId="23" xfId="60" applyNumberFormat="1" applyFont="1" applyFill="1" applyBorder="1" applyAlignment="1" applyProtection="1">
      <alignment vertical="center"/>
      <protection/>
    </xf>
    <xf numFmtId="193" fontId="26" fillId="0" borderId="29" xfId="42" applyNumberFormat="1" applyFont="1" applyFill="1" applyBorder="1" applyAlignment="1" applyProtection="1">
      <alignment vertical="center"/>
      <protection locked="0"/>
    </xf>
    <xf numFmtId="0" fontId="26" fillId="0" borderId="22" xfId="0" applyFont="1" applyFill="1" applyBorder="1" applyAlignment="1">
      <alignment horizontal="left" vertical="center"/>
    </xf>
    <xf numFmtId="0" fontId="26" fillId="0" borderId="22" xfId="0" applyFont="1" applyFill="1" applyBorder="1" applyAlignment="1" applyProtection="1">
      <alignment horizontal="left" vertical="center"/>
      <protection locked="0"/>
    </xf>
    <xf numFmtId="0" fontId="26" fillId="0" borderId="22" xfId="57" applyFont="1" applyFill="1" applyBorder="1" applyAlignment="1" applyProtection="1">
      <alignment horizontal="left" vertical="center"/>
      <protection/>
    </xf>
    <xf numFmtId="0" fontId="26" fillId="0" borderId="30" xfId="0" applyFont="1" applyFill="1" applyBorder="1" applyAlignment="1">
      <alignment horizontal="left" vertical="center"/>
    </xf>
    <xf numFmtId="190" fontId="26" fillId="0" borderId="25" xfId="0" applyNumberFormat="1" applyFont="1" applyFill="1" applyBorder="1" applyAlignment="1">
      <alignment horizontal="center" vertical="center"/>
    </xf>
    <xf numFmtId="0" fontId="26" fillId="0" borderId="25" xfId="0" applyFont="1" applyFill="1" applyBorder="1" applyAlignment="1">
      <alignment horizontal="left" vertical="center"/>
    </xf>
    <xf numFmtId="0" fontId="26" fillId="0" borderId="25" xfId="0" applyFont="1" applyFill="1" applyBorder="1" applyAlignment="1">
      <alignment horizontal="center" vertical="center"/>
    </xf>
    <xf numFmtId="185" fontId="26" fillId="0" borderId="25" xfId="42" applyNumberFormat="1" applyFont="1" applyFill="1" applyBorder="1" applyAlignment="1">
      <alignment vertical="center"/>
    </xf>
    <xf numFmtId="196" fontId="26" fillId="0" borderId="25" xfId="42" applyNumberFormat="1" applyFont="1" applyFill="1" applyBorder="1" applyAlignment="1">
      <alignment vertical="center"/>
    </xf>
    <xf numFmtId="185" fontId="27" fillId="0" borderId="25" xfId="42" applyNumberFormat="1" applyFont="1" applyFill="1" applyBorder="1" applyAlignment="1">
      <alignment vertical="center"/>
    </xf>
    <xf numFmtId="196" fontId="27" fillId="0" borderId="25" xfId="42" applyNumberFormat="1" applyFont="1" applyFill="1" applyBorder="1" applyAlignment="1">
      <alignment vertical="center"/>
    </xf>
    <xf numFmtId="193" fontId="26" fillId="0" borderId="31" xfId="42" applyNumberFormat="1" applyFont="1" applyFill="1" applyBorder="1" applyAlignment="1">
      <alignment vertical="center"/>
    </xf>
    <xf numFmtId="0" fontId="26" fillId="0" borderId="32" xfId="0" applyFont="1" applyFill="1" applyBorder="1" applyAlignment="1" applyProtection="1">
      <alignment horizontal="left" vertical="center"/>
      <protection locked="0"/>
    </xf>
    <xf numFmtId="190" fontId="26" fillId="0" borderId="21" xfId="0" applyNumberFormat="1" applyFont="1" applyFill="1" applyBorder="1" applyAlignment="1" applyProtection="1">
      <alignment horizontal="left" vertical="center"/>
      <protection locked="0"/>
    </xf>
    <xf numFmtId="0" fontId="26" fillId="0" borderId="21" xfId="0" applyFont="1" applyFill="1" applyBorder="1" applyAlignment="1" applyProtection="1">
      <alignment horizontal="left" vertical="center"/>
      <protection locked="0"/>
    </xf>
    <xf numFmtId="0" fontId="26" fillId="0" borderId="21" xfId="0" applyFont="1" applyFill="1" applyBorder="1" applyAlignment="1" applyProtection="1">
      <alignment horizontal="center" vertical="center"/>
      <protection locked="0"/>
    </xf>
    <xf numFmtId="0" fontId="26" fillId="0" borderId="33" xfId="0" applyFont="1" applyFill="1" applyBorder="1" applyAlignment="1">
      <alignment horizontal="left" vertical="center"/>
    </xf>
    <xf numFmtId="190" fontId="26" fillId="0" borderId="27" xfId="0" applyNumberFormat="1" applyFont="1" applyFill="1" applyBorder="1" applyAlignment="1">
      <alignment horizontal="center" vertical="center"/>
    </xf>
    <xf numFmtId="0" fontId="26" fillId="0" borderId="27" xfId="0" applyFont="1" applyFill="1" applyBorder="1" applyAlignment="1">
      <alignment horizontal="left" vertical="center"/>
    </xf>
    <xf numFmtId="0" fontId="26" fillId="0" borderId="27" xfId="0" applyFont="1" applyFill="1" applyBorder="1" applyAlignment="1">
      <alignment horizontal="center" vertical="center"/>
    </xf>
    <xf numFmtId="185" fontId="26" fillId="0" borderId="27" xfId="42" applyNumberFormat="1" applyFont="1" applyFill="1" applyBorder="1" applyAlignment="1">
      <alignment vertical="center"/>
    </xf>
    <xf numFmtId="196" fontId="26" fillId="0" borderId="27" xfId="42" applyNumberFormat="1" applyFont="1" applyFill="1" applyBorder="1" applyAlignment="1">
      <alignment vertical="center"/>
    </xf>
    <xf numFmtId="185" fontId="27" fillId="0" borderId="27" xfId="42" applyNumberFormat="1" applyFont="1" applyFill="1" applyBorder="1" applyAlignment="1">
      <alignment vertical="center"/>
    </xf>
    <xf numFmtId="196" fontId="27" fillId="0" borderId="27" xfId="42" applyNumberFormat="1" applyFont="1" applyFill="1" applyBorder="1" applyAlignment="1">
      <alignment vertical="center"/>
    </xf>
    <xf numFmtId="193" fontId="26" fillId="0" borderId="34" xfId="42" applyNumberFormat="1" applyFont="1" applyFill="1" applyBorder="1" applyAlignment="1">
      <alignment vertical="center"/>
    </xf>
    <xf numFmtId="0" fontId="26" fillId="0" borderId="30" xfId="0" applyNumberFormat="1" applyFont="1" applyFill="1" applyBorder="1" applyAlignment="1">
      <alignment horizontal="left" vertical="center"/>
    </xf>
    <xf numFmtId="0" fontId="26" fillId="0" borderId="25" xfId="0" applyNumberFormat="1" applyFont="1" applyFill="1" applyBorder="1" applyAlignment="1">
      <alignment horizontal="left" vertical="center"/>
    </xf>
    <xf numFmtId="0" fontId="26" fillId="0" borderId="25" xfId="0" applyNumberFormat="1" applyFont="1" applyFill="1" applyBorder="1" applyAlignment="1">
      <alignment horizontal="center" vertical="center"/>
    </xf>
    <xf numFmtId="193" fontId="26" fillId="0" borderId="31" xfId="0" applyNumberFormat="1" applyFont="1" applyFill="1" applyBorder="1" applyAlignment="1">
      <alignment vertical="center"/>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35" xfId="0" applyFont="1" applyFill="1" applyBorder="1" applyAlignment="1">
      <alignment horizontal="center" vertical="center"/>
    </xf>
    <xf numFmtId="0" fontId="23" fillId="0" borderId="36"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11" fillId="0" borderId="0" xfId="0" applyFont="1" applyBorder="1" applyAlignment="1" applyProtection="1">
      <alignment horizontal="right" vertical="center" wrapText="1"/>
      <protection locked="0"/>
    </xf>
    <xf numFmtId="193" fontId="8" fillId="0" borderId="0" xfId="0" applyNumberFormat="1" applyFont="1" applyBorder="1" applyAlignment="1" applyProtection="1">
      <alignment horizontal="right" vertical="center" wrapText="1"/>
      <protection locked="0"/>
    </xf>
    <xf numFmtId="0" fontId="24" fillId="33" borderId="0" xfId="0" applyFont="1" applyFill="1" applyBorder="1" applyAlignment="1" applyProtection="1">
      <alignment horizontal="center" vertical="center"/>
      <protection/>
    </xf>
    <xf numFmtId="0" fontId="0" fillId="0" borderId="0" xfId="0" applyAlignment="1">
      <alignment/>
    </xf>
    <xf numFmtId="185" fontId="17" fillId="0" borderId="38" xfId="0" applyNumberFormat="1" applyFont="1" applyFill="1" applyBorder="1" applyAlignment="1" applyProtection="1">
      <alignment horizontal="center" vertical="center" wrapText="1"/>
      <protection/>
    </xf>
    <xf numFmtId="0" fontId="17" fillId="0" borderId="38" xfId="0"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wrapText="1"/>
      <protection/>
    </xf>
    <xf numFmtId="193" fontId="17" fillId="0" borderId="38" xfId="0" applyNumberFormat="1" applyFont="1" applyFill="1" applyBorder="1" applyAlignment="1" applyProtection="1">
      <alignment horizontal="center" vertical="center" wrapText="1"/>
      <protection/>
    </xf>
    <xf numFmtId="193" fontId="17" fillId="0" borderId="39" xfId="0" applyNumberFormat="1" applyFont="1" applyFill="1" applyBorder="1" applyAlignment="1" applyProtection="1">
      <alignment horizontal="center" vertical="center" wrapText="1"/>
      <protection/>
    </xf>
    <xf numFmtId="171" fontId="17" fillId="0" borderId="38" xfId="42" applyFont="1" applyFill="1" applyBorder="1" applyAlignment="1" applyProtection="1">
      <alignment horizontal="center" vertical="center"/>
      <protection/>
    </xf>
    <xf numFmtId="171" fontId="17" fillId="0" borderId="15" xfId="42" applyFont="1" applyFill="1" applyBorder="1" applyAlignment="1" applyProtection="1">
      <alignment horizontal="center" vertical="center"/>
      <protection/>
    </xf>
    <xf numFmtId="190" fontId="17" fillId="0" borderId="38" xfId="0" applyNumberFormat="1" applyFont="1" applyFill="1" applyBorder="1" applyAlignment="1" applyProtection="1">
      <alignment horizontal="center" vertical="center" wrapText="1"/>
      <protection/>
    </xf>
    <xf numFmtId="190" fontId="17" fillId="0" borderId="15" xfId="0" applyNumberFormat="1" applyFont="1" applyFill="1" applyBorder="1" applyAlignment="1" applyProtection="1">
      <alignment horizontal="center" vertical="center" wrapText="1"/>
      <protection/>
    </xf>
    <xf numFmtId="0" fontId="17" fillId="0" borderId="15"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171" fontId="17" fillId="0" borderId="40" xfId="42" applyFont="1" applyFill="1" applyBorder="1" applyAlignment="1" applyProtection="1">
      <alignment horizontal="center" vertical="center"/>
      <protection/>
    </xf>
    <xf numFmtId="171" fontId="17" fillId="0" borderId="41" xfId="42" applyFont="1" applyFill="1" applyBorder="1" applyAlignment="1" applyProtection="1">
      <alignment horizontal="center" vertical="center"/>
      <protection/>
    </xf>
    <xf numFmtId="0" fontId="22" fillId="33" borderId="11" xfId="0" applyFont="1" applyFill="1" applyBorder="1" applyAlignment="1">
      <alignment horizontal="center" vertical="center"/>
    </xf>
    <xf numFmtId="0" fontId="23" fillId="0" borderId="42" xfId="0" applyFont="1" applyBorder="1" applyAlignment="1">
      <alignment horizontal="center" vertical="center"/>
    </xf>
    <xf numFmtId="0" fontId="22" fillId="33" borderId="21" xfId="0" applyFont="1" applyFill="1" applyBorder="1" applyAlignment="1">
      <alignment horizontal="right" vertical="center"/>
    </xf>
    <xf numFmtId="0" fontId="23" fillId="0" borderId="21" xfId="0" applyFont="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82118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 Box 2"/>
        <xdr:cNvSpPr txBox="1">
          <a:spLocks noChangeArrowheads="1"/>
        </xdr:cNvSpPr>
      </xdr:nvSpPr>
      <xdr:spPr>
        <a:xfrm>
          <a:off x="15411450" y="0"/>
          <a:ext cx="27908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192750"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5135225" y="390525"/>
          <a:ext cx="2914650"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37
</a:t>
          </a:r>
          <a:r>
            <a:rPr lang="en-US" cap="none" sz="1600" b="0" i="0" u="none" baseline="0">
              <a:solidFill>
                <a:srgbClr val="FFFFFF"/>
              </a:solidFill>
              <a:latin typeface="Impact"/>
              <a:ea typeface="Impact"/>
              <a:cs typeface="Impact"/>
            </a:rPr>
            <a:t>07 - 09 SEP'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6301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915275" y="0"/>
          <a:ext cx="25336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99726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 Box 5"/>
        <xdr:cNvSpPr txBox="1">
          <a:spLocks noChangeArrowheads="1"/>
        </xdr:cNvSpPr>
      </xdr:nvSpPr>
      <xdr:spPr>
        <a:xfrm>
          <a:off x="7781925" y="0"/>
          <a:ext cx="21336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99631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 Box 7"/>
        <xdr:cNvSpPr txBox="1">
          <a:spLocks noChangeArrowheads="1"/>
        </xdr:cNvSpPr>
      </xdr:nvSpPr>
      <xdr:spPr>
        <a:xfrm>
          <a:off x="8124825" y="409575"/>
          <a:ext cx="17049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99726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 Box 9"/>
        <xdr:cNvSpPr txBox="1">
          <a:spLocks noChangeArrowheads="1"/>
        </xdr:cNvSpPr>
      </xdr:nvSpPr>
      <xdr:spPr>
        <a:xfrm>
          <a:off x="7781925" y="0"/>
          <a:ext cx="21336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9963150"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172450" y="390525"/>
          <a:ext cx="167640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37
</a:t>
          </a:r>
          <a:r>
            <a:rPr lang="en-US" cap="none" sz="1200" b="0" i="0" u="none" baseline="0">
              <a:solidFill>
                <a:srgbClr val="FFFFFF"/>
              </a:solidFill>
              <a:latin typeface="Impact"/>
              <a:ea typeface="Impact"/>
              <a:cs typeface="Impact"/>
            </a:rPr>
            <a:t>07 - 09 SEP'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85"/>
  <sheetViews>
    <sheetView tabSelected="1" zoomScale="65" zoomScaleNormal="65" zoomScalePageLayoutView="0" workbookViewId="0" topLeftCell="A1">
      <selection activeCell="B3" sqref="B3:B4"/>
    </sheetView>
  </sheetViews>
  <sheetFormatPr defaultColWidth="39.8515625" defaultRowHeight="12.75"/>
  <cols>
    <col min="1" max="1" width="3.00390625" style="30" bestFit="1" customWidth="1"/>
    <col min="2" max="2" width="45.28125" style="4" bestFit="1" customWidth="1"/>
    <col min="3" max="3" width="9.8515625" style="65" bestFit="1" customWidth="1"/>
    <col min="4" max="4" width="13.140625" style="3" bestFit="1" customWidth="1"/>
    <col min="5" max="5" width="15.57421875" style="3" bestFit="1" customWidth="1"/>
    <col min="6" max="6" width="6.57421875" style="5" bestFit="1" customWidth="1"/>
    <col min="7" max="7" width="8.7109375" style="5" bestFit="1" customWidth="1"/>
    <col min="8" max="8" width="10.421875" style="5" customWidth="1"/>
    <col min="9" max="9" width="11.57421875" style="82" bestFit="1" customWidth="1"/>
    <col min="10" max="10" width="7.8515625" style="92" bestFit="1" customWidth="1"/>
    <col min="11" max="11" width="11.57421875" style="82" bestFit="1" customWidth="1"/>
    <col min="12" max="12" width="9.00390625" style="92" bestFit="1" customWidth="1"/>
    <col min="13" max="13" width="12.7109375" style="82" bestFit="1" customWidth="1"/>
    <col min="14" max="14" width="9.00390625" style="92" bestFit="1" customWidth="1"/>
    <col min="15" max="15" width="15.57421875" style="86" bestFit="1" customWidth="1"/>
    <col min="16" max="16" width="9.57421875" style="99" bestFit="1" customWidth="1"/>
    <col min="17" max="17" width="9.7109375" style="92" bestFit="1" customWidth="1"/>
    <col min="18" max="18" width="7.28125" style="16" bestFit="1" customWidth="1"/>
    <col min="19" max="19" width="12.7109375" style="89" bestFit="1" customWidth="1"/>
    <col min="20" max="20" width="9.8515625" style="3" bestFit="1" customWidth="1"/>
    <col min="21" max="21" width="14.7109375" style="82" bestFit="1" customWidth="1"/>
    <col min="22" max="22" width="12.140625" style="92"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23" s="10" customFormat="1" ht="99" customHeight="1">
      <c r="A1" s="28"/>
      <c r="B1" s="75"/>
      <c r="C1" s="26"/>
      <c r="D1" s="109"/>
      <c r="E1" s="109"/>
      <c r="F1" s="24"/>
      <c r="G1" s="24"/>
      <c r="H1" s="24"/>
      <c r="I1" s="23"/>
      <c r="J1" s="22"/>
      <c r="K1" s="83"/>
      <c r="L1" s="21"/>
      <c r="M1" s="19"/>
      <c r="N1" s="18"/>
      <c r="O1" s="96"/>
      <c r="P1" s="97"/>
      <c r="Q1" s="93"/>
      <c r="R1" s="95"/>
      <c r="S1" s="87"/>
      <c r="U1" s="87"/>
      <c r="V1" s="93"/>
      <c r="W1" s="95"/>
    </row>
    <row r="2" spans="1:23" s="2" customFormat="1" ht="27.75" thickBot="1">
      <c r="A2" s="239" t="s">
        <v>31</v>
      </c>
      <c r="B2" s="240"/>
      <c r="C2" s="240"/>
      <c r="D2" s="240"/>
      <c r="E2" s="240"/>
      <c r="F2" s="240"/>
      <c r="G2" s="240"/>
      <c r="H2" s="240"/>
      <c r="I2" s="240"/>
      <c r="J2" s="240"/>
      <c r="K2" s="240"/>
      <c r="L2" s="240"/>
      <c r="M2" s="240"/>
      <c r="N2" s="240"/>
      <c r="O2" s="240"/>
      <c r="P2" s="240"/>
      <c r="Q2" s="240"/>
      <c r="R2" s="240"/>
      <c r="S2" s="240"/>
      <c r="T2" s="240"/>
      <c r="U2" s="240"/>
      <c r="V2" s="240"/>
      <c r="W2" s="240"/>
    </row>
    <row r="3" spans="1:23" s="29" customFormat="1" ht="20.25" customHeight="1">
      <c r="A3" s="31"/>
      <c r="B3" s="246" t="s">
        <v>37</v>
      </c>
      <c r="C3" s="248" t="s">
        <v>14</v>
      </c>
      <c r="D3" s="242" t="s">
        <v>4</v>
      </c>
      <c r="E3" s="242" t="s">
        <v>48</v>
      </c>
      <c r="F3" s="242" t="s">
        <v>15</v>
      </c>
      <c r="G3" s="242" t="s">
        <v>16</v>
      </c>
      <c r="H3" s="242" t="s">
        <v>17</v>
      </c>
      <c r="I3" s="241" t="s">
        <v>5</v>
      </c>
      <c r="J3" s="241"/>
      <c r="K3" s="241" t="s">
        <v>6</v>
      </c>
      <c r="L3" s="241"/>
      <c r="M3" s="241" t="s">
        <v>7</v>
      </c>
      <c r="N3" s="241"/>
      <c r="O3" s="244" t="s">
        <v>18</v>
      </c>
      <c r="P3" s="244"/>
      <c r="Q3" s="244"/>
      <c r="R3" s="244"/>
      <c r="S3" s="241" t="s">
        <v>1</v>
      </c>
      <c r="T3" s="241"/>
      <c r="U3" s="244" t="s">
        <v>41</v>
      </c>
      <c r="V3" s="244"/>
      <c r="W3" s="245"/>
    </row>
    <row r="4" spans="1:23" s="29" customFormat="1" ht="52.5" customHeight="1" thickBot="1">
      <c r="A4" s="58"/>
      <c r="B4" s="247"/>
      <c r="C4" s="249"/>
      <c r="D4" s="250"/>
      <c r="E4" s="250"/>
      <c r="F4" s="243"/>
      <c r="G4" s="243"/>
      <c r="H4" s="243"/>
      <c r="I4" s="112" t="s">
        <v>13</v>
      </c>
      <c r="J4" s="113" t="s">
        <v>9</v>
      </c>
      <c r="K4" s="112" t="s">
        <v>13</v>
      </c>
      <c r="L4" s="113" t="s">
        <v>9</v>
      </c>
      <c r="M4" s="112" t="s">
        <v>13</v>
      </c>
      <c r="N4" s="113" t="s">
        <v>9</v>
      </c>
      <c r="O4" s="114" t="s">
        <v>13</v>
      </c>
      <c r="P4" s="115" t="s">
        <v>9</v>
      </c>
      <c r="Q4" s="115" t="s">
        <v>42</v>
      </c>
      <c r="R4" s="116" t="s">
        <v>43</v>
      </c>
      <c r="S4" s="112" t="s">
        <v>13</v>
      </c>
      <c r="T4" s="117" t="s">
        <v>8</v>
      </c>
      <c r="U4" s="112" t="s">
        <v>13</v>
      </c>
      <c r="V4" s="113" t="s">
        <v>9</v>
      </c>
      <c r="W4" s="118" t="s">
        <v>43</v>
      </c>
    </row>
    <row r="5" spans="1:23" s="29" customFormat="1" ht="15">
      <c r="A5" s="53">
        <v>1</v>
      </c>
      <c r="B5" s="187" t="s">
        <v>100</v>
      </c>
      <c r="C5" s="188">
        <v>39332</v>
      </c>
      <c r="D5" s="189" t="s">
        <v>10</v>
      </c>
      <c r="E5" s="190" t="s">
        <v>11</v>
      </c>
      <c r="F5" s="191">
        <v>61</v>
      </c>
      <c r="G5" s="191">
        <v>61</v>
      </c>
      <c r="H5" s="191">
        <v>1</v>
      </c>
      <c r="I5" s="192">
        <v>62707</v>
      </c>
      <c r="J5" s="193">
        <v>5849</v>
      </c>
      <c r="K5" s="192">
        <v>97974</v>
      </c>
      <c r="L5" s="193">
        <v>8740</v>
      </c>
      <c r="M5" s="192">
        <v>129139</v>
      </c>
      <c r="N5" s="193">
        <v>11717</v>
      </c>
      <c r="O5" s="194">
        <f>+I5+K5+M5</f>
        <v>289820</v>
      </c>
      <c r="P5" s="195">
        <f>+J5+L5+N5</f>
        <v>26306</v>
      </c>
      <c r="Q5" s="196">
        <f aca="true" t="shared" si="0" ref="Q5:Q47">IF(O5&lt;&gt;0,P5/G5,"")</f>
        <v>431.24590163934425</v>
      </c>
      <c r="R5" s="197">
        <f aca="true" t="shared" si="1" ref="R5:R47">IF(O5&lt;&gt;0,O5/P5,"")</f>
        <v>11.01725842013229</v>
      </c>
      <c r="S5" s="192"/>
      <c r="T5" s="154">
        <f>IF(S5&lt;&gt;0,-(S5-O5)/S5,"")</f>
      </c>
      <c r="U5" s="192">
        <v>294406</v>
      </c>
      <c r="V5" s="193">
        <v>26537</v>
      </c>
      <c r="W5" s="198">
        <f>U5/V5</f>
        <v>11.094170403587444</v>
      </c>
    </row>
    <row r="6" spans="1:23" s="29" customFormat="1" ht="15">
      <c r="A6" s="53">
        <v>2</v>
      </c>
      <c r="B6" s="199" t="s">
        <v>101</v>
      </c>
      <c r="C6" s="120">
        <v>39332</v>
      </c>
      <c r="D6" s="179" t="s">
        <v>21</v>
      </c>
      <c r="E6" s="179" t="s">
        <v>58</v>
      </c>
      <c r="F6" s="180">
        <v>112</v>
      </c>
      <c r="G6" s="180">
        <v>114</v>
      </c>
      <c r="H6" s="180">
        <v>1</v>
      </c>
      <c r="I6" s="129">
        <v>62982</v>
      </c>
      <c r="J6" s="130">
        <v>6869</v>
      </c>
      <c r="K6" s="129">
        <v>93129</v>
      </c>
      <c r="L6" s="130">
        <v>9803</v>
      </c>
      <c r="M6" s="129">
        <v>120427</v>
      </c>
      <c r="N6" s="130">
        <v>12744</v>
      </c>
      <c r="O6" s="131">
        <f>+M6+K6+I6</f>
        <v>276538</v>
      </c>
      <c r="P6" s="132">
        <f>+N6+L6+J6</f>
        <v>29416</v>
      </c>
      <c r="Q6" s="140">
        <f t="shared" si="0"/>
        <v>258.03508771929825</v>
      </c>
      <c r="R6" s="141">
        <f t="shared" si="1"/>
        <v>9.400938264889856</v>
      </c>
      <c r="S6" s="129"/>
      <c r="T6" s="134">
        <f>IF(S6&lt;&gt;0,-(S6-O6)/S6,"")</f>
      </c>
      <c r="U6" s="129">
        <v>276538</v>
      </c>
      <c r="V6" s="130">
        <v>29416</v>
      </c>
      <c r="W6" s="157">
        <f>+U6/V6</f>
        <v>9.400938264889856</v>
      </c>
    </row>
    <row r="7" spans="1:24" s="6" customFormat="1" ht="18">
      <c r="A7" s="54">
        <v>3</v>
      </c>
      <c r="B7" s="215" t="s">
        <v>82</v>
      </c>
      <c r="C7" s="216">
        <v>39318</v>
      </c>
      <c r="D7" s="217" t="s">
        <v>21</v>
      </c>
      <c r="E7" s="217" t="s">
        <v>22</v>
      </c>
      <c r="F7" s="218">
        <v>116</v>
      </c>
      <c r="G7" s="218">
        <v>117</v>
      </c>
      <c r="H7" s="218">
        <v>3</v>
      </c>
      <c r="I7" s="219">
        <v>53934</v>
      </c>
      <c r="J7" s="220">
        <v>6489</v>
      </c>
      <c r="K7" s="219">
        <v>94202</v>
      </c>
      <c r="L7" s="220">
        <v>10474</v>
      </c>
      <c r="M7" s="219">
        <v>113503</v>
      </c>
      <c r="N7" s="220">
        <v>14026</v>
      </c>
      <c r="O7" s="221">
        <f>+M7+K7+I7</f>
        <v>261639</v>
      </c>
      <c r="P7" s="222">
        <f>+N7+L7+J7</f>
        <v>30989</v>
      </c>
      <c r="Q7" s="173">
        <f t="shared" si="0"/>
        <v>264.86324786324786</v>
      </c>
      <c r="R7" s="174">
        <f t="shared" si="1"/>
        <v>8.442963632256607</v>
      </c>
      <c r="S7" s="219">
        <v>347205</v>
      </c>
      <c r="T7" s="175">
        <f>IF(S7&lt;&gt;0,-(S7-O7)/S7,"")</f>
        <v>-0.2464423035382555</v>
      </c>
      <c r="U7" s="219">
        <v>1847824</v>
      </c>
      <c r="V7" s="220">
        <v>220670</v>
      </c>
      <c r="W7" s="223">
        <f>+U7/V7</f>
        <v>8.373698282503286</v>
      </c>
      <c r="X7" s="7"/>
    </row>
    <row r="8" spans="1:24" s="6" customFormat="1" ht="18">
      <c r="A8" s="102">
        <v>4</v>
      </c>
      <c r="B8" s="211" t="s">
        <v>89</v>
      </c>
      <c r="C8" s="164">
        <v>39325</v>
      </c>
      <c r="D8" s="212" t="s">
        <v>10</v>
      </c>
      <c r="E8" s="213" t="s">
        <v>60</v>
      </c>
      <c r="F8" s="214">
        <v>66</v>
      </c>
      <c r="G8" s="214">
        <v>67</v>
      </c>
      <c r="H8" s="214">
        <v>2</v>
      </c>
      <c r="I8" s="165">
        <v>42437</v>
      </c>
      <c r="J8" s="166">
        <v>4822</v>
      </c>
      <c r="K8" s="165">
        <v>65712</v>
      </c>
      <c r="L8" s="166">
        <v>7088</v>
      </c>
      <c r="M8" s="165">
        <v>107000</v>
      </c>
      <c r="N8" s="166">
        <v>11549</v>
      </c>
      <c r="O8" s="167">
        <f aca="true" t="shared" si="2" ref="O8:P11">+I8+K8+M8</f>
        <v>215149</v>
      </c>
      <c r="P8" s="168">
        <f t="shared" si="2"/>
        <v>23459</v>
      </c>
      <c r="Q8" s="169">
        <f t="shared" si="0"/>
        <v>350.13432835820896</v>
      </c>
      <c r="R8" s="170">
        <f t="shared" si="1"/>
        <v>9.171277548062577</v>
      </c>
      <c r="S8" s="165">
        <v>344721</v>
      </c>
      <c r="T8" s="171"/>
      <c r="U8" s="165">
        <v>740257</v>
      </c>
      <c r="V8" s="166">
        <v>83105</v>
      </c>
      <c r="W8" s="172">
        <f aca="true" t="shared" si="3" ref="W8:W13">U8/V8</f>
        <v>8.907490524035858</v>
      </c>
      <c r="X8" s="7"/>
    </row>
    <row r="9" spans="1:24" s="6" customFormat="1" ht="18">
      <c r="A9" s="52">
        <v>5</v>
      </c>
      <c r="B9" s="200" t="s">
        <v>102</v>
      </c>
      <c r="C9" s="119">
        <v>39318</v>
      </c>
      <c r="D9" s="177" t="s">
        <v>10</v>
      </c>
      <c r="E9" s="176" t="s">
        <v>47</v>
      </c>
      <c r="F9" s="178">
        <v>60</v>
      </c>
      <c r="G9" s="178">
        <v>61</v>
      </c>
      <c r="H9" s="178">
        <v>3</v>
      </c>
      <c r="I9" s="136">
        <v>21131</v>
      </c>
      <c r="J9" s="137">
        <v>2433</v>
      </c>
      <c r="K9" s="136">
        <v>34034</v>
      </c>
      <c r="L9" s="137">
        <v>3694</v>
      </c>
      <c r="M9" s="136">
        <v>53134</v>
      </c>
      <c r="N9" s="137">
        <v>5719</v>
      </c>
      <c r="O9" s="138">
        <f t="shared" si="2"/>
        <v>108299</v>
      </c>
      <c r="P9" s="139">
        <f t="shared" si="2"/>
        <v>11846</v>
      </c>
      <c r="Q9" s="140">
        <f t="shared" si="0"/>
        <v>194.19672131147541</v>
      </c>
      <c r="R9" s="141">
        <f t="shared" si="1"/>
        <v>9.142242107040351</v>
      </c>
      <c r="S9" s="136">
        <v>138078</v>
      </c>
      <c r="T9" s="134">
        <f aca="true" t="shared" si="4" ref="T9:T37">IF(S9&lt;&gt;0,-(S9-O9)/S9,"")</f>
        <v>-0.21566795579310244</v>
      </c>
      <c r="U9" s="136">
        <v>750870</v>
      </c>
      <c r="V9" s="137">
        <v>84972</v>
      </c>
      <c r="W9" s="155">
        <f t="shared" si="3"/>
        <v>8.836675610789436</v>
      </c>
      <c r="X9" s="7"/>
    </row>
    <row r="10" spans="1:25" s="9" customFormat="1" ht="18">
      <c r="A10" s="53">
        <v>6</v>
      </c>
      <c r="B10" s="200" t="s">
        <v>2</v>
      </c>
      <c r="C10" s="119">
        <v>39304</v>
      </c>
      <c r="D10" s="177" t="s">
        <v>10</v>
      </c>
      <c r="E10" s="176" t="s">
        <v>11</v>
      </c>
      <c r="F10" s="178">
        <v>165</v>
      </c>
      <c r="G10" s="178">
        <v>104</v>
      </c>
      <c r="H10" s="178">
        <v>5</v>
      </c>
      <c r="I10" s="136">
        <v>23892</v>
      </c>
      <c r="J10" s="137">
        <v>3637</v>
      </c>
      <c r="K10" s="136">
        <v>34430</v>
      </c>
      <c r="L10" s="137">
        <v>4958</v>
      </c>
      <c r="M10" s="136">
        <v>41853</v>
      </c>
      <c r="N10" s="137">
        <v>5821</v>
      </c>
      <c r="O10" s="138">
        <f t="shared" si="2"/>
        <v>100175</v>
      </c>
      <c r="P10" s="139">
        <f t="shared" si="2"/>
        <v>14416</v>
      </c>
      <c r="Q10" s="140">
        <f t="shared" si="0"/>
        <v>138.6153846153846</v>
      </c>
      <c r="R10" s="141">
        <f t="shared" si="1"/>
        <v>6.9488762486126525</v>
      </c>
      <c r="S10" s="136">
        <v>185353</v>
      </c>
      <c r="T10" s="134">
        <f t="shared" si="4"/>
        <v>-0.4595447605380005</v>
      </c>
      <c r="U10" s="136">
        <v>4803080</v>
      </c>
      <c r="V10" s="137">
        <v>620520</v>
      </c>
      <c r="W10" s="155">
        <f t="shared" si="3"/>
        <v>7.7404112679688</v>
      </c>
      <c r="Y10" s="8"/>
    </row>
    <row r="11" spans="1:24" s="10" customFormat="1" ht="18">
      <c r="A11" s="52">
        <v>7</v>
      </c>
      <c r="B11" s="200" t="s">
        <v>103</v>
      </c>
      <c r="C11" s="119">
        <v>39332</v>
      </c>
      <c r="D11" s="177" t="s">
        <v>10</v>
      </c>
      <c r="E11" s="176" t="s">
        <v>60</v>
      </c>
      <c r="F11" s="178">
        <v>58</v>
      </c>
      <c r="G11" s="178">
        <v>59</v>
      </c>
      <c r="H11" s="178">
        <v>1</v>
      </c>
      <c r="I11" s="136">
        <v>23255</v>
      </c>
      <c r="J11" s="137">
        <v>2669</v>
      </c>
      <c r="K11" s="136">
        <v>31238</v>
      </c>
      <c r="L11" s="137">
        <v>3357</v>
      </c>
      <c r="M11" s="136">
        <v>31395</v>
      </c>
      <c r="N11" s="137">
        <v>3446</v>
      </c>
      <c r="O11" s="138">
        <f t="shared" si="2"/>
        <v>85888</v>
      </c>
      <c r="P11" s="139">
        <f t="shared" si="2"/>
        <v>9472</v>
      </c>
      <c r="Q11" s="140">
        <f t="shared" si="0"/>
        <v>160.54237288135593</v>
      </c>
      <c r="R11" s="141">
        <f t="shared" si="1"/>
        <v>9.067567567567568</v>
      </c>
      <c r="S11" s="136"/>
      <c r="T11" s="134">
        <f t="shared" si="4"/>
      </c>
      <c r="U11" s="136">
        <v>85887</v>
      </c>
      <c r="V11" s="137">
        <v>9472</v>
      </c>
      <c r="W11" s="155">
        <f t="shared" si="3"/>
        <v>9.067461993243244</v>
      </c>
      <c r="X11" s="8"/>
    </row>
    <row r="12" spans="1:24" s="10" customFormat="1" ht="18">
      <c r="A12" s="53">
        <v>8</v>
      </c>
      <c r="B12" s="199" t="s">
        <v>90</v>
      </c>
      <c r="C12" s="120">
        <v>39325</v>
      </c>
      <c r="D12" s="179" t="s">
        <v>104</v>
      </c>
      <c r="E12" s="179" t="s">
        <v>104</v>
      </c>
      <c r="F12" s="180">
        <v>41</v>
      </c>
      <c r="G12" s="180">
        <v>41</v>
      </c>
      <c r="H12" s="180">
        <v>2</v>
      </c>
      <c r="I12" s="129">
        <v>14344.5</v>
      </c>
      <c r="J12" s="130">
        <v>1803</v>
      </c>
      <c r="K12" s="129">
        <v>23125</v>
      </c>
      <c r="L12" s="130">
        <v>2740</v>
      </c>
      <c r="M12" s="129">
        <v>35814.5</v>
      </c>
      <c r="N12" s="130">
        <v>4192</v>
      </c>
      <c r="O12" s="131">
        <f>SUM(I12+K12+M12)</f>
        <v>73284</v>
      </c>
      <c r="P12" s="132">
        <f>SUM(J12+L12+N12)</f>
        <v>8735</v>
      </c>
      <c r="Q12" s="140">
        <f t="shared" si="0"/>
        <v>213.0487804878049</v>
      </c>
      <c r="R12" s="141">
        <f t="shared" si="1"/>
        <v>8.389696622781912</v>
      </c>
      <c r="S12" s="129">
        <v>74725</v>
      </c>
      <c r="T12" s="134">
        <f t="shared" si="4"/>
        <v>-0.019284041485446636</v>
      </c>
      <c r="U12" s="129">
        <v>208162</v>
      </c>
      <c r="V12" s="130">
        <v>25029</v>
      </c>
      <c r="W12" s="156">
        <f t="shared" si="3"/>
        <v>8.316832474329777</v>
      </c>
      <c r="X12" s="11"/>
    </row>
    <row r="13" spans="1:24" s="10" customFormat="1" ht="18">
      <c r="A13" s="52">
        <v>9</v>
      </c>
      <c r="B13" s="199" t="s">
        <v>83</v>
      </c>
      <c r="C13" s="120">
        <v>39311</v>
      </c>
      <c r="D13" s="179" t="s">
        <v>34</v>
      </c>
      <c r="E13" s="179" t="s">
        <v>46</v>
      </c>
      <c r="F13" s="180">
        <v>51</v>
      </c>
      <c r="G13" s="180">
        <v>51</v>
      </c>
      <c r="H13" s="180">
        <v>4</v>
      </c>
      <c r="I13" s="129">
        <v>5956.5</v>
      </c>
      <c r="J13" s="130">
        <v>822</v>
      </c>
      <c r="K13" s="129">
        <v>10877.5</v>
      </c>
      <c r="L13" s="130">
        <v>1415</v>
      </c>
      <c r="M13" s="129">
        <v>13912</v>
      </c>
      <c r="N13" s="130">
        <v>1792</v>
      </c>
      <c r="O13" s="131">
        <f>I13+K13+M13</f>
        <v>30746</v>
      </c>
      <c r="P13" s="132">
        <f>J13+L13+N13</f>
        <v>4029</v>
      </c>
      <c r="Q13" s="140">
        <f t="shared" si="0"/>
        <v>79</v>
      </c>
      <c r="R13" s="141">
        <f t="shared" si="1"/>
        <v>7.631173988582775</v>
      </c>
      <c r="S13" s="129">
        <v>56709</v>
      </c>
      <c r="T13" s="134">
        <f t="shared" si="4"/>
        <v>-0.4578285633673667</v>
      </c>
      <c r="U13" s="142">
        <v>605492</v>
      </c>
      <c r="V13" s="143">
        <v>73351</v>
      </c>
      <c r="W13" s="156">
        <f t="shared" si="3"/>
        <v>8.25472045370888</v>
      </c>
      <c r="X13" s="8"/>
    </row>
    <row r="14" spans="1:24" s="10" customFormat="1" ht="18">
      <c r="A14" s="53">
        <v>10</v>
      </c>
      <c r="B14" s="199" t="s">
        <v>81</v>
      </c>
      <c r="C14" s="120">
        <v>39311</v>
      </c>
      <c r="D14" s="179" t="s">
        <v>21</v>
      </c>
      <c r="E14" s="179" t="s">
        <v>58</v>
      </c>
      <c r="F14" s="180">
        <v>84</v>
      </c>
      <c r="G14" s="180">
        <v>69</v>
      </c>
      <c r="H14" s="180">
        <v>4</v>
      </c>
      <c r="I14" s="129">
        <v>7156</v>
      </c>
      <c r="J14" s="130">
        <v>1189</v>
      </c>
      <c r="K14" s="129">
        <v>8614</v>
      </c>
      <c r="L14" s="130">
        <v>1421</v>
      </c>
      <c r="M14" s="129">
        <v>11412</v>
      </c>
      <c r="N14" s="130">
        <v>1789</v>
      </c>
      <c r="O14" s="131">
        <f>+M14+K14+I14</f>
        <v>27182</v>
      </c>
      <c r="P14" s="132">
        <f>+N14+L14+J14</f>
        <v>4399</v>
      </c>
      <c r="Q14" s="140">
        <f t="shared" si="0"/>
        <v>63.7536231884058</v>
      </c>
      <c r="R14" s="141">
        <f t="shared" si="1"/>
        <v>6.179131620822914</v>
      </c>
      <c r="S14" s="129">
        <v>69947</v>
      </c>
      <c r="T14" s="134">
        <f t="shared" si="4"/>
        <v>-0.6113914821221782</v>
      </c>
      <c r="U14" s="129">
        <v>725282</v>
      </c>
      <c r="V14" s="130">
        <v>83138</v>
      </c>
      <c r="W14" s="157">
        <f>+U14/V14</f>
        <v>8.723832663763863</v>
      </c>
      <c r="X14" s="8"/>
    </row>
    <row r="15" spans="1:24" s="10" customFormat="1" ht="18">
      <c r="A15" s="52">
        <v>11</v>
      </c>
      <c r="B15" s="199" t="s">
        <v>105</v>
      </c>
      <c r="C15" s="120">
        <v>39045</v>
      </c>
      <c r="D15" s="179" t="s">
        <v>34</v>
      </c>
      <c r="E15" s="179" t="s">
        <v>106</v>
      </c>
      <c r="F15" s="180">
        <v>74</v>
      </c>
      <c r="G15" s="180">
        <v>1</v>
      </c>
      <c r="H15" s="180">
        <v>18</v>
      </c>
      <c r="I15" s="129">
        <v>5659.5</v>
      </c>
      <c r="J15" s="130">
        <v>1132</v>
      </c>
      <c r="K15" s="129">
        <v>7500</v>
      </c>
      <c r="L15" s="130">
        <v>1500</v>
      </c>
      <c r="M15" s="129">
        <v>7500</v>
      </c>
      <c r="N15" s="130">
        <v>1500</v>
      </c>
      <c r="O15" s="131">
        <f>I15+K15+M15</f>
        <v>20659.5</v>
      </c>
      <c r="P15" s="132">
        <f>J15+L15+N15</f>
        <v>4132</v>
      </c>
      <c r="Q15" s="140">
        <f t="shared" si="0"/>
        <v>4132</v>
      </c>
      <c r="R15" s="141">
        <f t="shared" si="1"/>
        <v>4.9998789932236205</v>
      </c>
      <c r="S15" s="129">
        <v>600</v>
      </c>
      <c r="T15" s="134">
        <f t="shared" si="4"/>
        <v>33.4325</v>
      </c>
      <c r="U15" s="142">
        <v>1107578</v>
      </c>
      <c r="V15" s="143">
        <v>151225</v>
      </c>
      <c r="W15" s="156">
        <f>U15/V15</f>
        <v>7.324040337245826</v>
      </c>
      <c r="X15" s="8"/>
    </row>
    <row r="16" spans="1:24" s="10" customFormat="1" ht="18">
      <c r="A16" s="53">
        <v>12</v>
      </c>
      <c r="B16" s="199" t="s">
        <v>107</v>
      </c>
      <c r="C16" s="120">
        <v>39010</v>
      </c>
      <c r="D16" s="179" t="s">
        <v>34</v>
      </c>
      <c r="E16" s="179" t="s">
        <v>60</v>
      </c>
      <c r="F16" s="180">
        <v>249</v>
      </c>
      <c r="G16" s="180">
        <v>1</v>
      </c>
      <c r="H16" s="180">
        <v>29</v>
      </c>
      <c r="I16" s="129">
        <v>7500</v>
      </c>
      <c r="J16" s="130">
        <v>1500</v>
      </c>
      <c r="K16" s="129">
        <v>7500</v>
      </c>
      <c r="L16" s="130">
        <v>1500</v>
      </c>
      <c r="M16" s="129">
        <v>5659.5</v>
      </c>
      <c r="N16" s="130">
        <v>1132</v>
      </c>
      <c r="O16" s="131">
        <f>SUM(I16+K16+M16)</f>
        <v>20659.5</v>
      </c>
      <c r="P16" s="132">
        <f>SUM(J16+L16+N16)</f>
        <v>4132</v>
      </c>
      <c r="Q16" s="140">
        <f t="shared" si="0"/>
        <v>4132</v>
      </c>
      <c r="R16" s="141">
        <f t="shared" si="1"/>
        <v>4.9998789932236205</v>
      </c>
      <c r="S16" s="129"/>
      <c r="T16" s="134">
        <f t="shared" si="4"/>
      </c>
      <c r="U16" s="142">
        <v>7924279</v>
      </c>
      <c r="V16" s="130">
        <v>1160470</v>
      </c>
      <c r="W16" s="156">
        <f>U16/V16</f>
        <v>6.828508276818875</v>
      </c>
      <c r="X16" s="8"/>
    </row>
    <row r="17" spans="1:24" s="10" customFormat="1" ht="18">
      <c r="A17" s="52">
        <v>13</v>
      </c>
      <c r="B17" s="200" t="s">
        <v>84</v>
      </c>
      <c r="C17" s="119">
        <v>39318</v>
      </c>
      <c r="D17" s="176" t="s">
        <v>36</v>
      </c>
      <c r="E17" s="176" t="s">
        <v>85</v>
      </c>
      <c r="F17" s="178">
        <v>56</v>
      </c>
      <c r="G17" s="178">
        <v>41</v>
      </c>
      <c r="H17" s="178">
        <v>3</v>
      </c>
      <c r="I17" s="136">
        <v>3710.5</v>
      </c>
      <c r="J17" s="137">
        <v>535</v>
      </c>
      <c r="K17" s="136">
        <v>5532</v>
      </c>
      <c r="L17" s="137">
        <v>730</v>
      </c>
      <c r="M17" s="136">
        <v>7895</v>
      </c>
      <c r="N17" s="137">
        <v>1026</v>
      </c>
      <c r="O17" s="138">
        <f>I17+K17+M17</f>
        <v>17137.5</v>
      </c>
      <c r="P17" s="139">
        <f>J17+L17+N17</f>
        <v>2291</v>
      </c>
      <c r="Q17" s="140">
        <f t="shared" si="0"/>
        <v>55.8780487804878</v>
      </c>
      <c r="R17" s="141">
        <f t="shared" si="1"/>
        <v>7.480357922304671</v>
      </c>
      <c r="S17" s="136">
        <v>51896</v>
      </c>
      <c r="T17" s="134">
        <f t="shared" si="4"/>
        <v>-0.6697722367812549</v>
      </c>
      <c r="U17" s="144">
        <f>157146+94670+17137.5</f>
        <v>268953.5</v>
      </c>
      <c r="V17" s="143">
        <f>18176+11311+2291</f>
        <v>31778</v>
      </c>
      <c r="W17" s="158">
        <f>IF(U17&lt;&gt;0,U17/V17,"")</f>
        <v>8.46351249291963</v>
      </c>
      <c r="X17" s="8"/>
    </row>
    <row r="18" spans="1:24" s="10" customFormat="1" ht="18">
      <c r="A18" s="53">
        <v>14</v>
      </c>
      <c r="B18" s="200" t="s">
        <v>68</v>
      </c>
      <c r="C18" s="119">
        <v>39297</v>
      </c>
      <c r="D18" s="177" t="s">
        <v>10</v>
      </c>
      <c r="E18" s="176" t="s">
        <v>47</v>
      </c>
      <c r="F18" s="178">
        <v>51</v>
      </c>
      <c r="G18" s="178">
        <v>42</v>
      </c>
      <c r="H18" s="178">
        <v>6</v>
      </c>
      <c r="I18" s="136">
        <v>2224</v>
      </c>
      <c r="J18" s="137">
        <v>422</v>
      </c>
      <c r="K18" s="136">
        <v>4778</v>
      </c>
      <c r="L18" s="137">
        <v>856</v>
      </c>
      <c r="M18" s="136">
        <v>5747</v>
      </c>
      <c r="N18" s="137">
        <v>1011</v>
      </c>
      <c r="O18" s="138">
        <f>+I18+K18+M18</f>
        <v>12749</v>
      </c>
      <c r="P18" s="139">
        <f>+J18+L18+N18</f>
        <v>2289</v>
      </c>
      <c r="Q18" s="140">
        <f t="shared" si="0"/>
        <v>54.5</v>
      </c>
      <c r="R18" s="141">
        <f t="shared" si="1"/>
        <v>5.569681083442552</v>
      </c>
      <c r="S18" s="136">
        <v>13880</v>
      </c>
      <c r="T18" s="134">
        <f t="shared" si="4"/>
        <v>-0.08148414985590778</v>
      </c>
      <c r="U18" s="136">
        <v>656677</v>
      </c>
      <c r="V18" s="137">
        <v>79402</v>
      </c>
      <c r="W18" s="155">
        <f>U18/V18</f>
        <v>8.270282864411476</v>
      </c>
      <c r="X18" s="8"/>
    </row>
    <row r="19" spans="1:24" s="10" customFormat="1" ht="18">
      <c r="A19" s="52">
        <v>15</v>
      </c>
      <c r="B19" s="200" t="s">
        <v>70</v>
      </c>
      <c r="C19" s="119">
        <v>39297</v>
      </c>
      <c r="D19" s="176" t="s">
        <v>36</v>
      </c>
      <c r="E19" s="176" t="s">
        <v>71</v>
      </c>
      <c r="F19" s="178">
        <v>40</v>
      </c>
      <c r="G19" s="178">
        <v>30</v>
      </c>
      <c r="H19" s="178">
        <v>6</v>
      </c>
      <c r="I19" s="136">
        <v>1866.5</v>
      </c>
      <c r="J19" s="137">
        <v>326</v>
      </c>
      <c r="K19" s="136">
        <v>3100</v>
      </c>
      <c r="L19" s="137">
        <v>503</v>
      </c>
      <c r="M19" s="136">
        <v>4045</v>
      </c>
      <c r="N19" s="137">
        <v>665</v>
      </c>
      <c r="O19" s="138">
        <f>I19+K19+M19</f>
        <v>9011.5</v>
      </c>
      <c r="P19" s="139">
        <f>J19+L19+N19</f>
        <v>1494</v>
      </c>
      <c r="Q19" s="140">
        <f t="shared" si="0"/>
        <v>49.8</v>
      </c>
      <c r="R19" s="141">
        <f t="shared" si="1"/>
        <v>6.031793842034806</v>
      </c>
      <c r="S19" s="136">
        <v>12594</v>
      </c>
      <c r="T19" s="134">
        <f t="shared" si="4"/>
        <v>-0.28446085437509927</v>
      </c>
      <c r="U19" s="144">
        <f>157880+96709+57038.5+25312+25384.5+9011.5</f>
        <v>371335.5</v>
      </c>
      <c r="V19" s="143">
        <f>18304+11544+7841+4081+4291+1494</f>
        <v>47555</v>
      </c>
      <c r="W19" s="158">
        <f>IF(U19&lt;&gt;0,U19/V19,"")</f>
        <v>7.80854799705604</v>
      </c>
      <c r="X19" s="8"/>
    </row>
    <row r="20" spans="1:24" s="10" customFormat="1" ht="18">
      <c r="A20" s="53">
        <v>16</v>
      </c>
      <c r="B20" s="199" t="s">
        <v>63</v>
      </c>
      <c r="C20" s="120">
        <v>39290</v>
      </c>
      <c r="D20" s="179" t="s">
        <v>34</v>
      </c>
      <c r="E20" s="179" t="s">
        <v>46</v>
      </c>
      <c r="F20" s="180">
        <v>80</v>
      </c>
      <c r="G20" s="180">
        <v>18</v>
      </c>
      <c r="H20" s="180">
        <v>7</v>
      </c>
      <c r="I20" s="129">
        <v>2362.5</v>
      </c>
      <c r="J20" s="130">
        <v>463</v>
      </c>
      <c r="K20" s="129">
        <v>3000.5</v>
      </c>
      <c r="L20" s="130">
        <v>546</v>
      </c>
      <c r="M20" s="129">
        <v>3247</v>
      </c>
      <c r="N20" s="130">
        <v>613</v>
      </c>
      <c r="O20" s="131">
        <f>I20+K20+M20</f>
        <v>8610</v>
      </c>
      <c r="P20" s="132">
        <f>J20+L20+N20</f>
        <v>1622</v>
      </c>
      <c r="Q20" s="140">
        <f t="shared" si="0"/>
        <v>90.11111111111111</v>
      </c>
      <c r="R20" s="141">
        <f t="shared" si="1"/>
        <v>5.30826140567201</v>
      </c>
      <c r="S20" s="129">
        <v>9742.5</v>
      </c>
      <c r="T20" s="134">
        <f t="shared" si="4"/>
        <v>-0.11624326404926867</v>
      </c>
      <c r="U20" s="142">
        <v>1135535</v>
      </c>
      <c r="V20" s="143">
        <v>144974</v>
      </c>
      <c r="W20" s="156">
        <f>U20/V20</f>
        <v>7.832680342682136</v>
      </c>
      <c r="X20" s="8"/>
    </row>
    <row r="21" spans="1:24" s="10" customFormat="1" ht="18">
      <c r="A21" s="52">
        <v>17</v>
      </c>
      <c r="B21" s="199" t="s">
        <v>50</v>
      </c>
      <c r="C21" s="120">
        <v>39276</v>
      </c>
      <c r="D21" s="179" t="s">
        <v>34</v>
      </c>
      <c r="E21" s="179" t="s">
        <v>46</v>
      </c>
      <c r="F21" s="180">
        <v>40</v>
      </c>
      <c r="G21" s="180">
        <v>23</v>
      </c>
      <c r="H21" s="180">
        <v>9</v>
      </c>
      <c r="I21" s="129">
        <v>1482</v>
      </c>
      <c r="J21" s="130">
        <v>265</v>
      </c>
      <c r="K21" s="129">
        <v>2783</v>
      </c>
      <c r="L21" s="130">
        <v>482</v>
      </c>
      <c r="M21" s="129">
        <v>3739</v>
      </c>
      <c r="N21" s="130">
        <v>597</v>
      </c>
      <c r="O21" s="131">
        <f>SUM(I21+K21+M21)</f>
        <v>8004</v>
      </c>
      <c r="P21" s="132">
        <f>SUM(J21+L21+N21)</f>
        <v>1344</v>
      </c>
      <c r="Q21" s="140">
        <f t="shared" si="0"/>
        <v>58.43478260869565</v>
      </c>
      <c r="R21" s="141">
        <f t="shared" si="1"/>
        <v>5.955357142857143</v>
      </c>
      <c r="S21" s="129">
        <v>6895</v>
      </c>
      <c r="T21" s="134">
        <f t="shared" si="4"/>
        <v>0.1608411892675852</v>
      </c>
      <c r="U21" s="142">
        <v>793839.5</v>
      </c>
      <c r="V21" s="143">
        <v>97499</v>
      </c>
      <c r="W21" s="156">
        <f>U21/V21</f>
        <v>8.142027097713823</v>
      </c>
      <c r="X21" s="8"/>
    </row>
    <row r="22" spans="1:24" s="10" customFormat="1" ht="18">
      <c r="A22" s="53">
        <v>18</v>
      </c>
      <c r="B22" s="199" t="s">
        <v>69</v>
      </c>
      <c r="C22" s="120">
        <v>39297</v>
      </c>
      <c r="D22" s="179" t="s">
        <v>21</v>
      </c>
      <c r="E22" s="179" t="s">
        <v>33</v>
      </c>
      <c r="F22" s="180">
        <v>62</v>
      </c>
      <c r="G22" s="180">
        <v>26</v>
      </c>
      <c r="H22" s="180">
        <v>6</v>
      </c>
      <c r="I22" s="129">
        <v>1040</v>
      </c>
      <c r="J22" s="130">
        <v>193</v>
      </c>
      <c r="K22" s="129">
        <v>2383</v>
      </c>
      <c r="L22" s="130">
        <v>426</v>
      </c>
      <c r="M22" s="129">
        <v>3182</v>
      </c>
      <c r="N22" s="130">
        <v>566</v>
      </c>
      <c r="O22" s="131">
        <f>+M22+K22+I22</f>
        <v>6605</v>
      </c>
      <c r="P22" s="132">
        <f>+N22+L22+J22</f>
        <v>1185</v>
      </c>
      <c r="Q22" s="140">
        <f t="shared" si="0"/>
        <v>45.57692307692308</v>
      </c>
      <c r="R22" s="141">
        <f t="shared" si="1"/>
        <v>5.5738396624472575</v>
      </c>
      <c r="S22" s="129">
        <v>14055</v>
      </c>
      <c r="T22" s="134">
        <f t="shared" si="4"/>
        <v>-0.5300604766986837</v>
      </c>
      <c r="U22" s="129">
        <v>635799</v>
      </c>
      <c r="V22" s="130">
        <v>76898</v>
      </c>
      <c r="W22" s="157">
        <f>+U22/V22</f>
        <v>8.268082394860725</v>
      </c>
      <c r="X22" s="8"/>
    </row>
    <row r="23" spans="1:24" s="10" customFormat="1" ht="18">
      <c r="A23" s="52">
        <v>19</v>
      </c>
      <c r="B23" s="126" t="s">
        <v>72</v>
      </c>
      <c r="C23" s="120">
        <v>39290</v>
      </c>
      <c r="D23" s="128" t="s">
        <v>49</v>
      </c>
      <c r="E23" s="128" t="s">
        <v>35</v>
      </c>
      <c r="F23" s="122">
        <v>5</v>
      </c>
      <c r="G23" s="122">
        <v>5</v>
      </c>
      <c r="H23" s="122">
        <v>6</v>
      </c>
      <c r="I23" s="129">
        <v>1313</v>
      </c>
      <c r="J23" s="130">
        <v>137</v>
      </c>
      <c r="K23" s="129">
        <v>2296</v>
      </c>
      <c r="L23" s="130">
        <v>217</v>
      </c>
      <c r="M23" s="129">
        <v>2383</v>
      </c>
      <c r="N23" s="130">
        <v>218</v>
      </c>
      <c r="O23" s="131">
        <f>SUM(I23+K23+M23)</f>
        <v>5992</v>
      </c>
      <c r="P23" s="132">
        <f>SUM(J23+L23+N23)</f>
        <v>572</v>
      </c>
      <c r="Q23" s="140">
        <f t="shared" si="0"/>
        <v>114.4</v>
      </c>
      <c r="R23" s="141">
        <f t="shared" si="1"/>
        <v>10.475524475524475</v>
      </c>
      <c r="S23" s="129"/>
      <c r="T23" s="134">
        <f t="shared" si="4"/>
      </c>
      <c r="U23" s="129">
        <v>143554.97</v>
      </c>
      <c r="V23" s="130">
        <v>13901</v>
      </c>
      <c r="W23" s="156">
        <f>U23/V23</f>
        <v>10.32695273721315</v>
      </c>
      <c r="X23" s="8"/>
    </row>
    <row r="24" spans="1:24" s="10" customFormat="1" ht="18">
      <c r="A24" s="53">
        <v>20</v>
      </c>
      <c r="B24" s="126" t="s">
        <v>65</v>
      </c>
      <c r="C24" s="120">
        <v>39269</v>
      </c>
      <c r="D24" s="128" t="s">
        <v>49</v>
      </c>
      <c r="E24" s="128" t="s">
        <v>49</v>
      </c>
      <c r="F24" s="122">
        <v>10</v>
      </c>
      <c r="G24" s="122">
        <v>10</v>
      </c>
      <c r="H24" s="122">
        <v>10</v>
      </c>
      <c r="I24" s="129">
        <v>904.74</v>
      </c>
      <c r="J24" s="130">
        <v>181</v>
      </c>
      <c r="K24" s="129">
        <v>1514.74</v>
      </c>
      <c r="L24" s="130">
        <v>302</v>
      </c>
      <c r="M24" s="129">
        <v>2582.74</v>
      </c>
      <c r="N24" s="130">
        <v>505</v>
      </c>
      <c r="O24" s="131">
        <f>SUM(I24+K24+M24)</f>
        <v>5002.219999999999</v>
      </c>
      <c r="P24" s="132">
        <f>SUM(J24+L24+N24)</f>
        <v>988</v>
      </c>
      <c r="Q24" s="140">
        <f t="shared" si="0"/>
        <v>98.8</v>
      </c>
      <c r="R24" s="141">
        <f t="shared" si="1"/>
        <v>5.062975708502024</v>
      </c>
      <c r="S24" s="129"/>
      <c r="T24" s="134">
        <f t="shared" si="4"/>
      </c>
      <c r="U24" s="129">
        <v>160058.22</v>
      </c>
      <c r="V24" s="130">
        <v>22414</v>
      </c>
      <c r="W24" s="156">
        <f>U24/V24</f>
        <v>7.140993129294191</v>
      </c>
      <c r="X24" s="8"/>
    </row>
    <row r="25" spans="1:24" s="10" customFormat="1" ht="18">
      <c r="A25" s="52">
        <v>21</v>
      </c>
      <c r="B25" s="201" t="s">
        <v>74</v>
      </c>
      <c r="C25" s="123">
        <v>39283</v>
      </c>
      <c r="D25" s="181" t="s">
        <v>59</v>
      </c>
      <c r="E25" s="181" t="s">
        <v>62</v>
      </c>
      <c r="F25" s="124">
        <v>27</v>
      </c>
      <c r="G25" s="182">
        <v>23</v>
      </c>
      <c r="H25" s="182">
        <v>8</v>
      </c>
      <c r="I25" s="145">
        <v>976</v>
      </c>
      <c r="J25" s="146">
        <v>173</v>
      </c>
      <c r="K25" s="145">
        <v>1191</v>
      </c>
      <c r="L25" s="146">
        <v>216</v>
      </c>
      <c r="M25" s="145">
        <v>1859</v>
      </c>
      <c r="N25" s="146">
        <v>332</v>
      </c>
      <c r="O25" s="147">
        <f>+I25+K25+M25</f>
        <v>4026</v>
      </c>
      <c r="P25" s="148">
        <f>J25+L25+N25</f>
        <v>721</v>
      </c>
      <c r="Q25" s="140">
        <f t="shared" si="0"/>
        <v>31.347826086956523</v>
      </c>
      <c r="R25" s="141">
        <f t="shared" si="1"/>
        <v>5.5839112343966715</v>
      </c>
      <c r="S25" s="145">
        <v>3305.5</v>
      </c>
      <c r="T25" s="134">
        <f t="shared" si="4"/>
        <v>0.21797004991680533</v>
      </c>
      <c r="U25" s="145">
        <v>186065.5</v>
      </c>
      <c r="V25" s="146">
        <v>25395</v>
      </c>
      <c r="W25" s="159">
        <f>+U25/V25</f>
        <v>7.326855680252018</v>
      </c>
      <c r="X25" s="8"/>
    </row>
    <row r="26" spans="1:25" s="10" customFormat="1" ht="18">
      <c r="A26" s="53">
        <v>22</v>
      </c>
      <c r="B26" s="199" t="s">
        <v>19</v>
      </c>
      <c r="C26" s="120">
        <v>39262</v>
      </c>
      <c r="D26" s="179" t="s">
        <v>34</v>
      </c>
      <c r="E26" s="179" t="s">
        <v>46</v>
      </c>
      <c r="F26" s="180">
        <v>78</v>
      </c>
      <c r="G26" s="180">
        <v>6</v>
      </c>
      <c r="H26" s="180">
        <v>11</v>
      </c>
      <c r="I26" s="129">
        <v>980</v>
      </c>
      <c r="J26" s="130">
        <v>214</v>
      </c>
      <c r="K26" s="129">
        <v>1028</v>
      </c>
      <c r="L26" s="130">
        <v>236</v>
      </c>
      <c r="M26" s="129">
        <v>1466</v>
      </c>
      <c r="N26" s="130">
        <v>325</v>
      </c>
      <c r="O26" s="131">
        <f>I26+K26+M26</f>
        <v>3474</v>
      </c>
      <c r="P26" s="132">
        <f>J26+L26+N26</f>
        <v>775</v>
      </c>
      <c r="Q26" s="140">
        <f t="shared" si="0"/>
        <v>129.16666666666666</v>
      </c>
      <c r="R26" s="141">
        <f t="shared" si="1"/>
        <v>4.48258064516129</v>
      </c>
      <c r="S26" s="129">
        <v>1585</v>
      </c>
      <c r="T26" s="134">
        <f t="shared" si="4"/>
        <v>1.1917981072555206</v>
      </c>
      <c r="U26" s="142">
        <v>1766808.5</v>
      </c>
      <c r="V26" s="143">
        <v>224575</v>
      </c>
      <c r="W26" s="156">
        <f aca="true" t="shared" si="5" ref="W26:W31">U26/V26</f>
        <v>7.867342758543916</v>
      </c>
      <c r="X26" s="8"/>
      <c r="Y26" s="8"/>
    </row>
    <row r="27" spans="1:25" s="10" customFormat="1" ht="18">
      <c r="A27" s="53">
        <v>23</v>
      </c>
      <c r="B27" s="199" t="s">
        <v>108</v>
      </c>
      <c r="C27" s="120">
        <v>39059</v>
      </c>
      <c r="D27" s="179" t="s">
        <v>34</v>
      </c>
      <c r="E27" s="179" t="s">
        <v>109</v>
      </c>
      <c r="F27" s="180">
        <v>50</v>
      </c>
      <c r="G27" s="180">
        <v>1</v>
      </c>
      <c r="H27" s="180">
        <v>12</v>
      </c>
      <c r="I27" s="129">
        <v>576</v>
      </c>
      <c r="J27" s="130">
        <v>144</v>
      </c>
      <c r="K27" s="129">
        <v>800</v>
      </c>
      <c r="L27" s="130">
        <v>200</v>
      </c>
      <c r="M27" s="129">
        <v>1000</v>
      </c>
      <c r="N27" s="130">
        <v>250</v>
      </c>
      <c r="O27" s="131">
        <f>I27+K27+M27</f>
        <v>2376</v>
      </c>
      <c r="P27" s="132">
        <f>J27+L27+N27</f>
        <v>594</v>
      </c>
      <c r="Q27" s="140">
        <f t="shared" si="0"/>
        <v>594</v>
      </c>
      <c r="R27" s="141">
        <f t="shared" si="1"/>
        <v>4</v>
      </c>
      <c r="S27" s="129"/>
      <c r="T27" s="134">
        <f t="shared" si="4"/>
      </c>
      <c r="U27" s="142">
        <v>152366.5</v>
      </c>
      <c r="V27" s="143">
        <v>23890</v>
      </c>
      <c r="W27" s="156">
        <f t="shared" si="5"/>
        <v>6.377835914608623</v>
      </c>
      <c r="X27" s="8"/>
      <c r="Y27" s="8"/>
    </row>
    <row r="28" spans="1:25" s="10" customFormat="1" ht="18">
      <c r="A28" s="52">
        <v>24</v>
      </c>
      <c r="B28" s="199" t="s">
        <v>91</v>
      </c>
      <c r="C28" s="120">
        <v>39094</v>
      </c>
      <c r="D28" s="179" t="s">
        <v>34</v>
      </c>
      <c r="E28" s="179" t="s">
        <v>110</v>
      </c>
      <c r="F28" s="180">
        <v>226</v>
      </c>
      <c r="G28" s="180">
        <v>1</v>
      </c>
      <c r="H28" s="180">
        <v>30</v>
      </c>
      <c r="I28" s="129">
        <v>576</v>
      </c>
      <c r="J28" s="130">
        <v>144</v>
      </c>
      <c r="K28" s="129">
        <v>800</v>
      </c>
      <c r="L28" s="130">
        <v>200</v>
      </c>
      <c r="M28" s="129">
        <v>1000</v>
      </c>
      <c r="N28" s="130">
        <v>250</v>
      </c>
      <c r="O28" s="131">
        <f>I28+K28+M28</f>
        <v>2376</v>
      </c>
      <c r="P28" s="132">
        <f>J28+L28+N28</f>
        <v>594</v>
      </c>
      <c r="Q28" s="140">
        <f t="shared" si="0"/>
        <v>594</v>
      </c>
      <c r="R28" s="141">
        <f t="shared" si="1"/>
        <v>4</v>
      </c>
      <c r="S28" s="129">
        <v>2376</v>
      </c>
      <c r="T28" s="134">
        <f t="shared" si="4"/>
        <v>0</v>
      </c>
      <c r="U28" s="142">
        <v>8586688.5</v>
      </c>
      <c r="V28" s="143">
        <v>1236295</v>
      </c>
      <c r="W28" s="156">
        <f t="shared" si="5"/>
        <v>6.945501275989954</v>
      </c>
      <c r="X28" s="8"/>
      <c r="Y28" s="8"/>
    </row>
    <row r="29" spans="1:25" s="10" customFormat="1" ht="18">
      <c r="A29" s="53">
        <v>25</v>
      </c>
      <c r="B29" s="199" t="s">
        <v>111</v>
      </c>
      <c r="C29" s="120">
        <v>39199</v>
      </c>
      <c r="D29" s="179" t="s">
        <v>34</v>
      </c>
      <c r="E29" s="179" t="s">
        <v>46</v>
      </c>
      <c r="F29" s="180">
        <v>12</v>
      </c>
      <c r="G29" s="180">
        <v>1</v>
      </c>
      <c r="H29" s="180">
        <v>16</v>
      </c>
      <c r="I29" s="129">
        <v>576</v>
      </c>
      <c r="J29" s="130">
        <v>144</v>
      </c>
      <c r="K29" s="129">
        <v>800</v>
      </c>
      <c r="L29" s="130">
        <v>200</v>
      </c>
      <c r="M29" s="129">
        <v>1000</v>
      </c>
      <c r="N29" s="130">
        <v>250</v>
      </c>
      <c r="O29" s="131">
        <f>I29+K29+M29</f>
        <v>2376</v>
      </c>
      <c r="P29" s="132">
        <f>J29+L29+N29</f>
        <v>594</v>
      </c>
      <c r="Q29" s="140">
        <f t="shared" si="0"/>
        <v>594</v>
      </c>
      <c r="R29" s="141">
        <f t="shared" si="1"/>
        <v>4</v>
      </c>
      <c r="S29" s="129"/>
      <c r="T29" s="134">
        <f t="shared" si="4"/>
      </c>
      <c r="U29" s="142">
        <v>165969.5</v>
      </c>
      <c r="V29" s="143">
        <v>20037</v>
      </c>
      <c r="W29" s="156">
        <f t="shared" si="5"/>
        <v>8.28315117033488</v>
      </c>
      <c r="X29" s="8"/>
      <c r="Y29" s="8"/>
    </row>
    <row r="30" spans="1:25" s="10" customFormat="1" ht="18">
      <c r="A30" s="52">
        <v>26</v>
      </c>
      <c r="B30" s="126" t="s">
        <v>51</v>
      </c>
      <c r="C30" s="120">
        <v>39276</v>
      </c>
      <c r="D30" s="128" t="s">
        <v>49</v>
      </c>
      <c r="E30" s="128" t="s">
        <v>35</v>
      </c>
      <c r="F30" s="122">
        <v>49</v>
      </c>
      <c r="G30" s="122">
        <v>9</v>
      </c>
      <c r="H30" s="122">
        <v>9</v>
      </c>
      <c r="I30" s="129">
        <v>525</v>
      </c>
      <c r="J30" s="130">
        <v>75</v>
      </c>
      <c r="K30" s="129">
        <v>701</v>
      </c>
      <c r="L30" s="130">
        <v>100</v>
      </c>
      <c r="M30" s="129">
        <v>1078</v>
      </c>
      <c r="N30" s="130">
        <v>155</v>
      </c>
      <c r="O30" s="131">
        <f>SUM(I30+K30+M30)</f>
        <v>2304</v>
      </c>
      <c r="P30" s="132">
        <f>SUM(J30+L30+N30)</f>
        <v>330</v>
      </c>
      <c r="Q30" s="140">
        <f t="shared" si="0"/>
        <v>36.666666666666664</v>
      </c>
      <c r="R30" s="141">
        <f t="shared" si="1"/>
        <v>6.9818181818181815</v>
      </c>
      <c r="S30" s="129"/>
      <c r="T30" s="134">
        <f t="shared" si="4"/>
      </c>
      <c r="U30" s="129">
        <v>473273</v>
      </c>
      <c r="V30" s="130">
        <v>58529</v>
      </c>
      <c r="W30" s="156">
        <f t="shared" si="5"/>
        <v>8.086128244118301</v>
      </c>
      <c r="X30" s="8"/>
      <c r="Y30" s="8"/>
    </row>
    <row r="31" spans="1:25" s="10" customFormat="1" ht="18">
      <c r="A31" s="53">
        <v>27</v>
      </c>
      <c r="B31" s="125" t="s">
        <v>3</v>
      </c>
      <c r="C31" s="119">
        <v>39297</v>
      </c>
      <c r="D31" s="135" t="s">
        <v>24</v>
      </c>
      <c r="E31" s="135" t="s">
        <v>58</v>
      </c>
      <c r="F31" s="121">
        <v>25</v>
      </c>
      <c r="G31" s="121">
        <v>13</v>
      </c>
      <c r="H31" s="121">
        <v>6</v>
      </c>
      <c r="I31" s="136">
        <v>505</v>
      </c>
      <c r="J31" s="137">
        <v>100</v>
      </c>
      <c r="K31" s="136">
        <v>786</v>
      </c>
      <c r="L31" s="137">
        <v>149</v>
      </c>
      <c r="M31" s="136">
        <v>848</v>
      </c>
      <c r="N31" s="137">
        <v>154</v>
      </c>
      <c r="O31" s="138">
        <f>+I31+K31+M31</f>
        <v>2139</v>
      </c>
      <c r="P31" s="139">
        <f>+J31+L31+N31</f>
        <v>403</v>
      </c>
      <c r="Q31" s="140">
        <f t="shared" si="0"/>
        <v>31</v>
      </c>
      <c r="R31" s="141">
        <f t="shared" si="1"/>
        <v>5.3076923076923075</v>
      </c>
      <c r="S31" s="136">
        <v>4386</v>
      </c>
      <c r="T31" s="134">
        <f t="shared" si="4"/>
        <v>-0.512311901504788</v>
      </c>
      <c r="U31" s="136">
        <v>250837</v>
      </c>
      <c r="V31" s="137">
        <v>25045</v>
      </c>
      <c r="W31" s="158">
        <f t="shared" si="5"/>
        <v>10.015452186065083</v>
      </c>
      <c r="X31" s="8"/>
      <c r="Y31" s="8"/>
    </row>
    <row r="32" spans="1:25" s="10" customFormat="1" ht="18">
      <c r="A32" s="52">
        <v>28</v>
      </c>
      <c r="B32" s="199" t="s">
        <v>20</v>
      </c>
      <c r="C32" s="120">
        <v>39248</v>
      </c>
      <c r="D32" s="179" t="s">
        <v>21</v>
      </c>
      <c r="E32" s="179" t="s">
        <v>33</v>
      </c>
      <c r="F32" s="180">
        <v>160</v>
      </c>
      <c r="G32" s="180">
        <v>13</v>
      </c>
      <c r="H32" s="180">
        <v>13</v>
      </c>
      <c r="I32" s="129">
        <v>445</v>
      </c>
      <c r="J32" s="130">
        <v>82</v>
      </c>
      <c r="K32" s="129">
        <v>736</v>
      </c>
      <c r="L32" s="130">
        <v>128</v>
      </c>
      <c r="M32" s="129">
        <v>957</v>
      </c>
      <c r="N32" s="130">
        <v>162</v>
      </c>
      <c r="O32" s="131">
        <f>+M32+K32+I32</f>
        <v>2138</v>
      </c>
      <c r="P32" s="132">
        <f>+N32+L32+J32</f>
        <v>372</v>
      </c>
      <c r="Q32" s="140">
        <f t="shared" si="0"/>
        <v>28.615384615384617</v>
      </c>
      <c r="R32" s="141">
        <f t="shared" si="1"/>
        <v>5.747311827956989</v>
      </c>
      <c r="S32" s="129">
        <v>3277</v>
      </c>
      <c r="T32" s="134">
        <f t="shared" si="4"/>
        <v>-0.3475740006103143</v>
      </c>
      <c r="U32" s="129">
        <v>4855483</v>
      </c>
      <c r="V32" s="130">
        <v>656700</v>
      </c>
      <c r="W32" s="157">
        <f>+U32/V32</f>
        <v>7.3937612303943965</v>
      </c>
      <c r="X32" s="8"/>
      <c r="Y32" s="8"/>
    </row>
    <row r="33" spans="1:25" s="10" customFormat="1" ht="18">
      <c r="A33" s="53">
        <v>29</v>
      </c>
      <c r="B33" s="199" t="s">
        <v>64</v>
      </c>
      <c r="C33" s="120">
        <v>39276</v>
      </c>
      <c r="D33" s="179" t="s">
        <v>21</v>
      </c>
      <c r="E33" s="179" t="s">
        <v>33</v>
      </c>
      <c r="F33" s="180">
        <v>20</v>
      </c>
      <c r="G33" s="180">
        <v>13</v>
      </c>
      <c r="H33" s="180">
        <v>7</v>
      </c>
      <c r="I33" s="129">
        <v>391</v>
      </c>
      <c r="J33" s="130">
        <v>71</v>
      </c>
      <c r="K33" s="129">
        <v>709</v>
      </c>
      <c r="L33" s="130">
        <v>116</v>
      </c>
      <c r="M33" s="129">
        <v>1000</v>
      </c>
      <c r="N33" s="130">
        <v>163</v>
      </c>
      <c r="O33" s="131">
        <f>+M33+K33+I33</f>
        <v>2100</v>
      </c>
      <c r="P33" s="132">
        <f>+N33+L33+J33</f>
        <v>350</v>
      </c>
      <c r="Q33" s="140">
        <f t="shared" si="0"/>
        <v>26.923076923076923</v>
      </c>
      <c r="R33" s="141">
        <f t="shared" si="1"/>
        <v>6</v>
      </c>
      <c r="S33" s="129">
        <v>2932</v>
      </c>
      <c r="T33" s="134">
        <f t="shared" si="4"/>
        <v>-0.2837653478854025</v>
      </c>
      <c r="U33" s="129">
        <v>102375</v>
      </c>
      <c r="V33" s="130">
        <v>12192</v>
      </c>
      <c r="W33" s="157">
        <f>+U33/V33</f>
        <v>8.396899606299213</v>
      </c>
      <c r="X33" s="8"/>
      <c r="Y33" s="8"/>
    </row>
    <row r="34" spans="1:25" s="10" customFormat="1" ht="18">
      <c r="A34" s="53">
        <v>30</v>
      </c>
      <c r="B34" s="199" t="s">
        <v>73</v>
      </c>
      <c r="C34" s="127">
        <v>39297</v>
      </c>
      <c r="D34" s="183" t="s">
        <v>12</v>
      </c>
      <c r="E34" s="183" t="s">
        <v>78</v>
      </c>
      <c r="F34" s="184">
        <v>10</v>
      </c>
      <c r="G34" s="184">
        <v>6</v>
      </c>
      <c r="H34" s="184">
        <v>6</v>
      </c>
      <c r="I34" s="149">
        <v>432</v>
      </c>
      <c r="J34" s="150">
        <v>64</v>
      </c>
      <c r="K34" s="149">
        <v>567</v>
      </c>
      <c r="L34" s="150">
        <v>76</v>
      </c>
      <c r="M34" s="149">
        <v>1012</v>
      </c>
      <c r="N34" s="150">
        <v>135</v>
      </c>
      <c r="O34" s="151">
        <f>M34+K34+I34</f>
        <v>2011</v>
      </c>
      <c r="P34" s="152">
        <f>N34+L34+J34</f>
        <v>275</v>
      </c>
      <c r="Q34" s="140">
        <f t="shared" si="0"/>
        <v>45.833333333333336</v>
      </c>
      <c r="R34" s="141">
        <f t="shared" si="1"/>
        <v>7.3127272727272725</v>
      </c>
      <c r="S34" s="149">
        <v>1472</v>
      </c>
      <c r="T34" s="134">
        <f t="shared" si="4"/>
        <v>0.36616847826086957</v>
      </c>
      <c r="U34" s="149">
        <v>62892</v>
      </c>
      <c r="V34" s="150">
        <v>6295</v>
      </c>
      <c r="W34" s="160">
        <f>R34</f>
        <v>7.3127272727272725</v>
      </c>
      <c r="X34" s="8"/>
      <c r="Y34" s="8"/>
    </row>
    <row r="35" spans="1:25" s="10" customFormat="1" ht="18">
      <c r="A35" s="52">
        <v>31</v>
      </c>
      <c r="B35" s="199" t="s">
        <v>38</v>
      </c>
      <c r="C35" s="120">
        <v>39269</v>
      </c>
      <c r="D35" s="179" t="s">
        <v>21</v>
      </c>
      <c r="E35" s="179" t="s">
        <v>33</v>
      </c>
      <c r="F35" s="180">
        <v>156</v>
      </c>
      <c r="G35" s="180">
        <v>12</v>
      </c>
      <c r="H35" s="180">
        <v>10</v>
      </c>
      <c r="I35" s="129">
        <v>446</v>
      </c>
      <c r="J35" s="130">
        <v>93</v>
      </c>
      <c r="K35" s="129">
        <v>608</v>
      </c>
      <c r="L35" s="130">
        <v>127</v>
      </c>
      <c r="M35" s="129">
        <v>842</v>
      </c>
      <c r="N35" s="130">
        <v>163</v>
      </c>
      <c r="O35" s="131">
        <f>+M35+K35+I35</f>
        <v>1896</v>
      </c>
      <c r="P35" s="132">
        <f>+N35+L35+J35</f>
        <v>383</v>
      </c>
      <c r="Q35" s="140">
        <f t="shared" si="0"/>
        <v>31.916666666666668</v>
      </c>
      <c r="R35" s="141">
        <f t="shared" si="1"/>
        <v>4.950391644908616</v>
      </c>
      <c r="S35" s="129">
        <v>3241</v>
      </c>
      <c r="T35" s="134">
        <f t="shared" si="4"/>
        <v>-0.4149953717988275</v>
      </c>
      <c r="U35" s="129">
        <v>3218674</v>
      </c>
      <c r="V35" s="130">
        <v>407294</v>
      </c>
      <c r="W35" s="157">
        <f>+U35/V35</f>
        <v>7.902581427666501</v>
      </c>
      <c r="X35" s="8"/>
      <c r="Y35" s="8"/>
    </row>
    <row r="36" spans="1:25" s="10" customFormat="1" ht="18">
      <c r="A36" s="53">
        <v>32</v>
      </c>
      <c r="B36" s="126" t="s">
        <v>112</v>
      </c>
      <c r="C36" s="120">
        <v>39143</v>
      </c>
      <c r="D36" s="128" t="s">
        <v>49</v>
      </c>
      <c r="E36" s="128" t="s">
        <v>35</v>
      </c>
      <c r="F36" s="122">
        <v>74</v>
      </c>
      <c r="G36" s="122">
        <v>4</v>
      </c>
      <c r="H36" s="122">
        <v>19</v>
      </c>
      <c r="I36" s="129">
        <v>312</v>
      </c>
      <c r="J36" s="130">
        <v>58</v>
      </c>
      <c r="K36" s="129">
        <v>646</v>
      </c>
      <c r="L36" s="130">
        <v>100</v>
      </c>
      <c r="M36" s="129">
        <v>659</v>
      </c>
      <c r="N36" s="130">
        <v>105</v>
      </c>
      <c r="O36" s="131">
        <f>I36+K36+M36</f>
        <v>1617</v>
      </c>
      <c r="P36" s="132">
        <f>J36+L36+N36</f>
        <v>263</v>
      </c>
      <c r="Q36" s="140">
        <f t="shared" si="0"/>
        <v>65.75</v>
      </c>
      <c r="R36" s="141">
        <f t="shared" si="1"/>
        <v>6.14828897338403</v>
      </c>
      <c r="S36" s="129"/>
      <c r="T36" s="134">
        <f t="shared" si="4"/>
      </c>
      <c r="U36" s="129">
        <v>958654.5</v>
      </c>
      <c r="V36" s="130">
        <v>130745</v>
      </c>
      <c r="W36" s="156">
        <f aca="true" t="shared" si="6" ref="W36:W41">U36/V36</f>
        <v>7.332245974989483</v>
      </c>
      <c r="X36" s="8"/>
      <c r="Y36" s="8"/>
    </row>
    <row r="37" spans="1:25" s="10" customFormat="1" ht="18">
      <c r="A37" s="52">
        <v>33</v>
      </c>
      <c r="B37" s="199" t="s">
        <v>113</v>
      </c>
      <c r="C37" s="120">
        <v>39101</v>
      </c>
      <c r="D37" s="179" t="s">
        <v>114</v>
      </c>
      <c r="E37" s="179" t="s">
        <v>34</v>
      </c>
      <c r="F37" s="180">
        <v>160</v>
      </c>
      <c r="G37" s="180">
        <v>1</v>
      </c>
      <c r="H37" s="180">
        <v>30</v>
      </c>
      <c r="I37" s="129">
        <v>388</v>
      </c>
      <c r="J37" s="130">
        <v>97</v>
      </c>
      <c r="K37" s="129">
        <v>400</v>
      </c>
      <c r="L37" s="130">
        <v>100</v>
      </c>
      <c r="M37" s="129">
        <v>400</v>
      </c>
      <c r="N37" s="130">
        <v>100</v>
      </c>
      <c r="O37" s="131">
        <f>I37+K37+M37</f>
        <v>1188</v>
      </c>
      <c r="P37" s="132">
        <f>J37+L37+N37</f>
        <v>297</v>
      </c>
      <c r="Q37" s="140">
        <f t="shared" si="0"/>
        <v>297</v>
      </c>
      <c r="R37" s="141">
        <f t="shared" si="1"/>
        <v>4</v>
      </c>
      <c r="S37" s="129"/>
      <c r="T37" s="134">
        <f t="shared" si="4"/>
      </c>
      <c r="U37" s="142">
        <v>7579223.5</v>
      </c>
      <c r="V37" s="143">
        <v>1081052</v>
      </c>
      <c r="W37" s="156">
        <f t="shared" si="6"/>
        <v>7.010970332601947</v>
      </c>
      <c r="X37" s="8"/>
      <c r="Y37" s="8"/>
    </row>
    <row r="38" spans="1:25" s="10" customFormat="1" ht="18">
      <c r="A38" s="53">
        <v>34</v>
      </c>
      <c r="B38" s="200" t="s">
        <v>115</v>
      </c>
      <c r="C38" s="119">
        <v>39066</v>
      </c>
      <c r="D38" s="177" t="s">
        <v>10</v>
      </c>
      <c r="E38" s="177" t="s">
        <v>76</v>
      </c>
      <c r="F38" s="178">
        <v>183</v>
      </c>
      <c r="G38" s="178">
        <v>1</v>
      </c>
      <c r="H38" s="178">
        <v>24</v>
      </c>
      <c r="I38" s="136">
        <v>0</v>
      </c>
      <c r="J38" s="137">
        <v>0</v>
      </c>
      <c r="K38" s="136">
        <v>950</v>
      </c>
      <c r="L38" s="137">
        <v>190</v>
      </c>
      <c r="M38" s="136">
        <v>0</v>
      </c>
      <c r="N38" s="137">
        <v>0</v>
      </c>
      <c r="O38" s="138">
        <f>+I38+K38+M38</f>
        <v>950</v>
      </c>
      <c r="P38" s="139">
        <f>+J38+L38+N38</f>
        <v>190</v>
      </c>
      <c r="Q38" s="140">
        <f t="shared" si="0"/>
        <v>190</v>
      </c>
      <c r="R38" s="141">
        <f t="shared" si="1"/>
        <v>5</v>
      </c>
      <c r="S38" s="136"/>
      <c r="T38" s="134">
        <f>IF(S38&lt;&gt;0,-(S38-M38)/S38,"")</f>
      </c>
      <c r="U38" s="136">
        <v>3103035</v>
      </c>
      <c r="V38" s="137">
        <v>451284</v>
      </c>
      <c r="W38" s="155">
        <f t="shared" si="6"/>
        <v>6.87601377403143</v>
      </c>
      <c r="X38" s="8"/>
      <c r="Y38" s="8"/>
    </row>
    <row r="39" spans="1:25" s="10" customFormat="1" ht="18">
      <c r="A39" s="52">
        <v>35</v>
      </c>
      <c r="B39" s="200" t="s">
        <v>77</v>
      </c>
      <c r="C39" s="119">
        <v>39290</v>
      </c>
      <c r="D39" s="177" t="s">
        <v>10</v>
      </c>
      <c r="E39" s="176" t="s">
        <v>27</v>
      </c>
      <c r="F39" s="178">
        <v>40</v>
      </c>
      <c r="G39" s="178">
        <v>7</v>
      </c>
      <c r="H39" s="178">
        <v>7</v>
      </c>
      <c r="I39" s="136">
        <v>67</v>
      </c>
      <c r="J39" s="137">
        <v>11</v>
      </c>
      <c r="K39" s="136">
        <v>237</v>
      </c>
      <c r="L39" s="137">
        <v>35</v>
      </c>
      <c r="M39" s="136">
        <v>536</v>
      </c>
      <c r="N39" s="137">
        <v>81</v>
      </c>
      <c r="O39" s="138">
        <f>+I39+K39+M39</f>
        <v>840</v>
      </c>
      <c r="P39" s="139">
        <f>+J39+L39+N39</f>
        <v>127</v>
      </c>
      <c r="Q39" s="140">
        <f t="shared" si="0"/>
        <v>18.142857142857142</v>
      </c>
      <c r="R39" s="141">
        <f t="shared" si="1"/>
        <v>6.6141732283464565</v>
      </c>
      <c r="S39" s="136">
        <v>3619</v>
      </c>
      <c r="T39" s="134">
        <f aca="true" t="shared" si="7" ref="T39:T47">IF(S39&lt;&gt;0,-(S39-O39)/S39,"")</f>
        <v>-0.7678916827852998</v>
      </c>
      <c r="U39" s="136">
        <v>243971</v>
      </c>
      <c r="V39" s="137">
        <v>28295</v>
      </c>
      <c r="W39" s="155">
        <f t="shared" si="6"/>
        <v>8.622406785651176</v>
      </c>
      <c r="X39" s="8"/>
      <c r="Y39" s="8"/>
    </row>
    <row r="40" spans="1:25" s="10" customFormat="1" ht="18">
      <c r="A40" s="53">
        <v>36</v>
      </c>
      <c r="B40" s="126" t="s">
        <v>28</v>
      </c>
      <c r="C40" s="120">
        <v>39269</v>
      </c>
      <c r="D40" s="128" t="s">
        <v>49</v>
      </c>
      <c r="E40" s="128" t="s">
        <v>35</v>
      </c>
      <c r="F40" s="122">
        <v>1</v>
      </c>
      <c r="G40" s="122">
        <v>1</v>
      </c>
      <c r="H40" s="122">
        <v>10</v>
      </c>
      <c r="I40" s="129">
        <v>87</v>
      </c>
      <c r="J40" s="130">
        <v>11</v>
      </c>
      <c r="K40" s="129">
        <v>338</v>
      </c>
      <c r="L40" s="130">
        <v>41</v>
      </c>
      <c r="M40" s="129">
        <v>268</v>
      </c>
      <c r="N40" s="130">
        <v>34</v>
      </c>
      <c r="O40" s="131">
        <f>I40+K40+M40</f>
        <v>693</v>
      </c>
      <c r="P40" s="132">
        <f>J40+L40+N40</f>
        <v>86</v>
      </c>
      <c r="Q40" s="140">
        <f t="shared" si="0"/>
        <v>86</v>
      </c>
      <c r="R40" s="141">
        <f t="shared" si="1"/>
        <v>8.05813953488372</v>
      </c>
      <c r="S40" s="129"/>
      <c r="T40" s="134">
        <f t="shared" si="7"/>
      </c>
      <c r="U40" s="129">
        <v>24391.88</v>
      </c>
      <c r="V40" s="130">
        <v>3893</v>
      </c>
      <c r="W40" s="156">
        <f t="shared" si="6"/>
        <v>6.265574107372207</v>
      </c>
      <c r="X40" s="8"/>
      <c r="Y40" s="8"/>
    </row>
    <row r="41" spans="1:25" s="10" customFormat="1" ht="18">
      <c r="A41" s="52">
        <v>37</v>
      </c>
      <c r="B41" s="199" t="s">
        <v>92</v>
      </c>
      <c r="C41" s="127">
        <v>39276</v>
      </c>
      <c r="D41" s="183" t="s">
        <v>12</v>
      </c>
      <c r="E41" s="183" t="s">
        <v>57</v>
      </c>
      <c r="F41" s="184">
        <v>26</v>
      </c>
      <c r="G41" s="184">
        <v>3</v>
      </c>
      <c r="H41" s="184">
        <v>9</v>
      </c>
      <c r="I41" s="149">
        <v>104</v>
      </c>
      <c r="J41" s="150">
        <v>15</v>
      </c>
      <c r="K41" s="149">
        <v>173</v>
      </c>
      <c r="L41" s="150">
        <v>24</v>
      </c>
      <c r="M41" s="149">
        <v>208</v>
      </c>
      <c r="N41" s="150">
        <v>30</v>
      </c>
      <c r="O41" s="151">
        <f>M41+K41+I41</f>
        <v>485</v>
      </c>
      <c r="P41" s="152">
        <f>N41+L41+J41</f>
        <v>69</v>
      </c>
      <c r="Q41" s="140">
        <f t="shared" si="0"/>
        <v>23</v>
      </c>
      <c r="R41" s="141">
        <f t="shared" si="1"/>
        <v>7.028985507246377</v>
      </c>
      <c r="S41" s="149">
        <v>653</v>
      </c>
      <c r="T41" s="134">
        <f t="shared" si="7"/>
        <v>-0.2572741194486983</v>
      </c>
      <c r="U41" s="149">
        <v>314871</v>
      </c>
      <c r="V41" s="150">
        <v>31768</v>
      </c>
      <c r="W41" s="160">
        <f t="shared" si="6"/>
        <v>9.911577688239738</v>
      </c>
      <c r="X41" s="8"/>
      <c r="Y41" s="8"/>
    </row>
    <row r="42" spans="1:25" s="10" customFormat="1" ht="18">
      <c r="A42" s="53">
        <v>38</v>
      </c>
      <c r="B42" s="200" t="s">
        <v>94</v>
      </c>
      <c r="C42" s="119">
        <v>39185</v>
      </c>
      <c r="D42" s="176" t="s">
        <v>36</v>
      </c>
      <c r="E42" s="176" t="s">
        <v>95</v>
      </c>
      <c r="F42" s="178">
        <v>111</v>
      </c>
      <c r="G42" s="178">
        <v>2</v>
      </c>
      <c r="H42" s="178">
        <v>19</v>
      </c>
      <c r="I42" s="136">
        <v>153</v>
      </c>
      <c r="J42" s="137">
        <v>29</v>
      </c>
      <c r="K42" s="136">
        <v>152</v>
      </c>
      <c r="L42" s="137">
        <v>30</v>
      </c>
      <c r="M42" s="136">
        <v>145</v>
      </c>
      <c r="N42" s="137">
        <v>25</v>
      </c>
      <c r="O42" s="138">
        <f>I42+K42+M42</f>
        <v>450</v>
      </c>
      <c r="P42" s="139">
        <f>J42+L42+N42</f>
        <v>84</v>
      </c>
      <c r="Q42" s="140">
        <f t="shared" si="0"/>
        <v>42</v>
      </c>
      <c r="R42" s="141">
        <f t="shared" si="1"/>
        <v>5.357142857142857</v>
      </c>
      <c r="S42" s="136">
        <v>46</v>
      </c>
      <c r="T42" s="134">
        <f t="shared" si="7"/>
        <v>8.782608695652174</v>
      </c>
      <c r="U42" s="136">
        <f>1098316+33+450</f>
        <v>1098799</v>
      </c>
      <c r="V42" s="137">
        <f>147463+11+84</f>
        <v>147558</v>
      </c>
      <c r="W42" s="158">
        <f>IF(U42&lt;&gt;0,U42/V42,"")</f>
        <v>7.44655660824896</v>
      </c>
      <c r="X42" s="8"/>
      <c r="Y42" s="8"/>
    </row>
    <row r="43" spans="1:25" s="10" customFormat="1" ht="18">
      <c r="A43" s="52">
        <v>39</v>
      </c>
      <c r="B43" s="199" t="s">
        <v>116</v>
      </c>
      <c r="C43" s="120">
        <v>39220</v>
      </c>
      <c r="D43" s="179" t="s">
        <v>34</v>
      </c>
      <c r="E43" s="179" t="s">
        <v>46</v>
      </c>
      <c r="F43" s="180">
        <v>40</v>
      </c>
      <c r="G43" s="180">
        <v>1</v>
      </c>
      <c r="H43" s="180">
        <v>17</v>
      </c>
      <c r="I43" s="129">
        <v>51</v>
      </c>
      <c r="J43" s="130">
        <v>10</v>
      </c>
      <c r="K43" s="129">
        <v>97</v>
      </c>
      <c r="L43" s="130">
        <v>19</v>
      </c>
      <c r="M43" s="129">
        <v>296</v>
      </c>
      <c r="N43" s="130">
        <v>58</v>
      </c>
      <c r="O43" s="131">
        <f>I43+K43+M43</f>
        <v>444</v>
      </c>
      <c r="P43" s="132">
        <f>J43+L43+N43</f>
        <v>87</v>
      </c>
      <c r="Q43" s="140">
        <f t="shared" si="0"/>
        <v>87</v>
      </c>
      <c r="R43" s="141">
        <f t="shared" si="1"/>
        <v>5.103448275862069</v>
      </c>
      <c r="S43" s="129"/>
      <c r="T43" s="134">
        <f t="shared" si="7"/>
      </c>
      <c r="U43" s="142">
        <v>489324.5</v>
      </c>
      <c r="V43" s="143">
        <v>71830</v>
      </c>
      <c r="W43" s="156">
        <f>U43/V43</f>
        <v>6.812258109425032</v>
      </c>
      <c r="X43" s="8"/>
      <c r="Y43" s="8"/>
    </row>
    <row r="44" spans="1:25" s="10" customFormat="1" ht="18">
      <c r="A44" s="53">
        <v>40</v>
      </c>
      <c r="B44" s="199" t="s">
        <v>86</v>
      </c>
      <c r="C44" s="120">
        <v>39227</v>
      </c>
      <c r="D44" s="179" t="s">
        <v>21</v>
      </c>
      <c r="E44" s="179" t="s">
        <v>22</v>
      </c>
      <c r="F44" s="180">
        <v>216</v>
      </c>
      <c r="G44" s="180">
        <v>2</v>
      </c>
      <c r="H44" s="180">
        <v>16</v>
      </c>
      <c r="I44" s="129">
        <v>50</v>
      </c>
      <c r="J44" s="130">
        <v>8</v>
      </c>
      <c r="K44" s="129">
        <v>56</v>
      </c>
      <c r="L44" s="130">
        <v>10</v>
      </c>
      <c r="M44" s="129">
        <v>289</v>
      </c>
      <c r="N44" s="130">
        <v>51</v>
      </c>
      <c r="O44" s="131">
        <f>+M44+K44+I44</f>
        <v>395</v>
      </c>
      <c r="P44" s="132">
        <f>+N44+L44+J44</f>
        <v>69</v>
      </c>
      <c r="Q44" s="140">
        <f t="shared" si="0"/>
        <v>34.5</v>
      </c>
      <c r="R44" s="141">
        <f t="shared" si="1"/>
        <v>5.72463768115942</v>
      </c>
      <c r="S44" s="129">
        <v>371</v>
      </c>
      <c r="T44" s="134">
        <f t="shared" si="7"/>
        <v>0.0646900269541779</v>
      </c>
      <c r="U44" s="129">
        <v>7392423</v>
      </c>
      <c r="V44" s="130">
        <v>968632</v>
      </c>
      <c r="W44" s="157">
        <f>+U44/V44</f>
        <v>7.63181786271773</v>
      </c>
      <c r="X44" s="8"/>
      <c r="Y44" s="8"/>
    </row>
    <row r="45" spans="1:25" s="10" customFormat="1" ht="18">
      <c r="A45" s="52">
        <v>41</v>
      </c>
      <c r="B45" s="200" t="s">
        <v>117</v>
      </c>
      <c r="C45" s="119">
        <v>38793</v>
      </c>
      <c r="D45" s="176" t="s">
        <v>36</v>
      </c>
      <c r="E45" s="176" t="s">
        <v>118</v>
      </c>
      <c r="F45" s="178">
        <v>2</v>
      </c>
      <c r="G45" s="178">
        <v>1</v>
      </c>
      <c r="H45" s="178">
        <v>16</v>
      </c>
      <c r="I45" s="136">
        <v>70</v>
      </c>
      <c r="J45" s="137">
        <v>7</v>
      </c>
      <c r="K45" s="136">
        <v>78</v>
      </c>
      <c r="L45" s="137">
        <v>6</v>
      </c>
      <c r="M45" s="136">
        <v>89</v>
      </c>
      <c r="N45" s="137">
        <v>7</v>
      </c>
      <c r="O45" s="138">
        <f>I45+K45+M45</f>
        <v>237</v>
      </c>
      <c r="P45" s="139">
        <f>J45+L45+N45</f>
        <v>20</v>
      </c>
      <c r="Q45" s="140">
        <f t="shared" si="0"/>
        <v>20</v>
      </c>
      <c r="R45" s="141">
        <f t="shared" si="1"/>
        <v>11.85</v>
      </c>
      <c r="S45" s="136"/>
      <c r="T45" s="134">
        <f t="shared" si="7"/>
      </c>
      <c r="U45" s="144">
        <f>39174.5+0</f>
        <v>39174.5</v>
      </c>
      <c r="V45" s="143">
        <f>5348+0</f>
        <v>5348</v>
      </c>
      <c r="W45" s="158">
        <f>IF(U45&lt;&gt;0,U45/V45,"")</f>
        <v>7.325074794315632</v>
      </c>
      <c r="X45" s="8"/>
      <c r="Y45" s="8"/>
    </row>
    <row r="46" spans="1:25" s="10" customFormat="1" ht="18">
      <c r="A46" s="52">
        <v>42</v>
      </c>
      <c r="B46" s="126" t="s">
        <v>87</v>
      </c>
      <c r="C46" s="120">
        <v>39283</v>
      </c>
      <c r="D46" s="128" t="s">
        <v>49</v>
      </c>
      <c r="E46" s="128" t="s">
        <v>35</v>
      </c>
      <c r="F46" s="122">
        <v>1</v>
      </c>
      <c r="G46" s="122">
        <v>1</v>
      </c>
      <c r="H46" s="122">
        <v>5</v>
      </c>
      <c r="I46" s="129">
        <v>85</v>
      </c>
      <c r="J46" s="130">
        <v>17</v>
      </c>
      <c r="K46" s="129">
        <v>75</v>
      </c>
      <c r="L46" s="130">
        <v>15</v>
      </c>
      <c r="M46" s="129">
        <v>65</v>
      </c>
      <c r="N46" s="130">
        <v>13</v>
      </c>
      <c r="O46" s="131">
        <f>I46+K46+M46</f>
        <v>225</v>
      </c>
      <c r="P46" s="132">
        <f>J46+L46+N46</f>
        <v>45</v>
      </c>
      <c r="Q46" s="140">
        <f t="shared" si="0"/>
        <v>45</v>
      </c>
      <c r="R46" s="141">
        <f t="shared" si="1"/>
        <v>5</v>
      </c>
      <c r="S46" s="129"/>
      <c r="T46" s="134">
        <f t="shared" si="7"/>
      </c>
      <c r="U46" s="129">
        <v>7212.25</v>
      </c>
      <c r="V46" s="130">
        <v>1267</v>
      </c>
      <c r="W46" s="156">
        <f>U46/V46</f>
        <v>5.692383583267561</v>
      </c>
      <c r="X46" s="8"/>
      <c r="Y46" s="8"/>
    </row>
    <row r="47" spans="1:25" s="10" customFormat="1" ht="18">
      <c r="A47" s="53">
        <v>43</v>
      </c>
      <c r="B47" s="199" t="s">
        <v>52</v>
      </c>
      <c r="C47" s="120">
        <v>39276</v>
      </c>
      <c r="D47" s="179" t="s">
        <v>21</v>
      </c>
      <c r="E47" s="179" t="s">
        <v>58</v>
      </c>
      <c r="F47" s="180">
        <v>20</v>
      </c>
      <c r="G47" s="180">
        <v>3</v>
      </c>
      <c r="H47" s="180">
        <v>9</v>
      </c>
      <c r="I47" s="129">
        <v>54</v>
      </c>
      <c r="J47" s="130">
        <v>10</v>
      </c>
      <c r="K47" s="129">
        <v>52</v>
      </c>
      <c r="L47" s="130">
        <v>10</v>
      </c>
      <c r="M47" s="129">
        <v>118</v>
      </c>
      <c r="N47" s="130">
        <v>22</v>
      </c>
      <c r="O47" s="131">
        <f>+M47+K47+I47</f>
        <v>224</v>
      </c>
      <c r="P47" s="132">
        <f>+N47+L47+J47</f>
        <v>42</v>
      </c>
      <c r="Q47" s="140">
        <f t="shared" si="0"/>
        <v>14</v>
      </c>
      <c r="R47" s="141">
        <f t="shared" si="1"/>
        <v>5.333333333333333</v>
      </c>
      <c r="S47" s="129">
        <v>565</v>
      </c>
      <c r="T47" s="134">
        <f t="shared" si="7"/>
        <v>-0.6035398230088496</v>
      </c>
      <c r="U47" s="129">
        <v>105911</v>
      </c>
      <c r="V47" s="130">
        <v>13149</v>
      </c>
      <c r="W47" s="157">
        <f>+U47/V47</f>
        <v>8.054680964331888</v>
      </c>
      <c r="X47" s="8"/>
      <c r="Y47" s="8"/>
    </row>
    <row r="48" spans="1:25" s="10" customFormat="1" ht="18">
      <c r="A48" s="52">
        <v>44</v>
      </c>
      <c r="B48" s="126" t="s">
        <v>67</v>
      </c>
      <c r="C48" s="120">
        <v>39262</v>
      </c>
      <c r="D48" s="185" t="s">
        <v>56</v>
      </c>
      <c r="E48" s="128" t="s">
        <v>29</v>
      </c>
      <c r="F48" s="122">
        <v>2</v>
      </c>
      <c r="G48" s="122">
        <v>2</v>
      </c>
      <c r="H48" s="122">
        <v>11</v>
      </c>
      <c r="I48" s="129">
        <v>40</v>
      </c>
      <c r="J48" s="130">
        <v>8</v>
      </c>
      <c r="K48" s="129">
        <v>7</v>
      </c>
      <c r="L48" s="130">
        <v>14</v>
      </c>
      <c r="M48" s="129">
        <v>161</v>
      </c>
      <c r="N48" s="130">
        <v>31</v>
      </c>
      <c r="O48" s="131">
        <f>SUM(I48+K48+M48)</f>
        <v>208</v>
      </c>
      <c r="P48" s="132">
        <f>SUM(J48+L48+N48)</f>
        <v>53</v>
      </c>
      <c r="Q48" s="130">
        <f>+P48/G48</f>
        <v>26.5</v>
      </c>
      <c r="R48" s="133">
        <f>+O48/P48</f>
        <v>3.9245283018867925</v>
      </c>
      <c r="S48" s="129"/>
      <c r="T48" s="186"/>
      <c r="U48" s="129">
        <v>9958</v>
      </c>
      <c r="V48" s="130">
        <v>1341</v>
      </c>
      <c r="W48" s="156">
        <f>U48/V48</f>
        <v>7.425801640566741</v>
      </c>
      <c r="X48" s="8"/>
      <c r="Y48" s="8"/>
    </row>
    <row r="49" spans="1:25" s="10" customFormat="1" ht="18">
      <c r="A49" s="53">
        <v>45</v>
      </c>
      <c r="B49" s="200" t="s">
        <v>55</v>
      </c>
      <c r="C49" s="119">
        <v>39164</v>
      </c>
      <c r="D49" s="176" t="s">
        <v>36</v>
      </c>
      <c r="E49" s="176" t="s">
        <v>54</v>
      </c>
      <c r="F49" s="178">
        <v>119</v>
      </c>
      <c r="G49" s="178">
        <v>1</v>
      </c>
      <c r="H49" s="178">
        <v>25</v>
      </c>
      <c r="I49" s="136">
        <v>30</v>
      </c>
      <c r="J49" s="137">
        <v>6</v>
      </c>
      <c r="K49" s="136">
        <v>59</v>
      </c>
      <c r="L49" s="137">
        <v>11</v>
      </c>
      <c r="M49" s="136">
        <v>110</v>
      </c>
      <c r="N49" s="137">
        <v>20</v>
      </c>
      <c r="O49" s="138">
        <f>I49+K49+M49</f>
        <v>199</v>
      </c>
      <c r="P49" s="139">
        <f>J49+L49+N49</f>
        <v>37</v>
      </c>
      <c r="Q49" s="140">
        <f aca="true" t="shared" si="8" ref="Q49:Q55">IF(O49&lt;&gt;0,P49/G49,"")</f>
        <v>37</v>
      </c>
      <c r="R49" s="141">
        <f aca="true" t="shared" si="9" ref="R49:R55">IF(O49&lt;&gt;0,O49/P49,"")</f>
        <v>5.378378378378378</v>
      </c>
      <c r="S49" s="136">
        <v>333</v>
      </c>
      <c r="T49" s="134">
        <f aca="true" t="shared" si="10" ref="T49:T55">IF(S49&lt;&gt;0,-(S49-O49)/S49,"")</f>
        <v>-0.4024024024024024</v>
      </c>
      <c r="U49" s="144">
        <f>1486973.5+0+60+3728+1281+565+311+129+80+136+123+1928+199</f>
        <v>1495513.5</v>
      </c>
      <c r="V49" s="143">
        <f>197344+0+9+619+252+110+56+19+12+21+18+377+37</f>
        <v>198874</v>
      </c>
      <c r="W49" s="158">
        <f>IF(U49&lt;&gt;0,U49/V49,"")</f>
        <v>7.519904562687933</v>
      </c>
      <c r="X49" s="8"/>
      <c r="Y49" s="8"/>
    </row>
    <row r="50" spans="1:25" s="10" customFormat="1" ht="18">
      <c r="A50" s="52">
        <v>46</v>
      </c>
      <c r="B50" s="200" t="s">
        <v>66</v>
      </c>
      <c r="C50" s="119">
        <v>39241</v>
      </c>
      <c r="D50" s="177" t="s">
        <v>10</v>
      </c>
      <c r="E50" s="176" t="s">
        <v>11</v>
      </c>
      <c r="F50" s="178">
        <v>114</v>
      </c>
      <c r="G50" s="178">
        <v>2</v>
      </c>
      <c r="H50" s="178">
        <v>14</v>
      </c>
      <c r="I50" s="136">
        <v>81</v>
      </c>
      <c r="J50" s="137">
        <v>12</v>
      </c>
      <c r="K50" s="136">
        <v>28</v>
      </c>
      <c r="L50" s="137">
        <v>4</v>
      </c>
      <c r="M50" s="136">
        <v>60</v>
      </c>
      <c r="N50" s="137">
        <v>9</v>
      </c>
      <c r="O50" s="138">
        <f aca="true" t="shared" si="11" ref="O50:P53">+I50+K50+M50</f>
        <v>169</v>
      </c>
      <c r="P50" s="139">
        <f t="shared" si="11"/>
        <v>25</v>
      </c>
      <c r="Q50" s="140">
        <f t="shared" si="8"/>
        <v>12.5</v>
      </c>
      <c r="R50" s="141">
        <f t="shared" si="9"/>
        <v>6.76</v>
      </c>
      <c r="S50" s="136">
        <v>349</v>
      </c>
      <c r="T50" s="134">
        <f t="shared" si="10"/>
        <v>-0.5157593123209169</v>
      </c>
      <c r="U50" s="136">
        <v>2898500</v>
      </c>
      <c r="V50" s="137">
        <v>339551</v>
      </c>
      <c r="W50" s="155">
        <f aca="true" t="shared" si="12" ref="W50:W57">U50/V50</f>
        <v>8.53627290156707</v>
      </c>
      <c r="X50" s="8"/>
      <c r="Y50" s="8"/>
    </row>
    <row r="51" spans="1:25" s="10" customFormat="1" ht="18">
      <c r="A51" s="53">
        <v>47</v>
      </c>
      <c r="B51" s="200" t="s">
        <v>39</v>
      </c>
      <c r="C51" s="119">
        <v>39178</v>
      </c>
      <c r="D51" s="177" t="s">
        <v>10</v>
      </c>
      <c r="E51" s="177" t="s">
        <v>40</v>
      </c>
      <c r="F51" s="178">
        <v>34</v>
      </c>
      <c r="G51" s="178">
        <v>1</v>
      </c>
      <c r="H51" s="178">
        <v>18</v>
      </c>
      <c r="I51" s="136">
        <v>39</v>
      </c>
      <c r="J51" s="137">
        <v>5</v>
      </c>
      <c r="K51" s="136">
        <v>30</v>
      </c>
      <c r="L51" s="137">
        <v>4</v>
      </c>
      <c r="M51" s="136">
        <v>80</v>
      </c>
      <c r="N51" s="137">
        <v>10</v>
      </c>
      <c r="O51" s="138">
        <f t="shared" si="11"/>
        <v>149</v>
      </c>
      <c r="P51" s="139">
        <f t="shared" si="11"/>
        <v>19</v>
      </c>
      <c r="Q51" s="140">
        <f t="shared" si="8"/>
        <v>19</v>
      </c>
      <c r="R51" s="141">
        <f t="shared" si="9"/>
        <v>7.842105263157895</v>
      </c>
      <c r="S51" s="136">
        <v>157</v>
      </c>
      <c r="T51" s="134">
        <f t="shared" si="10"/>
        <v>-0.050955414012738856</v>
      </c>
      <c r="U51" s="136">
        <v>442710</v>
      </c>
      <c r="V51" s="137">
        <v>45689</v>
      </c>
      <c r="W51" s="155">
        <f t="shared" si="12"/>
        <v>9.689640832585523</v>
      </c>
      <c r="X51" s="8"/>
      <c r="Y51" s="8"/>
    </row>
    <row r="52" spans="1:25" s="10" customFormat="1" ht="18">
      <c r="A52" s="52">
        <v>48</v>
      </c>
      <c r="B52" s="200" t="s">
        <v>61</v>
      </c>
      <c r="C52" s="119">
        <v>39255</v>
      </c>
      <c r="D52" s="177" t="s">
        <v>10</v>
      </c>
      <c r="E52" s="176" t="s">
        <v>47</v>
      </c>
      <c r="F52" s="178">
        <v>55</v>
      </c>
      <c r="G52" s="178">
        <v>1</v>
      </c>
      <c r="H52" s="178">
        <v>12</v>
      </c>
      <c r="I52" s="136">
        <v>15</v>
      </c>
      <c r="J52" s="137">
        <v>2</v>
      </c>
      <c r="K52" s="136">
        <v>47</v>
      </c>
      <c r="L52" s="137">
        <v>6</v>
      </c>
      <c r="M52" s="136">
        <v>78</v>
      </c>
      <c r="N52" s="137">
        <v>10</v>
      </c>
      <c r="O52" s="138">
        <f t="shared" si="11"/>
        <v>140</v>
      </c>
      <c r="P52" s="139">
        <f t="shared" si="11"/>
        <v>18</v>
      </c>
      <c r="Q52" s="140">
        <f t="shared" si="8"/>
        <v>18</v>
      </c>
      <c r="R52" s="141">
        <f t="shared" si="9"/>
        <v>7.777777777777778</v>
      </c>
      <c r="S52" s="136">
        <v>433</v>
      </c>
      <c r="T52" s="134">
        <f t="shared" si="10"/>
        <v>-0.6766743648960739</v>
      </c>
      <c r="U52" s="136">
        <v>579400</v>
      </c>
      <c r="V52" s="137">
        <v>73193</v>
      </c>
      <c r="W52" s="155">
        <f t="shared" si="12"/>
        <v>7.916057546486686</v>
      </c>
      <c r="X52" s="8"/>
      <c r="Y52" s="8"/>
    </row>
    <row r="53" spans="1:25" s="10" customFormat="1" ht="18">
      <c r="A53" s="52">
        <v>49</v>
      </c>
      <c r="B53" s="200" t="s">
        <v>75</v>
      </c>
      <c r="C53" s="119">
        <v>39206</v>
      </c>
      <c r="D53" s="177" t="s">
        <v>10</v>
      </c>
      <c r="E53" s="177" t="s">
        <v>47</v>
      </c>
      <c r="F53" s="178">
        <v>163</v>
      </c>
      <c r="G53" s="178">
        <v>1</v>
      </c>
      <c r="H53" s="178">
        <v>19</v>
      </c>
      <c r="I53" s="136">
        <v>18</v>
      </c>
      <c r="J53" s="137">
        <v>3</v>
      </c>
      <c r="K53" s="136">
        <v>42</v>
      </c>
      <c r="L53" s="137">
        <v>7</v>
      </c>
      <c r="M53" s="136">
        <v>42</v>
      </c>
      <c r="N53" s="137">
        <v>8</v>
      </c>
      <c r="O53" s="138">
        <f t="shared" si="11"/>
        <v>102</v>
      </c>
      <c r="P53" s="139">
        <f t="shared" si="11"/>
        <v>18</v>
      </c>
      <c r="Q53" s="140">
        <f t="shared" si="8"/>
        <v>18</v>
      </c>
      <c r="R53" s="141">
        <f t="shared" si="9"/>
        <v>5.666666666666667</v>
      </c>
      <c r="S53" s="136">
        <v>75</v>
      </c>
      <c r="T53" s="134">
        <f t="shared" si="10"/>
        <v>0.36</v>
      </c>
      <c r="U53" s="136">
        <v>5669411</v>
      </c>
      <c r="V53" s="137">
        <v>736885</v>
      </c>
      <c r="W53" s="155">
        <f t="shared" si="12"/>
        <v>7.693752756535959</v>
      </c>
      <c r="X53" s="8"/>
      <c r="Y53" s="8"/>
    </row>
    <row r="54" spans="1:25" s="10" customFormat="1" ht="18">
      <c r="A54" s="53">
        <v>50</v>
      </c>
      <c r="B54" s="199" t="s">
        <v>93</v>
      </c>
      <c r="C54" s="120">
        <v>39213</v>
      </c>
      <c r="D54" s="179" t="s">
        <v>34</v>
      </c>
      <c r="E54" s="179" t="s">
        <v>46</v>
      </c>
      <c r="F54" s="180">
        <v>1</v>
      </c>
      <c r="G54" s="180">
        <v>1</v>
      </c>
      <c r="H54" s="180">
        <v>17</v>
      </c>
      <c r="I54" s="129">
        <v>36</v>
      </c>
      <c r="J54" s="130">
        <v>8</v>
      </c>
      <c r="K54" s="129">
        <v>9</v>
      </c>
      <c r="L54" s="130">
        <v>2</v>
      </c>
      <c r="M54" s="129">
        <v>54</v>
      </c>
      <c r="N54" s="130">
        <v>13</v>
      </c>
      <c r="O54" s="131">
        <f>I54+K54+M54</f>
        <v>99</v>
      </c>
      <c r="P54" s="132">
        <f>J54+L54+N54</f>
        <v>23</v>
      </c>
      <c r="Q54" s="140">
        <f t="shared" si="8"/>
        <v>23</v>
      </c>
      <c r="R54" s="141">
        <f t="shared" si="9"/>
        <v>4.304347826086956</v>
      </c>
      <c r="S54" s="129">
        <v>189</v>
      </c>
      <c r="T54" s="134">
        <f t="shared" si="10"/>
        <v>-0.47619047619047616</v>
      </c>
      <c r="U54" s="142">
        <v>34665</v>
      </c>
      <c r="V54" s="143">
        <v>5452</v>
      </c>
      <c r="W54" s="156">
        <f t="shared" si="12"/>
        <v>6.3582171680117385</v>
      </c>
      <c r="X54" s="8"/>
      <c r="Y54" s="8"/>
    </row>
    <row r="55" spans="1:25" s="10" customFormat="1" ht="18">
      <c r="A55" s="52">
        <v>51</v>
      </c>
      <c r="B55" s="200" t="s">
        <v>0</v>
      </c>
      <c r="C55" s="119">
        <v>39269</v>
      </c>
      <c r="D55" s="177" t="s">
        <v>10</v>
      </c>
      <c r="E55" s="176" t="s">
        <v>60</v>
      </c>
      <c r="F55" s="178">
        <v>56</v>
      </c>
      <c r="G55" s="178">
        <v>1</v>
      </c>
      <c r="H55" s="178">
        <v>10</v>
      </c>
      <c r="I55" s="136">
        <v>25</v>
      </c>
      <c r="J55" s="137">
        <v>5</v>
      </c>
      <c r="K55" s="136">
        <v>40</v>
      </c>
      <c r="L55" s="137">
        <v>8</v>
      </c>
      <c r="M55" s="136">
        <v>33</v>
      </c>
      <c r="N55" s="137">
        <v>7</v>
      </c>
      <c r="O55" s="138">
        <f>+I55+K55+M55</f>
        <v>98</v>
      </c>
      <c r="P55" s="139">
        <f>+J55+L55+N55</f>
        <v>20</v>
      </c>
      <c r="Q55" s="140">
        <f t="shared" si="8"/>
        <v>20</v>
      </c>
      <c r="R55" s="141">
        <f t="shared" si="9"/>
        <v>4.9</v>
      </c>
      <c r="S55" s="136">
        <v>1458</v>
      </c>
      <c r="T55" s="134">
        <f t="shared" si="10"/>
        <v>-0.9327846364883402</v>
      </c>
      <c r="U55" s="136">
        <v>330506</v>
      </c>
      <c r="V55" s="137">
        <v>43939</v>
      </c>
      <c r="W55" s="155">
        <f t="shared" si="12"/>
        <v>7.521928127631489</v>
      </c>
      <c r="X55" s="8"/>
      <c r="Y55" s="8"/>
    </row>
    <row r="56" spans="1:25" s="10" customFormat="1" ht="18">
      <c r="A56" s="53">
        <v>52</v>
      </c>
      <c r="B56" s="125" t="s">
        <v>25</v>
      </c>
      <c r="C56" s="119">
        <v>39157</v>
      </c>
      <c r="D56" s="183" t="s">
        <v>26</v>
      </c>
      <c r="E56" s="183" t="s">
        <v>53</v>
      </c>
      <c r="F56" s="184">
        <v>91</v>
      </c>
      <c r="G56" s="184">
        <v>2</v>
      </c>
      <c r="H56" s="184">
        <v>26</v>
      </c>
      <c r="I56" s="149">
        <v>60</v>
      </c>
      <c r="J56" s="150">
        <v>21</v>
      </c>
      <c r="K56" s="149">
        <v>0</v>
      </c>
      <c r="L56" s="150">
        <v>0</v>
      </c>
      <c r="M56" s="149">
        <v>0</v>
      </c>
      <c r="N56" s="150">
        <v>0</v>
      </c>
      <c r="O56" s="151">
        <f>I56+K56+M56</f>
        <v>60</v>
      </c>
      <c r="P56" s="152">
        <f>J56+L56+N56</f>
        <v>21</v>
      </c>
      <c r="Q56" s="150">
        <f>+P56/G56</f>
        <v>10.5</v>
      </c>
      <c r="R56" s="153">
        <f>+O56/P56</f>
        <v>2.857142857142857</v>
      </c>
      <c r="S56" s="149">
        <v>1829</v>
      </c>
      <c r="T56" s="186">
        <f>(+S56-O56)/S56</f>
        <v>0.9671951886276654</v>
      </c>
      <c r="U56" s="149">
        <v>4179182</v>
      </c>
      <c r="V56" s="150">
        <v>543949</v>
      </c>
      <c r="W56" s="160">
        <f t="shared" si="12"/>
        <v>7.68304013795411</v>
      </c>
      <c r="X56" s="8"/>
      <c r="Y56" s="8"/>
    </row>
    <row r="57" spans="1:25" s="10" customFormat="1" ht="18">
      <c r="A57" s="52">
        <v>53</v>
      </c>
      <c r="B57" s="199" t="s">
        <v>88</v>
      </c>
      <c r="C57" s="120">
        <v>38828</v>
      </c>
      <c r="D57" s="179" t="s">
        <v>104</v>
      </c>
      <c r="E57" s="179" t="s">
        <v>104</v>
      </c>
      <c r="F57" s="180">
        <v>43</v>
      </c>
      <c r="G57" s="180">
        <v>1</v>
      </c>
      <c r="H57" s="180">
        <v>29</v>
      </c>
      <c r="I57" s="129">
        <v>55</v>
      </c>
      <c r="J57" s="130">
        <v>11</v>
      </c>
      <c r="K57" s="129">
        <v>0</v>
      </c>
      <c r="L57" s="130">
        <v>0</v>
      </c>
      <c r="M57" s="129">
        <v>0</v>
      </c>
      <c r="N57" s="130">
        <v>0</v>
      </c>
      <c r="O57" s="131">
        <f>SUM(I57+K57+M57)</f>
        <v>55</v>
      </c>
      <c r="P57" s="132">
        <f>SUM(J57+L57+N57)</f>
        <v>11</v>
      </c>
      <c r="Q57" s="140">
        <f>IF(O57&lt;&gt;0,P57/G57,"")</f>
        <v>11</v>
      </c>
      <c r="R57" s="141">
        <f>IF(O57&lt;&gt;0,O57/P57,"")</f>
        <v>5</v>
      </c>
      <c r="S57" s="129">
        <v>288</v>
      </c>
      <c r="T57" s="134">
        <f>IF(S57&lt;&gt;0,-(S57-O57)/S57,"")</f>
        <v>-0.8090277777777778</v>
      </c>
      <c r="U57" s="129">
        <v>635718</v>
      </c>
      <c r="V57" s="130">
        <v>100091</v>
      </c>
      <c r="W57" s="156">
        <f t="shared" si="12"/>
        <v>6.351400225794527</v>
      </c>
      <c r="X57" s="8"/>
      <c r="Y57" s="8"/>
    </row>
    <row r="58" spans="1:25" s="10" customFormat="1" ht="18">
      <c r="A58" s="53">
        <v>54</v>
      </c>
      <c r="B58" s="200" t="s">
        <v>96</v>
      </c>
      <c r="C58" s="119">
        <v>39234</v>
      </c>
      <c r="D58" s="176" t="s">
        <v>36</v>
      </c>
      <c r="E58" s="176" t="s">
        <v>97</v>
      </c>
      <c r="F58" s="178">
        <v>27</v>
      </c>
      <c r="G58" s="178">
        <v>1</v>
      </c>
      <c r="H58" s="178">
        <v>14</v>
      </c>
      <c r="I58" s="136">
        <v>0</v>
      </c>
      <c r="J58" s="137">
        <v>0</v>
      </c>
      <c r="K58" s="136">
        <v>23</v>
      </c>
      <c r="L58" s="137">
        <v>7</v>
      </c>
      <c r="M58" s="136">
        <v>30</v>
      </c>
      <c r="N58" s="137">
        <v>10</v>
      </c>
      <c r="O58" s="138">
        <f>I58+K58+M58</f>
        <v>53</v>
      </c>
      <c r="P58" s="139">
        <f>J58+L58+N58</f>
        <v>17</v>
      </c>
      <c r="Q58" s="140">
        <f>IF(O58&lt;&gt;0,P58/G58,"")</f>
        <v>17</v>
      </c>
      <c r="R58" s="141">
        <f>IF(O58&lt;&gt;0,O58/P58,"")</f>
        <v>3.1176470588235294</v>
      </c>
      <c r="S58" s="136">
        <v>30</v>
      </c>
      <c r="T58" s="134">
        <f>IF(S58&lt;&gt;0,-(S58-O58)/S58,"")</f>
        <v>0.7666666666666667</v>
      </c>
      <c r="U58" s="144">
        <f>65950.5+53</f>
        <v>66003.5</v>
      </c>
      <c r="V58" s="143">
        <f>8813+0+17</f>
        <v>8830</v>
      </c>
      <c r="W58" s="158">
        <f>IF(U58&lt;&gt;0,U58/V58,"")</f>
        <v>7.474915062287656</v>
      </c>
      <c r="X58" s="8"/>
      <c r="Y58" s="8"/>
    </row>
    <row r="59" spans="1:25" s="10" customFormat="1" ht="18">
      <c r="A59" s="52">
        <v>55</v>
      </c>
      <c r="B59" s="199" t="s">
        <v>80</v>
      </c>
      <c r="C59" s="119">
        <v>38975</v>
      </c>
      <c r="D59" s="179" t="s">
        <v>21</v>
      </c>
      <c r="E59" s="179" t="s">
        <v>22</v>
      </c>
      <c r="F59" s="180">
        <v>125</v>
      </c>
      <c r="G59" s="180">
        <v>1</v>
      </c>
      <c r="H59" s="180">
        <v>51</v>
      </c>
      <c r="I59" s="129">
        <v>0</v>
      </c>
      <c r="J59" s="130">
        <v>0</v>
      </c>
      <c r="K59" s="129">
        <v>14</v>
      </c>
      <c r="L59" s="130">
        <v>2</v>
      </c>
      <c r="M59" s="129">
        <v>21</v>
      </c>
      <c r="N59" s="130">
        <v>3</v>
      </c>
      <c r="O59" s="131">
        <f>+M59+K59+I59</f>
        <v>35</v>
      </c>
      <c r="P59" s="132">
        <f>+N59+L59+J59</f>
        <v>5</v>
      </c>
      <c r="Q59" s="140">
        <f>IF(O59&lt;&gt;0,P59/G59,"")</f>
        <v>5</v>
      </c>
      <c r="R59" s="141">
        <f>IF(O59&lt;&gt;0,O59/P59,"")</f>
        <v>7</v>
      </c>
      <c r="S59" s="129">
        <v>42</v>
      </c>
      <c r="T59" s="134">
        <f>IF(S59&lt;&gt;0,-(S59-O59)/S59,"")</f>
        <v>-0.16666666666666666</v>
      </c>
      <c r="U59" s="129">
        <v>2376044</v>
      </c>
      <c r="V59" s="130">
        <v>328792</v>
      </c>
      <c r="W59" s="157">
        <f>+U59/V59</f>
        <v>7.226587021582033</v>
      </c>
      <c r="X59" s="8"/>
      <c r="Y59" s="8"/>
    </row>
    <row r="60" spans="1:25" s="10" customFormat="1" ht="18">
      <c r="A60" s="52">
        <v>56</v>
      </c>
      <c r="B60" s="200" t="s">
        <v>119</v>
      </c>
      <c r="C60" s="119">
        <v>39073</v>
      </c>
      <c r="D60" s="176" t="s">
        <v>36</v>
      </c>
      <c r="E60" s="176" t="s">
        <v>120</v>
      </c>
      <c r="F60" s="178">
        <v>112</v>
      </c>
      <c r="G60" s="178">
        <v>1</v>
      </c>
      <c r="H60" s="178">
        <v>26</v>
      </c>
      <c r="I60" s="136">
        <v>0</v>
      </c>
      <c r="J60" s="137">
        <v>0</v>
      </c>
      <c r="K60" s="136">
        <v>0</v>
      </c>
      <c r="L60" s="137">
        <v>0</v>
      </c>
      <c r="M60" s="136">
        <v>15</v>
      </c>
      <c r="N60" s="137">
        <v>3</v>
      </c>
      <c r="O60" s="138">
        <f>I60+K60+M60</f>
        <v>15</v>
      </c>
      <c r="P60" s="139">
        <f>J60+L60+N60</f>
        <v>3</v>
      </c>
      <c r="Q60" s="140">
        <f>IF(O60&lt;&gt;0,P60/G60,"")</f>
        <v>3</v>
      </c>
      <c r="R60" s="141">
        <f>IF(O60&lt;&gt;0,O60/P60,"")</f>
        <v>5</v>
      </c>
      <c r="S60" s="136"/>
      <c r="T60" s="134">
        <f>IF(S60&lt;&gt;0,-(S60-O60)/S60,"")</f>
      </c>
      <c r="U60" s="144">
        <f>2774437+0</f>
        <v>2774437</v>
      </c>
      <c r="V60" s="143">
        <f>382907+0</f>
        <v>382907</v>
      </c>
      <c r="W60" s="158">
        <f>IF(U60&lt;&gt;0,U60/V60,"")</f>
        <v>7.245720240162755</v>
      </c>
      <c r="X60" s="8"/>
      <c r="Y60" s="8"/>
    </row>
    <row r="61" spans="1:25" s="10" customFormat="1" ht="18.75" thickBot="1">
      <c r="A61" s="53">
        <v>57</v>
      </c>
      <c r="B61" s="202" t="s">
        <v>79</v>
      </c>
      <c r="C61" s="203">
        <v>39227</v>
      </c>
      <c r="D61" s="204" t="s">
        <v>21</v>
      </c>
      <c r="E61" s="204" t="s">
        <v>22</v>
      </c>
      <c r="F61" s="205">
        <v>77</v>
      </c>
      <c r="G61" s="205">
        <v>1</v>
      </c>
      <c r="H61" s="205">
        <v>29</v>
      </c>
      <c r="I61" s="206">
        <v>0</v>
      </c>
      <c r="J61" s="207">
        <v>0</v>
      </c>
      <c r="K61" s="206">
        <v>0</v>
      </c>
      <c r="L61" s="207">
        <v>0</v>
      </c>
      <c r="M61" s="206">
        <v>14</v>
      </c>
      <c r="N61" s="207">
        <v>2</v>
      </c>
      <c r="O61" s="208">
        <f>+M61+K61+I61</f>
        <v>14</v>
      </c>
      <c r="P61" s="209">
        <f>+N61+L61+J61</f>
        <v>2</v>
      </c>
      <c r="Q61" s="161">
        <f>IF(O61&lt;&gt;0,P61/G61,"")</f>
        <v>2</v>
      </c>
      <c r="R61" s="162">
        <f>IF(O61&lt;&gt;0,O61/P61,"")</f>
        <v>7</v>
      </c>
      <c r="S61" s="206">
        <v>35</v>
      </c>
      <c r="T61" s="163">
        <f>IF(S61&lt;&gt;0,-(S61-O61)/S61,"")</f>
        <v>-0.6</v>
      </c>
      <c r="U61" s="206">
        <v>1556894</v>
      </c>
      <c r="V61" s="207">
        <v>199707</v>
      </c>
      <c r="W61" s="210">
        <f>+U61/V61</f>
        <v>7.795890980286119</v>
      </c>
      <c r="X61" s="8"/>
      <c r="Y61" s="8"/>
    </row>
    <row r="62" spans="1:28" s="66" customFormat="1" ht="15.75" thickBot="1">
      <c r="A62" s="74"/>
      <c r="B62" s="230" t="s">
        <v>32</v>
      </c>
      <c r="C62" s="231"/>
      <c r="D62" s="232"/>
      <c r="E62" s="233"/>
      <c r="F62" s="69">
        <f>SUM(F5:F61)</f>
        <v>4187</v>
      </c>
      <c r="G62" s="69">
        <f>SUM(G5:G61)</f>
        <v>1083</v>
      </c>
      <c r="H62" s="70"/>
      <c r="I62" s="79"/>
      <c r="J62" s="90"/>
      <c r="K62" s="79"/>
      <c r="L62" s="90"/>
      <c r="M62" s="79"/>
      <c r="N62" s="90"/>
      <c r="O62" s="79">
        <f>SUM(O5:O61)</f>
        <v>1619510.22</v>
      </c>
      <c r="P62" s="90">
        <f>SUM(P5:P61)</f>
        <v>190158</v>
      </c>
      <c r="Q62" s="90">
        <f>O62/G62</f>
        <v>1495.3926315789474</v>
      </c>
      <c r="R62" s="71">
        <f>O62/P62</f>
        <v>8.516655728394282</v>
      </c>
      <c r="S62" s="79"/>
      <c r="T62" s="72"/>
      <c r="U62" s="79"/>
      <c r="V62" s="90"/>
      <c r="W62" s="73"/>
      <c r="AB62" s="66" t="s">
        <v>44</v>
      </c>
    </row>
    <row r="63" spans="1:24" s="51" customFormat="1" ht="18">
      <c r="A63" s="40"/>
      <c r="B63" s="76"/>
      <c r="C63" s="68"/>
      <c r="F63" s="101"/>
      <c r="G63" s="42"/>
      <c r="H63" s="41"/>
      <c r="I63" s="80"/>
      <c r="J63" s="45"/>
      <c r="K63" s="80"/>
      <c r="L63" s="45"/>
      <c r="M63" s="80"/>
      <c r="N63" s="45"/>
      <c r="O63" s="80"/>
      <c r="P63" s="45"/>
      <c r="Q63" s="45"/>
      <c r="R63" s="46"/>
      <c r="S63" s="88"/>
      <c r="T63" s="48"/>
      <c r="U63" s="88"/>
      <c r="V63" s="45"/>
      <c r="W63" s="46"/>
      <c r="X63" s="50"/>
    </row>
    <row r="64" spans="1:24" s="33" customFormat="1" ht="18">
      <c r="A64" s="32"/>
      <c r="B64" s="77"/>
      <c r="C64" s="63"/>
      <c r="D64" s="228"/>
      <c r="E64" s="229"/>
      <c r="F64" s="229"/>
      <c r="G64" s="229"/>
      <c r="H64" s="34"/>
      <c r="I64" s="81"/>
      <c r="J64" s="91"/>
      <c r="K64" s="81"/>
      <c r="L64" s="91"/>
      <c r="M64" s="81"/>
      <c r="N64" s="91"/>
      <c r="O64" s="85"/>
      <c r="P64" s="98"/>
      <c r="Q64" s="91"/>
      <c r="R64" s="37"/>
      <c r="S64" s="238" t="s">
        <v>45</v>
      </c>
      <c r="T64" s="238"/>
      <c r="U64" s="238"/>
      <c r="V64" s="238"/>
      <c r="W64" s="238"/>
      <c r="X64" s="38"/>
    </row>
    <row r="65" spans="1:24" s="33" customFormat="1" ht="18">
      <c r="A65" s="32"/>
      <c r="B65" s="77"/>
      <c r="C65" s="63"/>
      <c r="D65" s="110"/>
      <c r="E65" s="111"/>
      <c r="F65" s="100"/>
      <c r="G65" s="100"/>
      <c r="H65" s="34"/>
      <c r="I65" s="81"/>
      <c r="J65" s="91"/>
      <c r="K65" s="81"/>
      <c r="L65" s="91"/>
      <c r="M65" s="81"/>
      <c r="N65" s="91"/>
      <c r="O65" s="85"/>
      <c r="P65" s="98"/>
      <c r="Q65" s="91"/>
      <c r="R65" s="37"/>
      <c r="S65" s="238"/>
      <c r="T65" s="238"/>
      <c r="U65" s="238"/>
      <c r="V65" s="238"/>
      <c r="W65" s="238"/>
      <c r="X65" s="38"/>
    </row>
    <row r="66" spans="1:24" s="33" customFormat="1" ht="18">
      <c r="A66" s="32"/>
      <c r="B66" s="39"/>
      <c r="C66" s="64"/>
      <c r="F66" s="34"/>
      <c r="G66" s="34"/>
      <c r="H66" s="34"/>
      <c r="I66" s="81"/>
      <c r="J66" s="91"/>
      <c r="K66" s="81"/>
      <c r="L66" s="91"/>
      <c r="M66" s="81"/>
      <c r="N66" s="91"/>
      <c r="O66" s="85"/>
      <c r="P66" s="98"/>
      <c r="Q66" s="91"/>
      <c r="R66" s="37"/>
      <c r="S66" s="238"/>
      <c r="T66" s="238"/>
      <c r="U66" s="238"/>
      <c r="V66" s="238"/>
      <c r="W66" s="238"/>
      <c r="X66" s="38"/>
    </row>
    <row r="67" spans="1:24" s="33" customFormat="1" ht="18" customHeight="1">
      <c r="A67" s="32"/>
      <c r="B67" s="39"/>
      <c r="C67" s="64"/>
      <c r="F67" s="34"/>
      <c r="G67" s="34"/>
      <c r="H67" s="34"/>
      <c r="I67" s="81"/>
      <c r="J67" s="91"/>
      <c r="K67" s="81"/>
      <c r="L67" s="91"/>
      <c r="M67" s="81"/>
      <c r="N67" s="91"/>
      <c r="O67" s="85"/>
      <c r="P67" s="98"/>
      <c r="Q67" s="91"/>
      <c r="R67" s="37"/>
      <c r="S67" s="237" t="s">
        <v>99</v>
      </c>
      <c r="T67" s="237"/>
      <c r="U67" s="237"/>
      <c r="V67" s="237"/>
      <c r="W67" s="237"/>
      <c r="X67" s="38"/>
    </row>
    <row r="68" spans="1:24" s="33" customFormat="1" ht="18">
      <c r="A68" s="32"/>
      <c r="B68" s="39"/>
      <c r="C68" s="64"/>
      <c r="F68" s="34"/>
      <c r="G68" s="34"/>
      <c r="H68" s="34"/>
      <c r="I68" s="81"/>
      <c r="J68" s="91"/>
      <c r="K68" s="81"/>
      <c r="L68" s="91"/>
      <c r="M68" s="81"/>
      <c r="N68" s="91"/>
      <c r="O68" s="85"/>
      <c r="P68" s="98"/>
      <c r="Q68" s="91"/>
      <c r="R68" s="37"/>
      <c r="S68" s="237"/>
      <c r="T68" s="237"/>
      <c r="U68" s="237"/>
      <c r="V68" s="237"/>
      <c r="W68" s="237"/>
      <c r="X68" s="38"/>
    </row>
    <row r="69" spans="1:24" s="33" customFormat="1" ht="18">
      <c r="A69" s="32"/>
      <c r="B69" s="39"/>
      <c r="C69" s="64"/>
      <c r="F69" s="34"/>
      <c r="G69" s="34"/>
      <c r="H69" s="34"/>
      <c r="I69" s="81"/>
      <c r="J69" s="91"/>
      <c r="K69" s="81"/>
      <c r="L69" s="91"/>
      <c r="M69" s="81"/>
      <c r="N69" s="91"/>
      <c r="O69" s="85"/>
      <c r="P69" s="98"/>
      <c r="Q69" s="91"/>
      <c r="R69" s="37"/>
      <c r="S69" s="237"/>
      <c r="T69" s="237"/>
      <c r="U69" s="237"/>
      <c r="V69" s="237"/>
      <c r="W69" s="237"/>
      <c r="X69" s="38"/>
    </row>
    <row r="70" spans="1:24" s="33" customFormat="1" ht="18">
      <c r="A70" s="32"/>
      <c r="B70" s="39"/>
      <c r="C70" s="64"/>
      <c r="F70" s="34"/>
      <c r="G70" s="34"/>
      <c r="H70" s="34"/>
      <c r="I70" s="81"/>
      <c r="J70" s="91"/>
      <c r="K70" s="81"/>
      <c r="L70" s="91"/>
      <c r="M70" s="81"/>
      <c r="N70" s="91"/>
      <c r="O70" s="85"/>
      <c r="P70" s="98"/>
      <c r="Q70" s="91"/>
      <c r="R70" s="37"/>
      <c r="S70" s="237" t="s">
        <v>98</v>
      </c>
      <c r="T70" s="237"/>
      <c r="U70" s="237"/>
      <c r="V70" s="237"/>
      <c r="W70" s="237"/>
      <c r="X70" s="38"/>
    </row>
    <row r="71" spans="1:24" s="33" customFormat="1" ht="18">
      <c r="A71" s="32"/>
      <c r="B71" s="39"/>
      <c r="C71" s="64"/>
      <c r="F71" s="34"/>
      <c r="G71" s="34"/>
      <c r="H71" s="34"/>
      <c r="I71" s="81"/>
      <c r="J71" s="91"/>
      <c r="K71" s="81"/>
      <c r="L71" s="91"/>
      <c r="M71" s="81"/>
      <c r="N71" s="91"/>
      <c r="O71" s="85"/>
      <c r="P71" s="98"/>
      <c r="Q71" s="91"/>
      <c r="R71" s="37"/>
      <c r="S71" s="237"/>
      <c r="T71" s="237"/>
      <c r="U71" s="237"/>
      <c r="V71" s="237"/>
      <c r="W71" s="237"/>
      <c r="X71" s="38"/>
    </row>
    <row r="72" spans="1:24" s="33" customFormat="1" ht="18">
      <c r="A72" s="32"/>
      <c r="B72" s="39"/>
      <c r="C72" s="64"/>
      <c r="F72" s="34"/>
      <c r="G72" s="34"/>
      <c r="H72" s="34"/>
      <c r="I72" s="81"/>
      <c r="J72" s="91"/>
      <c r="K72" s="81"/>
      <c r="L72" s="91"/>
      <c r="M72" s="81"/>
      <c r="N72" s="91"/>
      <c r="O72" s="85"/>
      <c r="P72" s="98"/>
      <c r="Q72" s="91"/>
      <c r="R72" s="37"/>
      <c r="S72" s="237"/>
      <c r="T72" s="237"/>
      <c r="U72" s="237"/>
      <c r="V72" s="237"/>
      <c r="W72" s="237"/>
      <c r="X72" s="38"/>
    </row>
    <row r="73" spans="1:24" s="33" customFormat="1" ht="18">
      <c r="A73" s="32"/>
      <c r="B73" s="39"/>
      <c r="C73" s="64"/>
      <c r="F73" s="34"/>
      <c r="G73" s="34"/>
      <c r="H73" s="34"/>
      <c r="I73" s="81"/>
      <c r="J73" s="91"/>
      <c r="K73" s="81"/>
      <c r="L73" s="91"/>
      <c r="M73" s="81"/>
      <c r="N73" s="91"/>
      <c r="O73" s="85"/>
      <c r="P73" s="234" t="s">
        <v>23</v>
      </c>
      <c r="Q73" s="235"/>
      <c r="R73" s="235"/>
      <c r="S73" s="235"/>
      <c r="T73" s="235"/>
      <c r="U73" s="235"/>
      <c r="V73" s="235"/>
      <c r="W73" s="235"/>
      <c r="X73" s="38"/>
    </row>
    <row r="74" spans="1:24" s="33" customFormat="1" ht="18">
      <c r="A74" s="32"/>
      <c r="B74" s="39"/>
      <c r="C74" s="64"/>
      <c r="F74" s="34"/>
      <c r="G74" s="34"/>
      <c r="H74" s="34"/>
      <c r="I74" s="81"/>
      <c r="J74" s="91"/>
      <c r="K74" s="81"/>
      <c r="L74" s="91"/>
      <c r="M74" s="81"/>
      <c r="N74" s="91"/>
      <c r="O74" s="85"/>
      <c r="P74" s="235"/>
      <c r="Q74" s="235"/>
      <c r="R74" s="235"/>
      <c r="S74" s="235"/>
      <c r="T74" s="235"/>
      <c r="U74" s="235"/>
      <c r="V74" s="235"/>
      <c r="W74" s="235"/>
      <c r="X74" s="38"/>
    </row>
    <row r="75" spans="1:24" s="33" customFormat="1" ht="18">
      <c r="A75" s="32"/>
      <c r="B75" s="39"/>
      <c r="C75" s="64"/>
      <c r="F75" s="34"/>
      <c r="G75" s="34"/>
      <c r="H75" s="34"/>
      <c r="I75" s="81"/>
      <c r="J75" s="91"/>
      <c r="K75" s="81"/>
      <c r="L75" s="91"/>
      <c r="M75" s="81"/>
      <c r="N75" s="91"/>
      <c r="O75" s="85"/>
      <c r="P75" s="235"/>
      <c r="Q75" s="235"/>
      <c r="R75" s="235"/>
      <c r="S75" s="235"/>
      <c r="T75" s="235"/>
      <c r="U75" s="235"/>
      <c r="V75" s="235"/>
      <c r="W75" s="235"/>
      <c r="X75" s="38"/>
    </row>
    <row r="76" spans="1:24" s="33" customFormat="1" ht="18">
      <c r="A76" s="32"/>
      <c r="B76" s="39"/>
      <c r="C76" s="64"/>
      <c r="F76" s="34"/>
      <c r="G76" s="34"/>
      <c r="H76" s="34"/>
      <c r="I76" s="81"/>
      <c r="J76" s="91"/>
      <c r="K76" s="81"/>
      <c r="L76" s="91"/>
      <c r="M76" s="81"/>
      <c r="N76" s="91"/>
      <c r="O76" s="85"/>
      <c r="P76" s="235"/>
      <c r="Q76" s="235"/>
      <c r="R76" s="235"/>
      <c r="S76" s="235"/>
      <c r="T76" s="235"/>
      <c r="U76" s="235"/>
      <c r="V76" s="235"/>
      <c r="W76" s="235"/>
      <c r="X76" s="38"/>
    </row>
    <row r="77" spans="1:24" s="33" customFormat="1" ht="18">
      <c r="A77" s="32"/>
      <c r="B77" s="39"/>
      <c r="C77" s="64"/>
      <c r="F77" s="34"/>
      <c r="G77" s="34"/>
      <c r="H77" s="34"/>
      <c r="I77" s="81"/>
      <c r="J77" s="91"/>
      <c r="K77" s="81"/>
      <c r="L77" s="91"/>
      <c r="M77" s="81"/>
      <c r="N77" s="91"/>
      <c r="O77" s="85"/>
      <c r="P77" s="235"/>
      <c r="Q77" s="235"/>
      <c r="R77" s="235"/>
      <c r="S77" s="235"/>
      <c r="T77" s="235"/>
      <c r="U77" s="235"/>
      <c r="V77" s="235"/>
      <c r="W77" s="235"/>
      <c r="X77" s="38"/>
    </row>
    <row r="78" spans="1:24" s="33" customFormat="1" ht="18">
      <c r="A78" s="32"/>
      <c r="B78" s="39"/>
      <c r="C78" s="64"/>
      <c r="F78" s="34"/>
      <c r="G78" s="5"/>
      <c r="H78" s="5"/>
      <c r="I78" s="82"/>
      <c r="J78" s="92"/>
      <c r="K78" s="82"/>
      <c r="L78" s="92"/>
      <c r="M78" s="82"/>
      <c r="N78" s="92"/>
      <c r="O78" s="85"/>
      <c r="P78" s="235"/>
      <c r="Q78" s="235"/>
      <c r="R78" s="235"/>
      <c r="S78" s="235"/>
      <c r="T78" s="235"/>
      <c r="U78" s="235"/>
      <c r="V78" s="235"/>
      <c r="W78" s="235"/>
      <c r="X78" s="38"/>
    </row>
    <row r="79" spans="1:24" s="33" customFormat="1" ht="18">
      <c r="A79" s="32"/>
      <c r="B79" s="39"/>
      <c r="C79" s="64"/>
      <c r="F79" s="34"/>
      <c r="G79" s="5"/>
      <c r="H79" s="5"/>
      <c r="I79" s="82"/>
      <c r="J79" s="92"/>
      <c r="K79" s="82"/>
      <c r="L79" s="92"/>
      <c r="M79" s="82"/>
      <c r="N79" s="92"/>
      <c r="O79" s="85"/>
      <c r="P79" s="236" t="s">
        <v>30</v>
      </c>
      <c r="Q79" s="235"/>
      <c r="R79" s="235"/>
      <c r="S79" s="235"/>
      <c r="T79" s="235"/>
      <c r="U79" s="235"/>
      <c r="V79" s="235"/>
      <c r="W79" s="235"/>
      <c r="X79" s="38"/>
    </row>
    <row r="80" spans="1:24" s="33" customFormat="1" ht="18">
      <c r="A80" s="32"/>
      <c r="B80" s="39"/>
      <c r="C80" s="64"/>
      <c r="F80" s="34"/>
      <c r="G80" s="5"/>
      <c r="H80" s="5"/>
      <c r="I80" s="82"/>
      <c r="J80" s="92"/>
      <c r="K80" s="82"/>
      <c r="L80" s="92"/>
      <c r="M80" s="82"/>
      <c r="N80" s="92"/>
      <c r="O80" s="85"/>
      <c r="P80" s="235"/>
      <c r="Q80" s="235"/>
      <c r="R80" s="235"/>
      <c r="S80" s="235"/>
      <c r="T80" s="235"/>
      <c r="U80" s="235"/>
      <c r="V80" s="235"/>
      <c r="W80" s="235"/>
      <c r="X80" s="38"/>
    </row>
    <row r="81" spans="1:24" s="33" customFormat="1" ht="18">
      <c r="A81" s="32"/>
      <c r="B81" s="39"/>
      <c r="C81" s="64"/>
      <c r="F81" s="34"/>
      <c r="G81" s="5"/>
      <c r="H81" s="5"/>
      <c r="I81" s="82"/>
      <c r="J81" s="92"/>
      <c r="K81" s="82"/>
      <c r="L81" s="92"/>
      <c r="M81" s="82"/>
      <c r="N81" s="92"/>
      <c r="O81" s="85"/>
      <c r="P81" s="235"/>
      <c r="Q81" s="235"/>
      <c r="R81" s="235"/>
      <c r="S81" s="235"/>
      <c r="T81" s="235"/>
      <c r="U81" s="235"/>
      <c r="V81" s="235"/>
      <c r="W81" s="235"/>
      <c r="X81" s="38"/>
    </row>
    <row r="82" spans="1:24" s="33" customFormat="1" ht="18">
      <c r="A82" s="32"/>
      <c r="B82" s="39"/>
      <c r="C82" s="64"/>
      <c r="F82" s="34"/>
      <c r="G82" s="5"/>
      <c r="H82" s="5"/>
      <c r="I82" s="82"/>
      <c r="J82" s="92"/>
      <c r="K82" s="82"/>
      <c r="L82" s="92"/>
      <c r="M82" s="82"/>
      <c r="N82" s="92"/>
      <c r="O82" s="85"/>
      <c r="P82" s="235"/>
      <c r="Q82" s="235"/>
      <c r="R82" s="235"/>
      <c r="S82" s="235"/>
      <c r="T82" s="235"/>
      <c r="U82" s="235"/>
      <c r="V82" s="235"/>
      <c r="W82" s="235"/>
      <c r="X82" s="38"/>
    </row>
    <row r="83" spans="1:24" s="33" customFormat="1" ht="18">
      <c r="A83" s="32"/>
      <c r="B83" s="39"/>
      <c r="C83" s="64"/>
      <c r="F83" s="34"/>
      <c r="G83" s="5"/>
      <c r="H83" s="5"/>
      <c r="I83" s="82"/>
      <c r="J83" s="92"/>
      <c r="K83" s="82"/>
      <c r="L83" s="92"/>
      <c r="M83" s="82"/>
      <c r="N83" s="92"/>
      <c r="O83" s="85"/>
      <c r="P83" s="235"/>
      <c r="Q83" s="235"/>
      <c r="R83" s="235"/>
      <c r="S83" s="235"/>
      <c r="T83" s="235"/>
      <c r="U83" s="235"/>
      <c r="V83" s="235"/>
      <c r="W83" s="235"/>
      <c r="X83" s="38"/>
    </row>
    <row r="84" spans="16:23" ht="18">
      <c r="P84" s="235"/>
      <c r="Q84" s="235"/>
      <c r="R84" s="235"/>
      <c r="S84" s="235"/>
      <c r="T84" s="235"/>
      <c r="U84" s="235"/>
      <c r="V84" s="235"/>
      <c r="W84" s="235"/>
    </row>
    <row r="85" spans="16:23" ht="18">
      <c r="P85" s="235"/>
      <c r="Q85" s="235"/>
      <c r="R85" s="235"/>
      <c r="S85" s="235"/>
      <c r="T85" s="235"/>
      <c r="U85" s="235"/>
      <c r="V85" s="235"/>
      <c r="W85" s="235"/>
    </row>
  </sheetData>
  <sheetProtection/>
  <mergeCells count="21">
    <mergeCell ref="D3:D4"/>
    <mergeCell ref="M3:N3"/>
    <mergeCell ref="K3:L3"/>
    <mergeCell ref="O3:R3"/>
    <mergeCell ref="A2:W2"/>
    <mergeCell ref="S3:T3"/>
    <mergeCell ref="F3:F4"/>
    <mergeCell ref="I3:J3"/>
    <mergeCell ref="G3:G4"/>
    <mergeCell ref="U3:W3"/>
    <mergeCell ref="B3:B4"/>
    <mergeCell ref="C3:C4"/>
    <mergeCell ref="E3:E4"/>
    <mergeCell ref="H3:H4"/>
    <mergeCell ref="D64:G64"/>
    <mergeCell ref="B62:E62"/>
    <mergeCell ref="P73:W78"/>
    <mergeCell ref="P79:W85"/>
    <mergeCell ref="S67:W69"/>
    <mergeCell ref="S64:W66"/>
    <mergeCell ref="S70:W72"/>
  </mergeCells>
  <printOptions/>
  <pageMargins left="0.3" right="0.13" top="1" bottom="1" header="0.5" footer="0.5"/>
  <pageSetup orientation="portrait" paperSize="9" scale="35" r:id="rId2"/>
  <ignoredErrors>
    <ignoredError sqref="O48:Q57 O38:Q47 O58:Q59 R48:S57 T48:U57 O60:Q60 O14:Q37 T58:U59 V43:V59 V38:V41 T38:T47 U38:U41 U43:U47" formula="1"/>
    <ignoredError sqref="X29:X59 X14:X25 X6:X7 X60:X61 W5:W13" unlockedFormula="1"/>
    <ignoredError sqref="X26 X10 X11:X13 X27:X28 X8:X9 W58:W59 W14:W37 W42 W38:W41 W43:W57 V42 U42" formula="1" unlocked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80" zoomScaleNormal="80" zoomScalePageLayoutView="0" workbookViewId="0" topLeftCell="A1">
      <selection activeCell="B3" sqref="B3:B4"/>
    </sheetView>
  </sheetViews>
  <sheetFormatPr defaultColWidth="39.8515625" defaultRowHeight="12.75"/>
  <cols>
    <col min="1" max="1" width="4.421875" style="30" bestFit="1" customWidth="1"/>
    <col min="2" max="2" width="46.00390625" style="3" customWidth="1"/>
    <col min="3" max="3" width="9.57421875" style="5" bestFit="1" customWidth="1"/>
    <col min="4" max="4" width="14.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140625" style="14" bestFit="1" customWidth="1"/>
    <col min="16" max="16" width="9.14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3.57421875" style="12" bestFit="1" customWidth="1"/>
    <col min="22" max="22" width="11.28125" style="13" bestFit="1" customWidth="1"/>
    <col min="23" max="23" width="8.003906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51" t="s">
        <v>31</v>
      </c>
      <c r="B2" s="240"/>
      <c r="C2" s="240"/>
      <c r="D2" s="240"/>
      <c r="E2" s="240"/>
      <c r="F2" s="240"/>
      <c r="G2" s="240"/>
      <c r="H2" s="240"/>
      <c r="I2" s="240"/>
      <c r="J2" s="240"/>
      <c r="K2" s="240"/>
      <c r="L2" s="240"/>
      <c r="M2" s="240"/>
      <c r="N2" s="240"/>
      <c r="O2" s="240"/>
      <c r="P2" s="240"/>
      <c r="Q2" s="240"/>
      <c r="R2" s="240"/>
      <c r="S2" s="240"/>
      <c r="T2" s="240"/>
      <c r="U2" s="240"/>
      <c r="V2" s="240"/>
      <c r="W2" s="240"/>
    </row>
    <row r="3" spans="1:23" s="29" customFormat="1" ht="16.5" customHeight="1">
      <c r="A3" s="31"/>
      <c r="B3" s="252" t="s">
        <v>37</v>
      </c>
      <c r="C3" s="248" t="s">
        <v>14</v>
      </c>
      <c r="D3" s="242" t="s">
        <v>4</v>
      </c>
      <c r="E3" s="242" t="s">
        <v>48</v>
      </c>
      <c r="F3" s="242" t="s">
        <v>15</v>
      </c>
      <c r="G3" s="242" t="s">
        <v>16</v>
      </c>
      <c r="H3" s="242" t="s">
        <v>17</v>
      </c>
      <c r="I3" s="241" t="s">
        <v>5</v>
      </c>
      <c r="J3" s="241"/>
      <c r="K3" s="241" t="s">
        <v>6</v>
      </c>
      <c r="L3" s="241"/>
      <c r="M3" s="241" t="s">
        <v>7</v>
      </c>
      <c r="N3" s="241"/>
      <c r="O3" s="244" t="s">
        <v>18</v>
      </c>
      <c r="P3" s="244"/>
      <c r="Q3" s="244"/>
      <c r="R3" s="244"/>
      <c r="S3" s="241" t="s">
        <v>1</v>
      </c>
      <c r="T3" s="241"/>
      <c r="U3" s="244" t="s">
        <v>41</v>
      </c>
      <c r="V3" s="244"/>
      <c r="W3" s="245"/>
    </row>
    <row r="4" spans="1:23" s="29" customFormat="1" ht="37.5" customHeight="1" thickBot="1">
      <c r="A4" s="58"/>
      <c r="B4" s="253"/>
      <c r="C4" s="249"/>
      <c r="D4" s="250"/>
      <c r="E4" s="250"/>
      <c r="F4" s="243"/>
      <c r="G4" s="243"/>
      <c r="H4" s="243"/>
      <c r="I4" s="78" t="s">
        <v>13</v>
      </c>
      <c r="J4" s="61" t="s">
        <v>9</v>
      </c>
      <c r="K4" s="78" t="s">
        <v>13</v>
      </c>
      <c r="L4" s="61" t="s">
        <v>9</v>
      </c>
      <c r="M4" s="78" t="s">
        <v>13</v>
      </c>
      <c r="N4" s="61" t="s">
        <v>9</v>
      </c>
      <c r="O4" s="84" t="s">
        <v>13</v>
      </c>
      <c r="P4" s="94" t="s">
        <v>9</v>
      </c>
      <c r="Q4" s="94" t="s">
        <v>42</v>
      </c>
      <c r="R4" s="60" t="s">
        <v>43</v>
      </c>
      <c r="S4" s="78" t="s">
        <v>13</v>
      </c>
      <c r="T4" s="59" t="s">
        <v>8</v>
      </c>
      <c r="U4" s="78" t="s">
        <v>13</v>
      </c>
      <c r="V4" s="61" t="s">
        <v>9</v>
      </c>
      <c r="W4" s="62" t="s">
        <v>43</v>
      </c>
    </row>
    <row r="5" spans="1:24" s="6" customFormat="1" ht="15.75" customHeight="1">
      <c r="A5" s="53">
        <v>1</v>
      </c>
      <c r="B5" s="187" t="s">
        <v>100</v>
      </c>
      <c r="C5" s="188">
        <v>39332</v>
      </c>
      <c r="D5" s="189" t="s">
        <v>10</v>
      </c>
      <c r="E5" s="190" t="s">
        <v>11</v>
      </c>
      <c r="F5" s="191">
        <v>61</v>
      </c>
      <c r="G5" s="191">
        <v>61</v>
      </c>
      <c r="H5" s="191">
        <v>1</v>
      </c>
      <c r="I5" s="192">
        <v>62707</v>
      </c>
      <c r="J5" s="193">
        <v>5849</v>
      </c>
      <c r="K5" s="192">
        <v>97974</v>
      </c>
      <c r="L5" s="193">
        <v>8740</v>
      </c>
      <c r="M5" s="192">
        <v>129139</v>
      </c>
      <c r="N5" s="193">
        <v>11717</v>
      </c>
      <c r="O5" s="194">
        <f>+I5+K5+M5</f>
        <v>289820</v>
      </c>
      <c r="P5" s="195">
        <f>+J5+L5+N5</f>
        <v>26306</v>
      </c>
      <c r="Q5" s="196">
        <f aca="true" t="shared" si="0" ref="Q5:Q24">IF(O5&lt;&gt;0,P5/G5,"")</f>
        <v>431.24590163934425</v>
      </c>
      <c r="R5" s="197">
        <f aca="true" t="shared" si="1" ref="R5:R24">IF(O5&lt;&gt;0,O5/P5,"")</f>
        <v>11.01725842013229</v>
      </c>
      <c r="S5" s="192"/>
      <c r="T5" s="154">
        <f>IF(S5&lt;&gt;0,-(S5-O5)/S5,"")</f>
      </c>
      <c r="U5" s="192">
        <v>294406</v>
      </c>
      <c r="V5" s="193">
        <v>26537</v>
      </c>
      <c r="W5" s="198">
        <f>U5/V5</f>
        <v>11.094170403587444</v>
      </c>
      <c r="X5" s="29"/>
    </row>
    <row r="6" spans="1:24" s="6" customFormat="1" ht="15.75" customHeight="1">
      <c r="A6" s="53">
        <v>2</v>
      </c>
      <c r="B6" s="199" t="s">
        <v>101</v>
      </c>
      <c r="C6" s="120">
        <v>39332</v>
      </c>
      <c r="D6" s="179" t="s">
        <v>21</v>
      </c>
      <c r="E6" s="179" t="s">
        <v>58</v>
      </c>
      <c r="F6" s="180">
        <v>112</v>
      </c>
      <c r="G6" s="180">
        <v>114</v>
      </c>
      <c r="H6" s="180">
        <v>1</v>
      </c>
      <c r="I6" s="129">
        <v>62982</v>
      </c>
      <c r="J6" s="130">
        <v>6869</v>
      </c>
      <c r="K6" s="129">
        <v>93129</v>
      </c>
      <c r="L6" s="130">
        <v>9803</v>
      </c>
      <c r="M6" s="129">
        <v>120427</v>
      </c>
      <c r="N6" s="130">
        <v>12744</v>
      </c>
      <c r="O6" s="131">
        <f>+M6+K6+I6</f>
        <v>276538</v>
      </c>
      <c r="P6" s="132">
        <f>+N6+L6+J6</f>
        <v>29416</v>
      </c>
      <c r="Q6" s="140">
        <f t="shared" si="0"/>
        <v>258.03508771929825</v>
      </c>
      <c r="R6" s="141">
        <f t="shared" si="1"/>
        <v>9.400938264889856</v>
      </c>
      <c r="S6" s="129"/>
      <c r="T6" s="134">
        <f>IF(S6&lt;&gt;0,-(S6-O6)/S6,"")</f>
      </c>
      <c r="U6" s="129">
        <v>276538</v>
      </c>
      <c r="V6" s="130">
        <v>29416</v>
      </c>
      <c r="W6" s="157">
        <f>+U6/V6</f>
        <v>9.400938264889856</v>
      </c>
      <c r="X6" s="29"/>
    </row>
    <row r="7" spans="1:24" s="6" customFormat="1" ht="15.75" customHeight="1">
      <c r="A7" s="54">
        <v>3</v>
      </c>
      <c r="B7" s="215" t="s">
        <v>82</v>
      </c>
      <c r="C7" s="216">
        <v>39318</v>
      </c>
      <c r="D7" s="217" t="s">
        <v>21</v>
      </c>
      <c r="E7" s="217" t="s">
        <v>22</v>
      </c>
      <c r="F7" s="218">
        <v>116</v>
      </c>
      <c r="G7" s="218">
        <v>117</v>
      </c>
      <c r="H7" s="218">
        <v>3</v>
      </c>
      <c r="I7" s="219">
        <v>53934</v>
      </c>
      <c r="J7" s="220">
        <v>6489</v>
      </c>
      <c r="K7" s="219">
        <v>94202</v>
      </c>
      <c r="L7" s="220">
        <v>10474</v>
      </c>
      <c r="M7" s="219">
        <v>113503</v>
      </c>
      <c r="N7" s="220">
        <v>14026</v>
      </c>
      <c r="O7" s="221">
        <f>+M7+K7+I7</f>
        <v>261639</v>
      </c>
      <c r="P7" s="222">
        <f>+N7+L7+J7</f>
        <v>30989</v>
      </c>
      <c r="Q7" s="173">
        <f t="shared" si="0"/>
        <v>264.86324786324786</v>
      </c>
      <c r="R7" s="174">
        <f t="shared" si="1"/>
        <v>8.442963632256607</v>
      </c>
      <c r="S7" s="219">
        <v>347205</v>
      </c>
      <c r="T7" s="175">
        <f>IF(S7&lt;&gt;0,-(S7-O7)/S7,"")</f>
        <v>-0.2464423035382555</v>
      </c>
      <c r="U7" s="219">
        <v>1847824</v>
      </c>
      <c r="V7" s="220">
        <v>220670</v>
      </c>
      <c r="W7" s="223">
        <f>+U7/V7</f>
        <v>8.373698282503286</v>
      </c>
      <c r="X7" s="7"/>
    </row>
    <row r="8" spans="1:25" s="9" customFormat="1" ht="15.75" customHeight="1">
      <c r="A8" s="52">
        <v>4</v>
      </c>
      <c r="B8" s="211" t="s">
        <v>89</v>
      </c>
      <c r="C8" s="164">
        <v>39325</v>
      </c>
      <c r="D8" s="212" t="s">
        <v>10</v>
      </c>
      <c r="E8" s="213" t="s">
        <v>60</v>
      </c>
      <c r="F8" s="214">
        <v>66</v>
      </c>
      <c r="G8" s="214">
        <v>67</v>
      </c>
      <c r="H8" s="214">
        <v>2</v>
      </c>
      <c r="I8" s="165">
        <v>42437</v>
      </c>
      <c r="J8" s="166">
        <v>4822</v>
      </c>
      <c r="K8" s="165">
        <v>65712</v>
      </c>
      <c r="L8" s="166">
        <v>7088</v>
      </c>
      <c r="M8" s="165">
        <v>107000</v>
      </c>
      <c r="N8" s="166">
        <v>11549</v>
      </c>
      <c r="O8" s="167">
        <f aca="true" t="shared" si="2" ref="O8:P11">+I8+K8+M8</f>
        <v>215149</v>
      </c>
      <c r="P8" s="168">
        <f t="shared" si="2"/>
        <v>23459</v>
      </c>
      <c r="Q8" s="169">
        <f t="shared" si="0"/>
        <v>350.13432835820896</v>
      </c>
      <c r="R8" s="170">
        <f t="shared" si="1"/>
        <v>9.171277548062577</v>
      </c>
      <c r="S8" s="165">
        <v>344721</v>
      </c>
      <c r="T8" s="171"/>
      <c r="U8" s="165">
        <v>740257</v>
      </c>
      <c r="V8" s="166">
        <v>83105</v>
      </c>
      <c r="W8" s="172">
        <f aca="true" t="shared" si="3" ref="W8:W13">U8/V8</f>
        <v>8.907490524035858</v>
      </c>
      <c r="X8" s="7"/>
      <c r="Y8" s="8"/>
    </row>
    <row r="9" spans="1:24" s="10" customFormat="1" ht="15.75" customHeight="1">
      <c r="A9" s="53">
        <v>5</v>
      </c>
      <c r="B9" s="200" t="s">
        <v>102</v>
      </c>
      <c r="C9" s="119">
        <v>39318</v>
      </c>
      <c r="D9" s="177" t="s">
        <v>10</v>
      </c>
      <c r="E9" s="176" t="s">
        <v>47</v>
      </c>
      <c r="F9" s="178">
        <v>60</v>
      </c>
      <c r="G9" s="178">
        <v>61</v>
      </c>
      <c r="H9" s="178">
        <v>3</v>
      </c>
      <c r="I9" s="136">
        <v>21131</v>
      </c>
      <c r="J9" s="137">
        <v>2433</v>
      </c>
      <c r="K9" s="136">
        <v>34034</v>
      </c>
      <c r="L9" s="137">
        <v>3694</v>
      </c>
      <c r="M9" s="136">
        <v>53134</v>
      </c>
      <c r="N9" s="137">
        <v>5719</v>
      </c>
      <c r="O9" s="138">
        <f t="shared" si="2"/>
        <v>108299</v>
      </c>
      <c r="P9" s="139">
        <f t="shared" si="2"/>
        <v>11846</v>
      </c>
      <c r="Q9" s="140">
        <f t="shared" si="0"/>
        <v>194.19672131147541</v>
      </c>
      <c r="R9" s="141">
        <f t="shared" si="1"/>
        <v>9.142242107040351</v>
      </c>
      <c r="S9" s="136">
        <v>138078</v>
      </c>
      <c r="T9" s="134">
        <f aca="true" t="shared" si="4" ref="T9:T24">IF(S9&lt;&gt;0,-(S9-O9)/S9,"")</f>
        <v>-0.21566795579310244</v>
      </c>
      <c r="U9" s="136">
        <v>750870</v>
      </c>
      <c r="V9" s="137">
        <v>84972</v>
      </c>
      <c r="W9" s="155">
        <f t="shared" si="3"/>
        <v>8.836675610789436</v>
      </c>
      <c r="X9" s="7"/>
    </row>
    <row r="10" spans="1:24" s="10" customFormat="1" ht="15.75" customHeight="1">
      <c r="A10" s="53">
        <v>6</v>
      </c>
      <c r="B10" s="200" t="s">
        <v>2</v>
      </c>
      <c r="C10" s="119">
        <v>39304</v>
      </c>
      <c r="D10" s="177" t="s">
        <v>10</v>
      </c>
      <c r="E10" s="176" t="s">
        <v>11</v>
      </c>
      <c r="F10" s="178">
        <v>165</v>
      </c>
      <c r="G10" s="178">
        <v>104</v>
      </c>
      <c r="H10" s="178">
        <v>5</v>
      </c>
      <c r="I10" s="136">
        <v>23892</v>
      </c>
      <c r="J10" s="137">
        <v>3637</v>
      </c>
      <c r="K10" s="136">
        <v>34430</v>
      </c>
      <c r="L10" s="137">
        <v>4958</v>
      </c>
      <c r="M10" s="136">
        <v>41853</v>
      </c>
      <c r="N10" s="137">
        <v>5821</v>
      </c>
      <c r="O10" s="138">
        <f t="shared" si="2"/>
        <v>100175</v>
      </c>
      <c r="P10" s="139">
        <f t="shared" si="2"/>
        <v>14416</v>
      </c>
      <c r="Q10" s="140">
        <f t="shared" si="0"/>
        <v>138.6153846153846</v>
      </c>
      <c r="R10" s="141">
        <f t="shared" si="1"/>
        <v>6.9488762486126525</v>
      </c>
      <c r="S10" s="136">
        <v>185353</v>
      </c>
      <c r="T10" s="134">
        <f t="shared" si="4"/>
        <v>-0.4595447605380005</v>
      </c>
      <c r="U10" s="136">
        <v>4803080</v>
      </c>
      <c r="V10" s="137">
        <v>620520</v>
      </c>
      <c r="W10" s="155">
        <f t="shared" si="3"/>
        <v>7.7404112679688</v>
      </c>
      <c r="X10" s="9"/>
    </row>
    <row r="11" spans="1:24" s="10" customFormat="1" ht="15.75" customHeight="1">
      <c r="A11" s="53">
        <v>7</v>
      </c>
      <c r="B11" s="200" t="s">
        <v>103</v>
      </c>
      <c r="C11" s="119">
        <v>39332</v>
      </c>
      <c r="D11" s="177" t="s">
        <v>10</v>
      </c>
      <c r="E11" s="176" t="s">
        <v>60</v>
      </c>
      <c r="F11" s="178">
        <v>58</v>
      </c>
      <c r="G11" s="178">
        <v>59</v>
      </c>
      <c r="H11" s="178">
        <v>1</v>
      </c>
      <c r="I11" s="136">
        <v>23255</v>
      </c>
      <c r="J11" s="137">
        <v>2669</v>
      </c>
      <c r="K11" s="136">
        <v>31238</v>
      </c>
      <c r="L11" s="137">
        <v>3357</v>
      </c>
      <c r="M11" s="136">
        <v>31395</v>
      </c>
      <c r="N11" s="137">
        <v>3446</v>
      </c>
      <c r="O11" s="138">
        <f t="shared" si="2"/>
        <v>85888</v>
      </c>
      <c r="P11" s="139">
        <f t="shared" si="2"/>
        <v>9472</v>
      </c>
      <c r="Q11" s="140">
        <f t="shared" si="0"/>
        <v>160.54237288135593</v>
      </c>
      <c r="R11" s="141">
        <f t="shared" si="1"/>
        <v>9.067567567567568</v>
      </c>
      <c r="S11" s="136"/>
      <c r="T11" s="134">
        <f t="shared" si="4"/>
      </c>
      <c r="U11" s="136">
        <v>85887</v>
      </c>
      <c r="V11" s="137">
        <v>9472</v>
      </c>
      <c r="W11" s="155">
        <f t="shared" si="3"/>
        <v>9.067461993243244</v>
      </c>
      <c r="X11" s="8"/>
    </row>
    <row r="12" spans="1:25" s="10" customFormat="1" ht="15.75" customHeight="1">
      <c r="A12" s="53">
        <v>8</v>
      </c>
      <c r="B12" s="199" t="s">
        <v>90</v>
      </c>
      <c r="C12" s="120">
        <v>39325</v>
      </c>
      <c r="D12" s="179" t="s">
        <v>104</v>
      </c>
      <c r="E12" s="179" t="s">
        <v>104</v>
      </c>
      <c r="F12" s="180">
        <v>41</v>
      </c>
      <c r="G12" s="180">
        <v>41</v>
      </c>
      <c r="H12" s="180">
        <v>2</v>
      </c>
      <c r="I12" s="129">
        <v>14344.5</v>
      </c>
      <c r="J12" s="130">
        <v>1803</v>
      </c>
      <c r="K12" s="129">
        <v>23125</v>
      </c>
      <c r="L12" s="130">
        <v>2740</v>
      </c>
      <c r="M12" s="129">
        <v>35814.5</v>
      </c>
      <c r="N12" s="130">
        <v>4192</v>
      </c>
      <c r="O12" s="131">
        <f>SUM(I12+K12+M12)</f>
        <v>73284</v>
      </c>
      <c r="P12" s="132">
        <f>SUM(J12+L12+N12)</f>
        <v>8735</v>
      </c>
      <c r="Q12" s="140">
        <f t="shared" si="0"/>
        <v>213.0487804878049</v>
      </c>
      <c r="R12" s="141">
        <f t="shared" si="1"/>
        <v>8.389696622781912</v>
      </c>
      <c r="S12" s="129">
        <v>74725</v>
      </c>
      <c r="T12" s="134">
        <f t="shared" si="4"/>
        <v>-0.019284041485446636</v>
      </c>
      <c r="U12" s="129">
        <v>208162</v>
      </c>
      <c r="V12" s="130">
        <v>25029</v>
      </c>
      <c r="W12" s="156">
        <f t="shared" si="3"/>
        <v>8.316832474329777</v>
      </c>
      <c r="X12" s="11"/>
      <c r="Y12" s="8"/>
    </row>
    <row r="13" spans="1:25" s="10" customFormat="1" ht="15.75" customHeight="1">
      <c r="A13" s="53">
        <v>9</v>
      </c>
      <c r="B13" s="199" t="s">
        <v>83</v>
      </c>
      <c r="C13" s="120">
        <v>39311</v>
      </c>
      <c r="D13" s="179" t="s">
        <v>34</v>
      </c>
      <c r="E13" s="179" t="s">
        <v>46</v>
      </c>
      <c r="F13" s="180">
        <v>51</v>
      </c>
      <c r="G13" s="180">
        <v>51</v>
      </c>
      <c r="H13" s="180">
        <v>4</v>
      </c>
      <c r="I13" s="129">
        <v>5956.5</v>
      </c>
      <c r="J13" s="130">
        <v>822</v>
      </c>
      <c r="K13" s="129">
        <v>10877.5</v>
      </c>
      <c r="L13" s="130">
        <v>1415</v>
      </c>
      <c r="M13" s="129">
        <v>13912</v>
      </c>
      <c r="N13" s="130">
        <v>1792</v>
      </c>
      <c r="O13" s="131">
        <f>I13+K13+M13</f>
        <v>30746</v>
      </c>
      <c r="P13" s="132">
        <f>J13+L13+N13</f>
        <v>4029</v>
      </c>
      <c r="Q13" s="140">
        <f t="shared" si="0"/>
        <v>79</v>
      </c>
      <c r="R13" s="141">
        <f t="shared" si="1"/>
        <v>7.631173988582775</v>
      </c>
      <c r="S13" s="129">
        <v>56709</v>
      </c>
      <c r="T13" s="134">
        <f t="shared" si="4"/>
        <v>-0.4578285633673667</v>
      </c>
      <c r="U13" s="142">
        <v>605492</v>
      </c>
      <c r="V13" s="143">
        <v>73351</v>
      </c>
      <c r="W13" s="156">
        <f t="shared" si="3"/>
        <v>8.25472045370888</v>
      </c>
      <c r="X13" s="8"/>
      <c r="Y13" s="8"/>
    </row>
    <row r="14" spans="1:25" s="10" customFormat="1" ht="15.75" customHeight="1">
      <c r="A14" s="53">
        <v>10</v>
      </c>
      <c r="B14" s="199" t="s">
        <v>81</v>
      </c>
      <c r="C14" s="120">
        <v>39311</v>
      </c>
      <c r="D14" s="179" t="s">
        <v>21</v>
      </c>
      <c r="E14" s="179" t="s">
        <v>58</v>
      </c>
      <c r="F14" s="180">
        <v>84</v>
      </c>
      <c r="G14" s="180">
        <v>69</v>
      </c>
      <c r="H14" s="180">
        <v>4</v>
      </c>
      <c r="I14" s="129">
        <v>7156</v>
      </c>
      <c r="J14" s="130">
        <v>1189</v>
      </c>
      <c r="K14" s="129">
        <v>8614</v>
      </c>
      <c r="L14" s="130">
        <v>1421</v>
      </c>
      <c r="M14" s="129">
        <v>11412</v>
      </c>
      <c r="N14" s="130">
        <v>1789</v>
      </c>
      <c r="O14" s="131">
        <f>+M14+K14+I14</f>
        <v>27182</v>
      </c>
      <c r="P14" s="132">
        <f>+N14+L14+J14</f>
        <v>4399</v>
      </c>
      <c r="Q14" s="140">
        <f t="shared" si="0"/>
        <v>63.7536231884058</v>
      </c>
      <c r="R14" s="141">
        <f t="shared" si="1"/>
        <v>6.179131620822914</v>
      </c>
      <c r="S14" s="129">
        <v>69947</v>
      </c>
      <c r="T14" s="134">
        <f t="shared" si="4"/>
        <v>-0.6113914821221782</v>
      </c>
      <c r="U14" s="129">
        <v>725282</v>
      </c>
      <c r="V14" s="130">
        <v>83138</v>
      </c>
      <c r="W14" s="157">
        <f>+U14/V14</f>
        <v>8.723832663763863</v>
      </c>
      <c r="X14" s="8"/>
      <c r="Y14" s="8"/>
    </row>
    <row r="15" spans="1:25" s="10" customFormat="1" ht="15.75" customHeight="1">
      <c r="A15" s="53">
        <v>11</v>
      </c>
      <c r="B15" s="199" t="s">
        <v>105</v>
      </c>
      <c r="C15" s="120">
        <v>39045</v>
      </c>
      <c r="D15" s="179" t="s">
        <v>34</v>
      </c>
      <c r="E15" s="179" t="s">
        <v>106</v>
      </c>
      <c r="F15" s="180">
        <v>74</v>
      </c>
      <c r="G15" s="180">
        <v>1</v>
      </c>
      <c r="H15" s="180">
        <v>18</v>
      </c>
      <c r="I15" s="129">
        <v>5659.5</v>
      </c>
      <c r="J15" s="130">
        <v>1132</v>
      </c>
      <c r="K15" s="129">
        <v>7500</v>
      </c>
      <c r="L15" s="130">
        <v>1500</v>
      </c>
      <c r="M15" s="129">
        <v>7500</v>
      </c>
      <c r="N15" s="130">
        <v>1500</v>
      </c>
      <c r="O15" s="131">
        <f>I15+K15+M15</f>
        <v>20659.5</v>
      </c>
      <c r="P15" s="132">
        <f>J15+L15+N15</f>
        <v>4132</v>
      </c>
      <c r="Q15" s="140">
        <f t="shared" si="0"/>
        <v>4132</v>
      </c>
      <c r="R15" s="141">
        <f t="shared" si="1"/>
        <v>4.9998789932236205</v>
      </c>
      <c r="S15" s="129">
        <v>600</v>
      </c>
      <c r="T15" s="134">
        <f t="shared" si="4"/>
        <v>33.4325</v>
      </c>
      <c r="U15" s="142">
        <v>1107578</v>
      </c>
      <c r="V15" s="143">
        <v>151225</v>
      </c>
      <c r="W15" s="156">
        <f>U15/V15</f>
        <v>7.324040337245826</v>
      </c>
      <c r="X15" s="8"/>
      <c r="Y15" s="8"/>
    </row>
    <row r="16" spans="1:25" s="10" customFormat="1" ht="15.75" customHeight="1">
      <c r="A16" s="53">
        <v>12</v>
      </c>
      <c r="B16" s="199" t="s">
        <v>107</v>
      </c>
      <c r="C16" s="120">
        <v>39010</v>
      </c>
      <c r="D16" s="179" t="s">
        <v>34</v>
      </c>
      <c r="E16" s="179" t="s">
        <v>60</v>
      </c>
      <c r="F16" s="180">
        <v>249</v>
      </c>
      <c r="G16" s="180">
        <v>1</v>
      </c>
      <c r="H16" s="180">
        <v>29</v>
      </c>
      <c r="I16" s="129">
        <v>7500</v>
      </c>
      <c r="J16" s="130">
        <v>1500</v>
      </c>
      <c r="K16" s="129">
        <v>7500</v>
      </c>
      <c r="L16" s="130">
        <v>1500</v>
      </c>
      <c r="M16" s="129">
        <v>5659.5</v>
      </c>
      <c r="N16" s="130">
        <v>1132</v>
      </c>
      <c r="O16" s="131">
        <f>SUM(I16+K16+M16)</f>
        <v>20659.5</v>
      </c>
      <c r="P16" s="132">
        <f>SUM(J16+L16+N16)</f>
        <v>4132</v>
      </c>
      <c r="Q16" s="140">
        <f t="shared" si="0"/>
        <v>4132</v>
      </c>
      <c r="R16" s="141">
        <f t="shared" si="1"/>
        <v>4.9998789932236205</v>
      </c>
      <c r="S16" s="129"/>
      <c r="T16" s="134">
        <f t="shared" si="4"/>
      </c>
      <c r="U16" s="142">
        <v>7924279</v>
      </c>
      <c r="V16" s="130">
        <v>1160470</v>
      </c>
      <c r="W16" s="156">
        <f>U16/V16</f>
        <v>6.828508276818875</v>
      </c>
      <c r="X16" s="8"/>
      <c r="Y16" s="8"/>
    </row>
    <row r="17" spans="1:25" s="10" customFormat="1" ht="15.75" customHeight="1">
      <c r="A17" s="53">
        <v>13</v>
      </c>
      <c r="B17" s="200" t="s">
        <v>84</v>
      </c>
      <c r="C17" s="119">
        <v>39318</v>
      </c>
      <c r="D17" s="176" t="s">
        <v>36</v>
      </c>
      <c r="E17" s="176" t="s">
        <v>85</v>
      </c>
      <c r="F17" s="178">
        <v>56</v>
      </c>
      <c r="G17" s="178">
        <v>41</v>
      </c>
      <c r="H17" s="178">
        <v>3</v>
      </c>
      <c r="I17" s="136">
        <v>3710.5</v>
      </c>
      <c r="J17" s="137">
        <v>535</v>
      </c>
      <c r="K17" s="136">
        <v>5532</v>
      </c>
      <c r="L17" s="137">
        <v>730</v>
      </c>
      <c r="M17" s="136">
        <v>7895</v>
      </c>
      <c r="N17" s="137">
        <v>1026</v>
      </c>
      <c r="O17" s="138">
        <f>I17+K17+M17</f>
        <v>17137.5</v>
      </c>
      <c r="P17" s="139">
        <f>J17+L17+N17</f>
        <v>2291</v>
      </c>
      <c r="Q17" s="140">
        <f t="shared" si="0"/>
        <v>55.8780487804878</v>
      </c>
      <c r="R17" s="141">
        <f t="shared" si="1"/>
        <v>7.480357922304671</v>
      </c>
      <c r="S17" s="136">
        <v>51896</v>
      </c>
      <c r="T17" s="134">
        <f t="shared" si="4"/>
        <v>-0.6697722367812549</v>
      </c>
      <c r="U17" s="144">
        <f>157146+94670+17137.5</f>
        <v>268953.5</v>
      </c>
      <c r="V17" s="143">
        <f>18176+11311+2291</f>
        <v>31778</v>
      </c>
      <c r="W17" s="158">
        <f>IF(U17&lt;&gt;0,U17/V17,"")</f>
        <v>8.46351249291963</v>
      </c>
      <c r="X17" s="8"/>
      <c r="Y17" s="8"/>
    </row>
    <row r="18" spans="1:25" s="10" customFormat="1" ht="15.75" customHeight="1">
      <c r="A18" s="53">
        <v>14</v>
      </c>
      <c r="B18" s="200" t="s">
        <v>68</v>
      </c>
      <c r="C18" s="119">
        <v>39297</v>
      </c>
      <c r="D18" s="177" t="s">
        <v>10</v>
      </c>
      <c r="E18" s="176" t="s">
        <v>47</v>
      </c>
      <c r="F18" s="178">
        <v>51</v>
      </c>
      <c r="G18" s="178">
        <v>42</v>
      </c>
      <c r="H18" s="178">
        <v>6</v>
      </c>
      <c r="I18" s="136">
        <v>2224</v>
      </c>
      <c r="J18" s="137">
        <v>422</v>
      </c>
      <c r="K18" s="136">
        <v>4778</v>
      </c>
      <c r="L18" s="137">
        <v>856</v>
      </c>
      <c r="M18" s="136">
        <v>5747</v>
      </c>
      <c r="N18" s="137">
        <v>1011</v>
      </c>
      <c r="O18" s="138">
        <f>+I18+K18+M18</f>
        <v>12749</v>
      </c>
      <c r="P18" s="139">
        <f>+J18+L18+N18</f>
        <v>2289</v>
      </c>
      <c r="Q18" s="140">
        <f t="shared" si="0"/>
        <v>54.5</v>
      </c>
      <c r="R18" s="141">
        <f t="shared" si="1"/>
        <v>5.569681083442552</v>
      </c>
      <c r="S18" s="136">
        <v>13880</v>
      </c>
      <c r="T18" s="134">
        <f t="shared" si="4"/>
        <v>-0.08148414985590778</v>
      </c>
      <c r="U18" s="136">
        <v>656677</v>
      </c>
      <c r="V18" s="137">
        <v>79402</v>
      </c>
      <c r="W18" s="155">
        <f>U18/V18</f>
        <v>8.270282864411476</v>
      </c>
      <c r="X18" s="8"/>
      <c r="Y18" s="8"/>
    </row>
    <row r="19" spans="1:25" s="10" customFormat="1" ht="15.75" customHeight="1">
      <c r="A19" s="53">
        <v>15</v>
      </c>
      <c r="B19" s="200" t="s">
        <v>70</v>
      </c>
      <c r="C19" s="119">
        <v>39297</v>
      </c>
      <c r="D19" s="176" t="s">
        <v>36</v>
      </c>
      <c r="E19" s="176" t="s">
        <v>71</v>
      </c>
      <c r="F19" s="178">
        <v>40</v>
      </c>
      <c r="G19" s="178">
        <v>30</v>
      </c>
      <c r="H19" s="178">
        <v>6</v>
      </c>
      <c r="I19" s="136">
        <v>1866.5</v>
      </c>
      <c r="J19" s="137">
        <v>326</v>
      </c>
      <c r="K19" s="136">
        <v>3100</v>
      </c>
      <c r="L19" s="137">
        <v>503</v>
      </c>
      <c r="M19" s="136">
        <v>4045</v>
      </c>
      <c r="N19" s="137">
        <v>665</v>
      </c>
      <c r="O19" s="138">
        <f>I19+K19+M19</f>
        <v>9011.5</v>
      </c>
      <c r="P19" s="139">
        <f>J19+L19+N19</f>
        <v>1494</v>
      </c>
      <c r="Q19" s="140">
        <f t="shared" si="0"/>
        <v>49.8</v>
      </c>
      <c r="R19" s="141">
        <f t="shared" si="1"/>
        <v>6.031793842034806</v>
      </c>
      <c r="S19" s="136">
        <v>12594</v>
      </c>
      <c r="T19" s="134">
        <f t="shared" si="4"/>
        <v>-0.28446085437509927</v>
      </c>
      <c r="U19" s="144">
        <f>157880+96709+57038.5+25312+25384.5+9011.5</f>
        <v>371335.5</v>
      </c>
      <c r="V19" s="143">
        <f>18304+11544+7841+4081+4291+1494</f>
        <v>47555</v>
      </c>
      <c r="W19" s="158">
        <f>IF(U19&lt;&gt;0,U19/V19,"")</f>
        <v>7.80854799705604</v>
      </c>
      <c r="X19" s="8"/>
      <c r="Y19" s="8"/>
    </row>
    <row r="20" spans="1:25" s="10" customFormat="1" ht="15.75" customHeight="1">
      <c r="A20" s="53">
        <v>16</v>
      </c>
      <c r="B20" s="199" t="s">
        <v>63</v>
      </c>
      <c r="C20" s="120">
        <v>39290</v>
      </c>
      <c r="D20" s="179" t="s">
        <v>34</v>
      </c>
      <c r="E20" s="179" t="s">
        <v>46</v>
      </c>
      <c r="F20" s="180">
        <v>80</v>
      </c>
      <c r="G20" s="180">
        <v>18</v>
      </c>
      <c r="H20" s="180">
        <v>7</v>
      </c>
      <c r="I20" s="129">
        <v>2362.5</v>
      </c>
      <c r="J20" s="130">
        <v>463</v>
      </c>
      <c r="K20" s="129">
        <v>3000.5</v>
      </c>
      <c r="L20" s="130">
        <v>546</v>
      </c>
      <c r="M20" s="129">
        <v>3247</v>
      </c>
      <c r="N20" s="130">
        <v>613</v>
      </c>
      <c r="O20" s="131">
        <f>I20+K20+M20</f>
        <v>8610</v>
      </c>
      <c r="P20" s="132">
        <f>J20+L20+N20</f>
        <v>1622</v>
      </c>
      <c r="Q20" s="140">
        <f t="shared" si="0"/>
        <v>90.11111111111111</v>
      </c>
      <c r="R20" s="141">
        <f t="shared" si="1"/>
        <v>5.30826140567201</v>
      </c>
      <c r="S20" s="129">
        <v>9742.5</v>
      </c>
      <c r="T20" s="134">
        <f t="shared" si="4"/>
        <v>-0.11624326404926867</v>
      </c>
      <c r="U20" s="142">
        <v>1135535</v>
      </c>
      <c r="V20" s="143">
        <v>144974</v>
      </c>
      <c r="W20" s="156">
        <f>U20/V20</f>
        <v>7.832680342682136</v>
      </c>
      <c r="X20" s="8"/>
      <c r="Y20" s="8"/>
    </row>
    <row r="21" spans="1:24" s="10" customFormat="1" ht="15.75" customHeight="1">
      <c r="A21" s="53">
        <v>17</v>
      </c>
      <c r="B21" s="199" t="s">
        <v>50</v>
      </c>
      <c r="C21" s="120">
        <v>39276</v>
      </c>
      <c r="D21" s="179" t="s">
        <v>34</v>
      </c>
      <c r="E21" s="179" t="s">
        <v>46</v>
      </c>
      <c r="F21" s="180">
        <v>40</v>
      </c>
      <c r="G21" s="180">
        <v>23</v>
      </c>
      <c r="H21" s="180">
        <v>9</v>
      </c>
      <c r="I21" s="129">
        <v>1482</v>
      </c>
      <c r="J21" s="130">
        <v>265</v>
      </c>
      <c r="K21" s="129">
        <v>2783</v>
      </c>
      <c r="L21" s="130">
        <v>482</v>
      </c>
      <c r="M21" s="129">
        <v>3739</v>
      </c>
      <c r="N21" s="130">
        <v>597</v>
      </c>
      <c r="O21" s="131">
        <f>SUM(I21+K21+M21)</f>
        <v>8004</v>
      </c>
      <c r="P21" s="132">
        <f>SUM(J21+L21+N21)</f>
        <v>1344</v>
      </c>
      <c r="Q21" s="140">
        <f t="shared" si="0"/>
        <v>58.43478260869565</v>
      </c>
      <c r="R21" s="141">
        <f t="shared" si="1"/>
        <v>5.955357142857143</v>
      </c>
      <c r="S21" s="129">
        <v>6895</v>
      </c>
      <c r="T21" s="134">
        <f t="shared" si="4"/>
        <v>0.1608411892675852</v>
      </c>
      <c r="U21" s="142">
        <v>793839.5</v>
      </c>
      <c r="V21" s="143">
        <v>97499</v>
      </c>
      <c r="W21" s="156">
        <f>U21/V21</f>
        <v>8.142027097713823</v>
      </c>
      <c r="X21" s="8"/>
    </row>
    <row r="22" spans="1:24" s="10" customFormat="1" ht="15.75" customHeight="1">
      <c r="A22" s="53">
        <v>18</v>
      </c>
      <c r="B22" s="199" t="s">
        <v>69</v>
      </c>
      <c r="C22" s="120">
        <v>39297</v>
      </c>
      <c r="D22" s="179" t="s">
        <v>21</v>
      </c>
      <c r="E22" s="179" t="s">
        <v>33</v>
      </c>
      <c r="F22" s="180">
        <v>62</v>
      </c>
      <c r="G22" s="180">
        <v>26</v>
      </c>
      <c r="H22" s="180">
        <v>6</v>
      </c>
      <c r="I22" s="129">
        <v>1040</v>
      </c>
      <c r="J22" s="130">
        <v>193</v>
      </c>
      <c r="K22" s="129">
        <v>2383</v>
      </c>
      <c r="L22" s="130">
        <v>426</v>
      </c>
      <c r="M22" s="129">
        <v>3182</v>
      </c>
      <c r="N22" s="130">
        <v>566</v>
      </c>
      <c r="O22" s="131">
        <f>+M22+K22+I22</f>
        <v>6605</v>
      </c>
      <c r="P22" s="132">
        <f>+N22+L22+J22</f>
        <v>1185</v>
      </c>
      <c r="Q22" s="140">
        <f t="shared" si="0"/>
        <v>45.57692307692308</v>
      </c>
      <c r="R22" s="141">
        <f t="shared" si="1"/>
        <v>5.5738396624472575</v>
      </c>
      <c r="S22" s="129">
        <v>14055</v>
      </c>
      <c r="T22" s="134">
        <f t="shared" si="4"/>
        <v>-0.5300604766986837</v>
      </c>
      <c r="U22" s="129">
        <v>635799</v>
      </c>
      <c r="V22" s="130">
        <v>76898</v>
      </c>
      <c r="W22" s="157">
        <f>+U22/V22</f>
        <v>8.268082394860725</v>
      </c>
      <c r="X22" s="8"/>
    </row>
    <row r="23" spans="1:24" s="10" customFormat="1" ht="15.75" customHeight="1">
      <c r="A23" s="53">
        <v>19</v>
      </c>
      <c r="B23" s="126" t="s">
        <v>72</v>
      </c>
      <c r="C23" s="120">
        <v>39290</v>
      </c>
      <c r="D23" s="128" t="s">
        <v>49</v>
      </c>
      <c r="E23" s="128" t="s">
        <v>35</v>
      </c>
      <c r="F23" s="122">
        <v>5</v>
      </c>
      <c r="G23" s="122">
        <v>5</v>
      </c>
      <c r="H23" s="122">
        <v>6</v>
      </c>
      <c r="I23" s="129">
        <v>1313</v>
      </c>
      <c r="J23" s="130">
        <v>137</v>
      </c>
      <c r="K23" s="129">
        <v>2296</v>
      </c>
      <c r="L23" s="130">
        <v>217</v>
      </c>
      <c r="M23" s="129">
        <v>2383</v>
      </c>
      <c r="N23" s="130">
        <v>218</v>
      </c>
      <c r="O23" s="131">
        <f>SUM(I23+K23+M23)</f>
        <v>5992</v>
      </c>
      <c r="P23" s="132">
        <f>SUM(J23+L23+N23)</f>
        <v>572</v>
      </c>
      <c r="Q23" s="140">
        <f t="shared" si="0"/>
        <v>114.4</v>
      </c>
      <c r="R23" s="141">
        <f t="shared" si="1"/>
        <v>10.475524475524475</v>
      </c>
      <c r="S23" s="129"/>
      <c r="T23" s="134">
        <f t="shared" si="4"/>
      </c>
      <c r="U23" s="129">
        <v>143554.97</v>
      </c>
      <c r="V23" s="130">
        <v>13901</v>
      </c>
      <c r="W23" s="156">
        <f>U23/V23</f>
        <v>10.32695273721315</v>
      </c>
      <c r="X23" s="8"/>
    </row>
    <row r="24" spans="1:24" s="10" customFormat="1" ht="18.75" thickBot="1">
      <c r="A24" s="53">
        <v>20</v>
      </c>
      <c r="B24" s="224" t="s">
        <v>65</v>
      </c>
      <c r="C24" s="203">
        <v>39269</v>
      </c>
      <c r="D24" s="225" t="s">
        <v>49</v>
      </c>
      <c r="E24" s="225" t="s">
        <v>49</v>
      </c>
      <c r="F24" s="226">
        <v>10</v>
      </c>
      <c r="G24" s="226">
        <v>10</v>
      </c>
      <c r="H24" s="226">
        <v>10</v>
      </c>
      <c r="I24" s="206">
        <v>904.74</v>
      </c>
      <c r="J24" s="207">
        <v>181</v>
      </c>
      <c r="K24" s="206">
        <v>1514.74</v>
      </c>
      <c r="L24" s="207">
        <v>302</v>
      </c>
      <c r="M24" s="206">
        <v>2582.74</v>
      </c>
      <c r="N24" s="207">
        <v>505</v>
      </c>
      <c r="O24" s="208">
        <f>SUM(I24+K24+M24)</f>
        <v>5002.219999999999</v>
      </c>
      <c r="P24" s="209">
        <f>SUM(J24+L24+N24)</f>
        <v>988</v>
      </c>
      <c r="Q24" s="161">
        <f t="shared" si="0"/>
        <v>98.8</v>
      </c>
      <c r="R24" s="162">
        <f t="shared" si="1"/>
        <v>5.062975708502024</v>
      </c>
      <c r="S24" s="206"/>
      <c r="T24" s="163">
        <f t="shared" si="4"/>
      </c>
      <c r="U24" s="206">
        <v>160058.22</v>
      </c>
      <c r="V24" s="207">
        <v>22414</v>
      </c>
      <c r="W24" s="227">
        <f>U24/V24</f>
        <v>7.140993129294191</v>
      </c>
      <c r="X24" s="8"/>
    </row>
    <row r="25" spans="1:28" s="66" customFormat="1" ht="15">
      <c r="A25" s="67"/>
      <c r="B25" s="254" t="s">
        <v>32</v>
      </c>
      <c r="C25" s="255"/>
      <c r="D25" s="256"/>
      <c r="E25" s="257"/>
      <c r="F25" s="103"/>
      <c r="G25" s="103">
        <f>SUM(G5:G24)</f>
        <v>941</v>
      </c>
      <c r="H25" s="104"/>
      <c r="I25" s="105"/>
      <c r="J25" s="106"/>
      <c r="K25" s="105"/>
      <c r="L25" s="106"/>
      <c r="M25" s="105"/>
      <c r="N25" s="106"/>
      <c r="O25" s="105">
        <f>SUM(O5:O24)</f>
        <v>1583150.22</v>
      </c>
      <c r="P25" s="106">
        <f>SUM(P5:P24)</f>
        <v>183116</v>
      </c>
      <c r="Q25" s="106">
        <f>O25/G25</f>
        <v>1682.4125611052073</v>
      </c>
      <c r="R25" s="107">
        <f>O25/P25</f>
        <v>8.645613818563097</v>
      </c>
      <c r="S25" s="105"/>
      <c r="T25" s="108"/>
      <c r="U25" s="105"/>
      <c r="V25" s="106"/>
      <c r="W25" s="107"/>
      <c r="AB25" s="66" t="s">
        <v>44</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28"/>
      <c r="E27" s="229"/>
      <c r="F27" s="229"/>
      <c r="G27" s="229"/>
      <c r="H27" s="34"/>
      <c r="I27" s="35"/>
      <c r="K27" s="35"/>
      <c r="M27" s="35"/>
      <c r="O27" s="36"/>
      <c r="R27" s="37"/>
      <c r="S27" s="238" t="s">
        <v>45</v>
      </c>
      <c r="T27" s="238"/>
      <c r="U27" s="238"/>
      <c r="V27" s="238"/>
      <c r="W27" s="238"/>
      <c r="X27" s="38"/>
    </row>
    <row r="28" spans="1:24" s="33" customFormat="1" ht="18">
      <c r="A28" s="32"/>
      <c r="B28" s="9"/>
      <c r="C28" s="55"/>
      <c r="D28" s="56"/>
      <c r="E28" s="57"/>
      <c r="F28" s="57"/>
      <c r="G28" s="100"/>
      <c r="H28" s="34"/>
      <c r="M28" s="35"/>
      <c r="O28" s="36"/>
      <c r="R28" s="37"/>
      <c r="S28" s="238"/>
      <c r="T28" s="238"/>
      <c r="U28" s="238"/>
      <c r="V28" s="238"/>
      <c r="W28" s="238"/>
      <c r="X28" s="38"/>
    </row>
    <row r="29" spans="1:24" s="33" customFormat="1" ht="18">
      <c r="A29" s="32"/>
      <c r="G29" s="34"/>
      <c r="H29" s="34"/>
      <c r="M29" s="35"/>
      <c r="O29" s="36"/>
      <c r="R29" s="37"/>
      <c r="S29" s="238"/>
      <c r="T29" s="238"/>
      <c r="U29" s="238"/>
      <c r="V29" s="238"/>
      <c r="W29" s="238"/>
      <c r="X29" s="38"/>
    </row>
    <row r="30" spans="1:24" s="33" customFormat="1" ht="18" customHeight="1">
      <c r="A30" s="32"/>
      <c r="C30" s="34"/>
      <c r="E30" s="39"/>
      <c r="F30" s="34"/>
      <c r="G30" s="34"/>
      <c r="H30" s="34"/>
      <c r="I30" s="35"/>
      <c r="K30" s="35"/>
      <c r="M30" s="35"/>
      <c r="O30" s="36"/>
      <c r="S30" s="237" t="s">
        <v>99</v>
      </c>
      <c r="T30" s="237"/>
      <c r="U30" s="237"/>
      <c r="V30" s="237"/>
      <c r="W30" s="237"/>
      <c r="X30" s="38"/>
    </row>
    <row r="31" spans="1:24" s="33" customFormat="1" ht="18.75" customHeight="1">
      <c r="A31" s="32"/>
      <c r="C31" s="34"/>
      <c r="E31" s="39"/>
      <c r="F31" s="34"/>
      <c r="G31" s="34"/>
      <c r="H31" s="34"/>
      <c r="I31" s="35"/>
      <c r="K31" s="35"/>
      <c r="M31" s="35"/>
      <c r="O31" s="36"/>
      <c r="S31" s="237"/>
      <c r="T31" s="237"/>
      <c r="U31" s="237"/>
      <c r="V31" s="237"/>
      <c r="W31" s="237"/>
      <c r="X31" s="38"/>
    </row>
    <row r="32" spans="1:24" s="33" customFormat="1" ht="36" customHeight="1">
      <c r="A32" s="32"/>
      <c r="C32" s="34"/>
      <c r="E32" s="39"/>
      <c r="F32" s="34"/>
      <c r="G32" s="34"/>
      <c r="H32" s="34"/>
      <c r="I32" s="35"/>
      <c r="K32" s="35"/>
      <c r="M32" s="35"/>
      <c r="O32" s="36"/>
      <c r="S32" s="237"/>
      <c r="T32" s="237"/>
      <c r="U32" s="237"/>
      <c r="V32" s="237"/>
      <c r="W32" s="237"/>
      <c r="X32" s="38"/>
    </row>
    <row r="33" spans="1:24" s="33" customFormat="1" ht="30" customHeight="1">
      <c r="A33" s="32"/>
      <c r="C33" s="34"/>
      <c r="E33" s="39"/>
      <c r="F33" s="34"/>
      <c r="G33" s="34"/>
      <c r="H33" s="34"/>
      <c r="I33" s="35"/>
      <c r="K33" s="35"/>
      <c r="M33" s="35"/>
      <c r="O33" s="36"/>
      <c r="P33" s="234" t="s">
        <v>23</v>
      </c>
      <c r="Q33" s="235"/>
      <c r="R33" s="235"/>
      <c r="S33" s="235"/>
      <c r="T33" s="235"/>
      <c r="U33" s="235"/>
      <c r="V33" s="235"/>
      <c r="W33" s="235"/>
      <c r="X33" s="38"/>
    </row>
    <row r="34" spans="1:24" s="33" customFormat="1" ht="30" customHeight="1">
      <c r="A34" s="32"/>
      <c r="C34" s="34"/>
      <c r="E34" s="39"/>
      <c r="F34" s="34"/>
      <c r="G34" s="34"/>
      <c r="H34" s="34"/>
      <c r="I34" s="35"/>
      <c r="K34" s="35"/>
      <c r="M34" s="35"/>
      <c r="O34" s="36"/>
      <c r="P34" s="235"/>
      <c r="Q34" s="235"/>
      <c r="R34" s="235"/>
      <c r="S34" s="235"/>
      <c r="T34" s="235"/>
      <c r="U34" s="235"/>
      <c r="V34" s="235"/>
      <c r="W34" s="235"/>
      <c r="X34" s="38"/>
    </row>
    <row r="35" spans="1:24" s="33" customFormat="1" ht="30" customHeight="1">
      <c r="A35" s="32"/>
      <c r="C35" s="34"/>
      <c r="E35" s="39"/>
      <c r="F35" s="34"/>
      <c r="G35" s="34"/>
      <c r="H35" s="34"/>
      <c r="I35" s="35"/>
      <c r="K35" s="35"/>
      <c r="M35" s="35"/>
      <c r="O35" s="36"/>
      <c r="P35" s="235"/>
      <c r="Q35" s="235"/>
      <c r="R35" s="235"/>
      <c r="S35" s="235"/>
      <c r="T35" s="235"/>
      <c r="U35" s="235"/>
      <c r="V35" s="235"/>
      <c r="W35" s="235"/>
      <c r="X35" s="38"/>
    </row>
    <row r="36" spans="1:24" s="33" customFormat="1" ht="30" customHeight="1">
      <c r="A36" s="32"/>
      <c r="C36" s="34"/>
      <c r="E36" s="39"/>
      <c r="F36" s="34"/>
      <c r="G36" s="34"/>
      <c r="H36" s="34"/>
      <c r="I36" s="35"/>
      <c r="K36" s="35"/>
      <c r="M36" s="35"/>
      <c r="O36" s="36"/>
      <c r="P36" s="235"/>
      <c r="Q36" s="235"/>
      <c r="R36" s="235"/>
      <c r="S36" s="235"/>
      <c r="T36" s="235"/>
      <c r="U36" s="235"/>
      <c r="V36" s="235"/>
      <c r="W36" s="235"/>
      <c r="X36" s="38"/>
    </row>
    <row r="37" spans="1:24" s="33" customFormat="1" ht="30" customHeight="1">
      <c r="A37" s="32"/>
      <c r="C37" s="34"/>
      <c r="E37" s="39"/>
      <c r="F37" s="34"/>
      <c r="G37" s="34"/>
      <c r="H37" s="34"/>
      <c r="I37" s="35"/>
      <c r="K37" s="35"/>
      <c r="M37" s="35"/>
      <c r="O37" s="36"/>
      <c r="P37" s="235"/>
      <c r="Q37" s="235"/>
      <c r="R37" s="235"/>
      <c r="S37" s="235"/>
      <c r="T37" s="235"/>
      <c r="U37" s="235"/>
      <c r="V37" s="235"/>
      <c r="W37" s="235"/>
      <c r="X37" s="38"/>
    </row>
    <row r="38" spans="1:24" s="33" customFormat="1" ht="30" customHeight="1">
      <c r="A38" s="32"/>
      <c r="C38" s="34"/>
      <c r="E38" s="39"/>
      <c r="F38" s="34"/>
      <c r="G38" s="5"/>
      <c r="H38" s="5"/>
      <c r="I38" s="12"/>
      <c r="J38" s="3"/>
      <c r="K38" s="12"/>
      <c r="L38" s="3"/>
      <c r="M38" s="12"/>
      <c r="N38" s="3"/>
      <c r="O38" s="36"/>
      <c r="P38" s="235"/>
      <c r="Q38" s="235"/>
      <c r="R38" s="235"/>
      <c r="S38" s="235"/>
      <c r="T38" s="235"/>
      <c r="U38" s="235"/>
      <c r="V38" s="235"/>
      <c r="W38" s="235"/>
      <c r="X38" s="38"/>
    </row>
    <row r="39" spans="1:24" s="33" customFormat="1" ht="33" customHeight="1">
      <c r="A39" s="32"/>
      <c r="C39" s="34"/>
      <c r="E39" s="39"/>
      <c r="F39" s="34"/>
      <c r="G39" s="5"/>
      <c r="H39" s="5"/>
      <c r="I39" s="12"/>
      <c r="J39" s="3"/>
      <c r="K39" s="12"/>
      <c r="L39" s="3"/>
      <c r="M39" s="12"/>
      <c r="N39" s="3"/>
      <c r="O39" s="36"/>
      <c r="P39" s="236" t="s">
        <v>30</v>
      </c>
      <c r="Q39" s="235"/>
      <c r="R39" s="235"/>
      <c r="S39" s="235"/>
      <c r="T39" s="235"/>
      <c r="U39" s="235"/>
      <c r="V39" s="235"/>
      <c r="W39" s="235"/>
      <c r="X39" s="38"/>
    </row>
    <row r="40" spans="1:24" s="33" customFormat="1" ht="33" customHeight="1">
      <c r="A40" s="32"/>
      <c r="C40" s="34"/>
      <c r="E40" s="39"/>
      <c r="F40" s="34"/>
      <c r="G40" s="5"/>
      <c r="H40" s="5"/>
      <c r="I40" s="12"/>
      <c r="J40" s="3"/>
      <c r="K40" s="12"/>
      <c r="L40" s="3"/>
      <c r="M40" s="12"/>
      <c r="N40" s="3"/>
      <c r="O40" s="36"/>
      <c r="P40" s="235"/>
      <c r="Q40" s="235"/>
      <c r="R40" s="235"/>
      <c r="S40" s="235"/>
      <c r="T40" s="235"/>
      <c r="U40" s="235"/>
      <c r="V40" s="235"/>
      <c r="W40" s="235"/>
      <c r="X40" s="38"/>
    </row>
    <row r="41" spans="1:24" s="33" customFormat="1" ht="33" customHeight="1">
      <c r="A41" s="32"/>
      <c r="C41" s="34"/>
      <c r="E41" s="39"/>
      <c r="F41" s="34"/>
      <c r="G41" s="5"/>
      <c r="H41" s="5"/>
      <c r="I41" s="12"/>
      <c r="J41" s="3"/>
      <c r="K41" s="12"/>
      <c r="L41" s="3"/>
      <c r="M41" s="12"/>
      <c r="N41" s="3"/>
      <c r="O41" s="36"/>
      <c r="P41" s="235"/>
      <c r="Q41" s="235"/>
      <c r="R41" s="235"/>
      <c r="S41" s="235"/>
      <c r="T41" s="235"/>
      <c r="U41" s="235"/>
      <c r="V41" s="235"/>
      <c r="W41" s="235"/>
      <c r="X41" s="38"/>
    </row>
    <row r="42" spans="1:24" s="33" customFormat="1" ht="33" customHeight="1">
      <c r="A42" s="32"/>
      <c r="C42" s="34"/>
      <c r="E42" s="39"/>
      <c r="F42" s="34"/>
      <c r="G42" s="5"/>
      <c r="H42" s="5"/>
      <c r="I42" s="12"/>
      <c r="J42" s="3"/>
      <c r="K42" s="12"/>
      <c r="L42" s="3"/>
      <c r="M42" s="12"/>
      <c r="N42" s="3"/>
      <c r="O42" s="36"/>
      <c r="P42" s="235"/>
      <c r="Q42" s="235"/>
      <c r="R42" s="235"/>
      <c r="S42" s="235"/>
      <c r="T42" s="235"/>
      <c r="U42" s="235"/>
      <c r="V42" s="235"/>
      <c r="W42" s="235"/>
      <c r="X42" s="38"/>
    </row>
    <row r="43" spans="1:24" s="33" customFormat="1" ht="33" customHeight="1">
      <c r="A43" s="32"/>
      <c r="C43" s="34"/>
      <c r="E43" s="39"/>
      <c r="F43" s="34"/>
      <c r="G43" s="5"/>
      <c r="H43" s="5"/>
      <c r="I43" s="12"/>
      <c r="J43" s="3"/>
      <c r="K43" s="12"/>
      <c r="L43" s="3"/>
      <c r="M43" s="12"/>
      <c r="N43" s="3"/>
      <c r="O43" s="36"/>
      <c r="P43" s="235"/>
      <c r="Q43" s="235"/>
      <c r="R43" s="235"/>
      <c r="S43" s="235"/>
      <c r="T43" s="235"/>
      <c r="U43" s="235"/>
      <c r="V43" s="235"/>
      <c r="W43" s="235"/>
      <c r="X43" s="38"/>
    </row>
    <row r="44" spans="16:23" ht="33" customHeight="1">
      <c r="P44" s="235"/>
      <c r="Q44" s="235"/>
      <c r="R44" s="235"/>
      <c r="S44" s="235"/>
      <c r="T44" s="235"/>
      <c r="U44" s="235"/>
      <c r="V44" s="235"/>
      <c r="W44" s="235"/>
    </row>
    <row r="45" spans="16:23" ht="33" customHeight="1">
      <c r="P45" s="235"/>
      <c r="Q45" s="235"/>
      <c r="R45" s="235"/>
      <c r="S45" s="235"/>
      <c r="T45" s="235"/>
      <c r="U45" s="235"/>
      <c r="V45" s="235"/>
      <c r="W45" s="235"/>
    </row>
  </sheetData>
  <sheetProtection/>
  <mergeCells count="21">
    <mergeCell ref="P39:W45"/>
    <mergeCell ref="D27:G27"/>
    <mergeCell ref="S27:W29"/>
    <mergeCell ref="S30:W32"/>
    <mergeCell ref="P33:W38"/>
    <mergeCell ref="A2:W2"/>
    <mergeCell ref="B3:B4"/>
    <mergeCell ref="C3:C4"/>
    <mergeCell ref="B25:C25"/>
    <mergeCell ref="D25:E25"/>
    <mergeCell ref="O3:R3"/>
    <mergeCell ref="S3:T3"/>
    <mergeCell ref="U3:W3"/>
    <mergeCell ref="H3:H4"/>
    <mergeCell ref="G3:G4"/>
    <mergeCell ref="M3:N3"/>
    <mergeCell ref="K3:L3"/>
    <mergeCell ref="I3:J3"/>
    <mergeCell ref="D3:D4"/>
    <mergeCell ref="E3:E4"/>
    <mergeCell ref="F3:F4"/>
  </mergeCells>
  <printOptions/>
  <pageMargins left="0.17" right="0.12" top="0.82" bottom="0.39" header="0.5" footer="0.32"/>
  <pageSetup orientation="portrait" paperSize="9" scale="70" r:id="rId2"/>
  <ignoredErrors>
    <ignoredError sqref="O14:U22" formula="1"/>
    <ignoredError sqref="W5:W13 W23" unlockedFormula="1"/>
    <ignoredError sqref="W14:W2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2007-09-13T20:45:54Z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