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0" windowWidth="15480" windowHeight="11640" tabRatio="808" activeTab="0"/>
  </bookViews>
  <sheets>
    <sheet name="17 - 23 Aug' (WK 34)" sheetId="1" r:id="rId1"/>
    <sheet name="29 Dec' - 23 Aug' (Annual)" sheetId="2" r:id="rId2"/>
    <sheet name="Ex years releases (Annual)" sheetId="3" r:id="rId3"/>
    <sheet name="Week by Week" sheetId="4" r:id="rId4"/>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0">'17 - 23 Aug'' (WK 34)'!$A$1:$O$120</definedName>
    <definedName name="_xlnm.Print_Area" localSheetId="1">'29 Dec' - 23 Aug' (Annual)'!$A$1:$J$183</definedName>
    <definedName name="_xlnm.Print_Area" localSheetId="3">'Week by Week'!$F$1:$H$26</definedName>
  </definedNames>
  <calcPr fullCalcOnLoad="1"/>
</workbook>
</file>

<file path=xl/sharedStrings.xml><?xml version="1.0" encoding="utf-8"?>
<sst xmlns="http://schemas.openxmlformats.org/spreadsheetml/2006/main" count="3122" uniqueCount="569">
  <si>
    <t>PI-YALAN DUNYA</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</si>
  <si>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</si>
  <si>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1</t>
  </si>
  <si>
    <t>DEVIL WEARS PRADA, THE</t>
  </si>
  <si>
    <t>ARAF</t>
  </si>
  <si>
    <t>BIR FILM</t>
  </si>
  <si>
    <t>ALLEGRO</t>
  </si>
  <si>
    <t>CELLULOID</t>
  </si>
  <si>
    <t>CARS</t>
  </si>
  <si>
    <t>WILD BUNCH</t>
  </si>
  <si>
    <t># of Films</t>
  </si>
  <si>
    <t>LOCAL FILMS</t>
  </si>
  <si>
    <t>FOREIGN FILMS</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</si>
  <si>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</si>
  <si>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SAW 3</t>
  </si>
  <si>
    <t>LIMON</t>
  </si>
  <si>
    <t>VOLVER</t>
  </si>
  <si>
    <t>BABEL</t>
  </si>
  <si>
    <t>GOOD YEAR, A</t>
  </si>
  <si>
    <t>2</t>
  </si>
  <si>
    <t>SPOT</t>
  </si>
  <si>
    <t>TMC</t>
  </si>
  <si>
    <t>PRINCES</t>
  </si>
  <si>
    <t>CASINO ROYALE</t>
  </si>
  <si>
    <t>TIM'S</t>
  </si>
  <si>
    <t>HARSH TIMES</t>
  </si>
  <si>
    <t>U.I.P.</t>
  </si>
  <si>
    <t>KENDA</t>
  </si>
  <si>
    <t>SURF'S UP</t>
  </si>
  <si>
    <t>DISTURBIA</t>
  </si>
  <si>
    <t>IT'S A BOY GIRL THING</t>
  </si>
  <si>
    <t>ICON</t>
  </si>
  <si>
    <t>GEORGIA RULE</t>
  </si>
  <si>
    <t>LA VIE EN ROSE</t>
  </si>
  <si>
    <t xml:space="preserve">QUAND J'ETAIS CHANTEUR </t>
  </si>
  <si>
    <t>GELIBOLU</t>
  </si>
  <si>
    <t>EKIP</t>
  </si>
  <si>
    <t>AMENIS</t>
  </si>
  <si>
    <t>BARNYARD</t>
  </si>
  <si>
    <t>BIR F. - DFGS</t>
  </si>
  <si>
    <t>WIND THAT SHAKES THE BARLEY, THE</t>
  </si>
  <si>
    <t>TRANSYLVANIA</t>
  </si>
  <si>
    <t>HOKKABAZ</t>
  </si>
  <si>
    <t>BKM</t>
  </si>
  <si>
    <t>TRUST</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</si>
  <si>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</si>
  <si>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SCIENCE OF SLEEP, THE</t>
  </si>
  <si>
    <t>GAUMONT</t>
  </si>
  <si>
    <t>TAPAS</t>
  </si>
  <si>
    <t>ASKD</t>
  </si>
  <si>
    <t>ANT BULLY</t>
  </si>
  <si>
    <t>OVER THE HEDGE</t>
  </si>
  <si>
    <t>Screen Avg. (Adm.)</t>
  </si>
  <si>
    <t>Release Date</t>
  </si>
  <si>
    <t>Week in Release</t>
  </si>
  <si>
    <t>Avg. Ticket Price</t>
  </si>
  <si>
    <t>G.B.O. YTL</t>
  </si>
  <si>
    <t>FLUSHED AWAY</t>
  </si>
  <si>
    <t>ERAGON</t>
  </si>
  <si>
    <t>STRANGER THAN FICTION</t>
  </si>
  <si>
    <t>MARATHON</t>
  </si>
  <si>
    <t>QUINCEANERA</t>
  </si>
  <si>
    <t>ARTHUR AND THE MINIMOYS</t>
  </si>
  <si>
    <t>BOSS OF IT ALL, THE</t>
  </si>
  <si>
    <t>OPEN SEASON</t>
  </si>
  <si>
    <t>EX YEARS LOCAL RELEASES</t>
  </si>
  <si>
    <t>EX YEARS FOREIGN RELEASES</t>
  </si>
  <si>
    <t>KÜÇÜK KIYAMET</t>
  </si>
  <si>
    <t>DÜNYAYI KURTARAN ADAM'IN OĞLU</t>
  </si>
  <si>
    <t>Avg. Ticket</t>
  </si>
  <si>
    <t>Title</t>
  </si>
  <si>
    <t>Release
Date</t>
  </si>
  <si>
    <t># of
Prints</t>
  </si>
  <si>
    <t>Week</t>
  </si>
  <si>
    <t>Cumulative</t>
  </si>
  <si>
    <t>G.B.O.</t>
  </si>
  <si>
    <t>Adm.</t>
  </si>
  <si>
    <t>Avg.
Ticket</t>
  </si>
  <si>
    <t xml:space="preserve">Avg.
Ticket </t>
  </si>
  <si>
    <t># of
Screen</t>
  </si>
  <si>
    <t>WARNER BROS.</t>
  </si>
  <si>
    <t>OZEN FILM</t>
  </si>
  <si>
    <t>CINEMEDYA</t>
  </si>
  <si>
    <t>YENI SINEMACILAR</t>
  </si>
  <si>
    <t>GARFIELD 2</t>
  </si>
  <si>
    <t>VANITY FAIR</t>
  </si>
  <si>
    <t>TEXAS CHAINSAW MASSACRE: THE BEGINNING</t>
  </si>
  <si>
    <t>Weeks in Release</t>
  </si>
  <si>
    <t>AKADEMI</t>
  </si>
  <si>
    <t>CLICK</t>
  </si>
  <si>
    <t>CRANK</t>
  </si>
  <si>
    <t>ÖZEN</t>
  </si>
  <si>
    <t>12-18</t>
  </si>
  <si>
    <t>Maskeli Beşler I.R.A.K</t>
  </si>
  <si>
    <t>19-25</t>
  </si>
  <si>
    <t>Son Osmanlı "Yandım Ali"</t>
  </si>
  <si>
    <t>SON OSMANLI "YANDIM ALİ"</t>
  </si>
  <si>
    <t>EMRET KOMUTANIM ŞAH MAT</t>
  </si>
  <si>
    <t>ALTIOKLAR</t>
  </si>
  <si>
    <t>UMUT - OZEN</t>
  </si>
  <si>
    <t>GUIDE TO RECOGNIZING YOUR SAINTS, A</t>
  </si>
  <si>
    <t>FIRST LOOK</t>
  </si>
  <si>
    <t>HAPPY FEET</t>
  </si>
  <si>
    <t>MK2</t>
  </si>
  <si>
    <t>BITTERSWEET LIFE, A</t>
  </si>
  <si>
    <t>EFLATUN</t>
  </si>
  <si>
    <t>C.R.A.Z.Y.</t>
  </si>
  <si>
    <t>FILMS DIST.</t>
  </si>
  <si>
    <t>ETERNAL SUNSHINE OF THE SPOTLESS MIND</t>
  </si>
  <si>
    <t>PYRAMIDE</t>
  </si>
  <si>
    <t>HOTEL RWANDA</t>
  </si>
  <si>
    <t>LIONS GATE</t>
  </si>
  <si>
    <t>İKLİMLER</t>
  </si>
  <si>
    <t>CO PRODUCTION</t>
  </si>
  <si>
    <t>KARDAN ADAMLAR</t>
  </si>
  <si>
    <t>PROJE</t>
  </si>
  <si>
    <t>CELLULOID D.</t>
  </si>
  <si>
    <t>VA, VIE &amp; DEVIENS</t>
  </si>
  <si>
    <t>BIR F. - ERMAN F.</t>
  </si>
  <si>
    <t>26-01</t>
  </si>
  <si>
    <t>February</t>
  </si>
  <si>
    <t>Çılgın Dersane</t>
  </si>
  <si>
    <t>one week</t>
  </si>
  <si>
    <t>IRREVERSIBLE</t>
  </si>
  <si>
    <t>EXCEPTION</t>
  </si>
  <si>
    <t>TOMB RAIDER 2</t>
  </si>
  <si>
    <t>MUTUAL</t>
  </si>
  <si>
    <t>DREAMERS, THE</t>
  </si>
  <si>
    <t xml:space="preserve">UMUT SANAT </t>
  </si>
  <si>
    <t>HANWAY</t>
  </si>
  <si>
    <t>SECRET THINGS</t>
  </si>
  <si>
    <t>STRAY DOGS</t>
  </si>
  <si>
    <t>BAMBI 2</t>
  </si>
  <si>
    <t>FATELESS</t>
  </si>
  <si>
    <t>H20</t>
  </si>
  <si>
    <t>COMBIEN TU M'AIMES</t>
  </si>
  <si>
    <t>AMERİKALILAR KARADENİZ'DE 2</t>
  </si>
  <si>
    <t>ENERGY</t>
  </si>
  <si>
    <t>163</t>
  </si>
  <si>
    <t>BLOOD DIAMOND</t>
  </si>
  <si>
    <t>02-08</t>
  </si>
  <si>
    <t>JOYEUX NOEL</t>
  </si>
  <si>
    <t>LES TEXTILES</t>
  </si>
  <si>
    <t>REEKER, THE</t>
  </si>
  <si>
    <t>STOLEN EYES</t>
  </si>
  <si>
    <t>YAKA FILM</t>
  </si>
  <si>
    <t>BARDA</t>
  </si>
  <si>
    <t>FILMAKAR</t>
  </si>
  <si>
    <t>55</t>
  </si>
  <si>
    <t>FILM POP</t>
  </si>
  <si>
    <t>INCONVENIENT TRUTH, AN</t>
  </si>
  <si>
    <t>09-15</t>
  </si>
  <si>
    <t>ÇILGIN DERSANE</t>
  </si>
  <si>
    <t>NEŞELİ GENÇLİK</t>
  </si>
  <si>
    <t>DEREN</t>
  </si>
  <si>
    <t>LE GRAND VOYAGE</t>
  </si>
  <si>
    <t>MAVI FILM</t>
  </si>
  <si>
    <t>16-22</t>
  </si>
  <si>
    <t>SEPTEMBER 11</t>
  </si>
  <si>
    <t>BABAM VE OĞLUM</t>
  </si>
  <si>
    <t>AVSAR</t>
  </si>
  <si>
    <t>SEX &amp; PHILOSOPHY</t>
  </si>
  <si>
    <t>UMUT SANAT</t>
  </si>
  <si>
    <t>*Sorted according to Week Total G.B.O. - Haftalık toplam hasılat sütununa göre sıralanmıştır.</t>
  </si>
  <si>
    <t>MEDYAVIZYON</t>
  </si>
  <si>
    <t>LAST WEEK</t>
  </si>
  <si>
    <t>TOTAL</t>
  </si>
  <si>
    <t>DISTRIBUTORS CHART</t>
  </si>
  <si>
    <t>HOODWINKED</t>
  </si>
  <si>
    <t>Company</t>
  </si>
  <si>
    <t>Distributor</t>
  </si>
  <si>
    <t>UNP</t>
  </si>
  <si>
    <t>WB</t>
  </si>
  <si>
    <t>UIP</t>
  </si>
  <si>
    <t>OZEN</t>
  </si>
  <si>
    <t>FOX</t>
  </si>
  <si>
    <t>BUENA VISTA</t>
  </si>
  <si>
    <t>COLUMBIA</t>
  </si>
  <si>
    <t>FOCUS</t>
  </si>
  <si>
    <t>UNIVERSAL</t>
  </si>
  <si>
    <t>CHANTIER</t>
  </si>
  <si>
    <t>PARAMOUNT</t>
  </si>
  <si>
    <t>OZEN - UMUT</t>
  </si>
  <si>
    <t>U.N.P.</t>
  </si>
  <si>
    <t>R FILM</t>
  </si>
  <si>
    <t>TIGLON</t>
  </si>
  <si>
    <t>WEINSTEIN CO.</t>
  </si>
  <si>
    <t>FIDA</t>
  </si>
  <si>
    <t>Weekly Movie Magazine Antrakt Presents - Haftalık Antrakt Sinema Gazetesi Sunar</t>
  </si>
  <si>
    <t>35 MILIM</t>
  </si>
  <si>
    <t>BARBAR FILM</t>
  </si>
  <si>
    <t>DONDURMAM GAYMAK</t>
  </si>
  <si>
    <t>HERMES</t>
  </si>
  <si>
    <t>HAYATIMIN KADINISIN</t>
  </si>
  <si>
    <t>FLAGS OF OUR FATHERS</t>
  </si>
  <si>
    <t>TAKVA</t>
  </si>
  <si>
    <t>BORAT</t>
  </si>
  <si>
    <t>CHILDREN OF MEN</t>
  </si>
  <si>
    <t>SINAV</t>
  </si>
  <si>
    <t>HOWL'S MOVING CASTLE</t>
  </si>
  <si>
    <t>TEXAS CHAINSAW MASSACRE, THE</t>
  </si>
  <si>
    <t>PATHE</t>
  </si>
  <si>
    <t>FROSTBITE</t>
  </si>
  <si>
    <t>This Week's Total</t>
  </si>
  <si>
    <t>Films</t>
  </si>
  <si>
    <t>Admission</t>
  </si>
  <si>
    <t>GRUDGE 2</t>
  </si>
  <si>
    <t>NEW FRANCE</t>
  </si>
  <si>
    <t>JE NE SUIS PAS LA POUR ETRE AIME</t>
  </si>
  <si>
    <t>REZO</t>
  </si>
  <si>
    <t>PRESTIGE, THE</t>
  </si>
  <si>
    <t>Mavi Gözlü Dev</t>
  </si>
  <si>
    <t>MUTLULUK</t>
  </si>
  <si>
    <t>ANS</t>
  </si>
  <si>
    <t>KARA</t>
  </si>
  <si>
    <t>ROCKY BALBOA</t>
  </si>
  <si>
    <t>HITCHER, THE</t>
  </si>
  <si>
    <t>UMUT ADASI</t>
  </si>
  <si>
    <t>KARIZMA</t>
  </si>
  <si>
    <t>BETA</t>
  </si>
  <si>
    <t>MUSIC AND LYRICS</t>
  </si>
  <si>
    <t>SHERRYBABY</t>
  </si>
  <si>
    <t>LE TEMPS QUI RESTE</t>
  </si>
  <si>
    <t>PI FILM - CELLULOID</t>
  </si>
  <si>
    <t>DONNIE DARKO</t>
  </si>
  <si>
    <t>PANDORA</t>
  </si>
  <si>
    <t>23-29</t>
  </si>
  <si>
    <t>5</t>
  </si>
  <si>
    <t>TMNT</t>
  </si>
  <si>
    <t>LITTLE CHILDREN, THE</t>
  </si>
  <si>
    <t>10</t>
  </si>
  <si>
    <t>PULSE</t>
  </si>
  <si>
    <t>TAKESHIS</t>
  </si>
  <si>
    <t>PI FILMCILIK</t>
  </si>
  <si>
    <t>CRYING OUT LOVE
IN THE CENTER OF THE WORLD</t>
  </si>
  <si>
    <t>TOHO</t>
  </si>
  <si>
    <t>AUDITION</t>
  </si>
  <si>
    <t>DOLLS</t>
  </si>
  <si>
    <t>LİMON</t>
  </si>
  <si>
    <t>30-05</t>
  </si>
  <si>
    <t>April</t>
  </si>
  <si>
    <t>Mutluluk</t>
  </si>
  <si>
    <t>MEET THE ROBINSONS</t>
  </si>
  <si>
    <t>APOCALYPTO</t>
  </si>
  <si>
    <t>NEW FILMS</t>
  </si>
  <si>
    <t>ENERGY - SINEVIZYON</t>
  </si>
  <si>
    <t>PARIS, JE T'AIME</t>
  </si>
  <si>
    <t>ARZU - FIDA</t>
  </si>
  <si>
    <t>06-12</t>
  </si>
  <si>
    <t>PREMONITION</t>
  </si>
  <si>
    <t>90</t>
  </si>
  <si>
    <t>SATURNO CONTRO</t>
  </si>
  <si>
    <t>AFS</t>
  </si>
  <si>
    <t>AURA</t>
  </si>
  <si>
    <t>GOOD SHEPERD, THE</t>
  </si>
  <si>
    <t>UGLY DUCKLING AND ME, THE</t>
  </si>
  <si>
    <t>DEATH OF A PRESIDENT</t>
  </si>
  <si>
    <t>A.E. FILM</t>
  </si>
  <si>
    <t>MANDERLAY</t>
  </si>
  <si>
    <t>GRBAVICA</t>
  </si>
  <si>
    <t>IRFAN</t>
  </si>
  <si>
    <t>PRINCESS</t>
  </si>
  <si>
    <t>Sıra Dışı</t>
  </si>
  <si>
    <t>13-19</t>
  </si>
  <si>
    <t>Messengers, The</t>
  </si>
  <si>
    <t>MANDATE</t>
  </si>
  <si>
    <t>NORBIT</t>
  </si>
  <si>
    <t>ZİNCİRBOZAN</t>
  </si>
  <si>
    <t>TURKMAX</t>
  </si>
  <si>
    <t>99</t>
  </si>
  <si>
    <t>BECAUSE I SAID SO</t>
  </si>
  <si>
    <t>42</t>
  </si>
  <si>
    <t>SEVGİLİM İSTANBUL</t>
  </si>
  <si>
    <t>RENAISSANCE</t>
  </si>
  <si>
    <t>BELGE</t>
  </si>
  <si>
    <t>COMPANY, THE</t>
  </si>
  <si>
    <t>AVSAR FILM - TMC</t>
  </si>
  <si>
    <t>AE FOND KISS</t>
  </si>
  <si>
    <t>20-26</t>
  </si>
  <si>
    <t>3</t>
  </si>
  <si>
    <t>PARS: KİRAZ OPERASYONU</t>
  </si>
  <si>
    <t>SINEGRAF</t>
  </si>
  <si>
    <t>SUMMER RAIN</t>
  </si>
  <si>
    <t>IFR - PROMETE</t>
  </si>
  <si>
    <t>Pars: Kiraz Operasyonu</t>
  </si>
  <si>
    <t>27-03</t>
  </si>
  <si>
    <t>May</t>
  </si>
  <si>
    <t>NEXT</t>
  </si>
  <si>
    <t>WILD HOGS</t>
  </si>
  <si>
    <t>BEYNELMİLEL</t>
  </si>
  <si>
    <t>97</t>
  </si>
  <si>
    <t>EVE GİDEN YOL 1914</t>
  </si>
  <si>
    <t>NIGHT AT THE MUSEUM</t>
  </si>
  <si>
    <t>CENNETİ BEKLERKEN</t>
  </si>
  <si>
    <t>İLK AŞK</t>
  </si>
  <si>
    <t>ÇİNLİLER GELİYOR</t>
  </si>
  <si>
    <t>PERA</t>
  </si>
  <si>
    <t>EVE DÖNÜŞ</t>
  </si>
  <si>
    <t>YOU, ME AND DUPREE</t>
  </si>
  <si>
    <t>ŞAŞKIN</t>
  </si>
  <si>
    <t>GRAND TOTAL OF 2007</t>
  </si>
  <si>
    <t>D PRODUCTIONS</t>
  </si>
  <si>
    <t>CERTI BAMBINI</t>
  </si>
  <si>
    <t>BELGE FILM</t>
  </si>
  <si>
    <t>January</t>
  </si>
  <si>
    <t>29-04</t>
  </si>
  <si>
    <t>Küçük Kıyamet</t>
  </si>
  <si>
    <t>05-11</t>
  </si>
  <si>
    <t>DEJA VU</t>
  </si>
  <si>
    <t>SCHOOL FOR SCOUNDRELS</t>
  </si>
  <si>
    <t>FILMPOP</t>
  </si>
  <si>
    <t>IBERIA</t>
  </si>
  <si>
    <t>RETURN, THE</t>
  </si>
  <si>
    <t>SHI GAN</t>
  </si>
  <si>
    <t>CINECLICK</t>
  </si>
  <si>
    <t>LORD OF THE RINGS 3, THE</t>
  </si>
  <si>
    <t>NEW LINE</t>
  </si>
  <si>
    <t>LORD OF THE RINGS 2, THE</t>
  </si>
  <si>
    <t>LORD OF THE RINGS 1, THE</t>
  </si>
  <si>
    <t>KADER</t>
  </si>
  <si>
    <t>MAVI</t>
  </si>
  <si>
    <t>STONE COUNCIL, THE</t>
  </si>
  <si>
    <t>MISSION: IMPOSSIBLE 3</t>
  </si>
  <si>
    <t>KNALLHART</t>
  </si>
  <si>
    <t>MARS</t>
  </si>
  <si>
    <t>FEARLESS</t>
  </si>
  <si>
    <t>SILENT HILL</t>
  </si>
  <si>
    <t>Deja Vu</t>
  </si>
  <si>
    <t>BIR F. - CINEMEDYA</t>
  </si>
  <si>
    <t>30</t>
  </si>
  <si>
    <t>MAN OF THE YEAR</t>
  </si>
  <si>
    <t>EVERYONE'S HERO</t>
  </si>
  <si>
    <t>PARADISE NOW</t>
  </si>
  <si>
    <t>ROBOTS</t>
  </si>
  <si>
    <t>PINK PANTHER</t>
  </si>
  <si>
    <t>WOLF CREEK</t>
  </si>
  <si>
    <t>UNUTULMAYANLAR</t>
  </si>
  <si>
    <t>OLGUN ARUN</t>
  </si>
  <si>
    <t>8</t>
  </si>
  <si>
    <t>MASKELİ BEŞLER I.R.A.K</t>
  </si>
  <si>
    <t>HOLIDAY,THE</t>
  </si>
  <si>
    <t>08-14</t>
  </si>
  <si>
    <t>BLOOD AND CHOCOLATE</t>
  </si>
  <si>
    <t>HOST, THE</t>
  </si>
  <si>
    <t>BRIDES</t>
  </si>
  <si>
    <t>LIFE IS A MIRACLE</t>
  </si>
  <si>
    <t>57</t>
  </si>
  <si>
    <t>HANNIBAL RISING</t>
  </si>
  <si>
    <t>REAPING, THE</t>
  </si>
  <si>
    <t>PURSUIT OF HAPPYNESS, THE</t>
  </si>
  <si>
    <t>ASTERIX ET LES VIKINGS</t>
  </si>
  <si>
    <t>LABERINTO DEL FAUNO, EL</t>
  </si>
  <si>
    <t>BRIDGE TO TERABİTHİA</t>
  </si>
  <si>
    <t>LIVING &amp; DYING</t>
  </si>
  <si>
    <t>TAXI 4</t>
  </si>
  <si>
    <t>MAN CHENG JIN DAI HUANG JIN JIA</t>
  </si>
  <si>
    <t>LEBEN DER ANDEREN, DAS</t>
  </si>
  <si>
    <t>ZWARTBOEK</t>
  </si>
  <si>
    <t>CHAKUSHIN ARI FINAL</t>
  </si>
  <si>
    <t>NE LE DIS A PERSONNE</t>
  </si>
  <si>
    <t>MISTRESS OF SPICES, THE</t>
  </si>
  <si>
    <t>PASSIONE DI GIOSUE L'EBREO, LA</t>
  </si>
  <si>
    <t>A FOST SAU N-A FOST?</t>
  </si>
  <si>
    <t>ELEMENTARTEILCHEN</t>
  </si>
  <si>
    <t>ABONDONMENT, THE</t>
  </si>
  <si>
    <t>OCEAN'S THIRTEEN</t>
  </si>
  <si>
    <t>15-21</t>
  </si>
  <si>
    <t>THUMBSUCKER</t>
  </si>
  <si>
    <t>DEATH PROOF</t>
  </si>
  <si>
    <t>DELTA FARCE</t>
  </si>
  <si>
    <t>TRUANDS</t>
  </si>
  <si>
    <t>18</t>
  </si>
  <si>
    <t>22-28</t>
  </si>
  <si>
    <t>VACANCY</t>
  </si>
  <si>
    <t>HOAX</t>
  </si>
  <si>
    <t>FRAGILE, A GHOST STORY</t>
  </si>
  <si>
    <t>GEDO SENKI</t>
  </si>
  <si>
    <t>9</t>
  </si>
  <si>
    <t>11</t>
  </si>
  <si>
    <t>13</t>
  </si>
  <si>
    <t>29-05</t>
  </si>
  <si>
    <t>Jul</t>
  </si>
  <si>
    <t>BESTLINE PICTURES</t>
  </si>
  <si>
    <t>Zor Ölüm 4</t>
  </si>
  <si>
    <t>BABAM VE OGLUM</t>
  </si>
  <si>
    <t>2 SUPER FILM BIRDEN</t>
  </si>
  <si>
    <t>SUGARWORKZ</t>
  </si>
  <si>
    <t>20 NIGHTS &amp; A RAINY DAY</t>
  </si>
  <si>
    <t>LAKE HOUSE</t>
  </si>
  <si>
    <t>DIE HARD 4.0</t>
  </si>
  <si>
    <t>SCENES OF A SEXUAL NATURE</t>
  </si>
  <si>
    <t>THE WORKS</t>
  </si>
  <si>
    <t>DEAD IN 3 DAYS</t>
  </si>
  <si>
    <t>DREAMACHINE</t>
  </si>
  <si>
    <t>GREAT RAID, THE</t>
  </si>
  <si>
    <t>MIRAMAX</t>
  </si>
  <si>
    <t>HYDE PARK</t>
  </si>
  <si>
    <t>4</t>
  </si>
  <si>
    <t>Transformers</t>
  </si>
  <si>
    <t>ILLUSIONIST</t>
  </si>
  <si>
    <t>TRANSFORMERS</t>
  </si>
  <si>
    <t>RISE: BLOOD HUNTER</t>
  </si>
  <si>
    <t>FRITT WILT</t>
  </si>
  <si>
    <t>CANDY</t>
  </si>
  <si>
    <t>14</t>
  </si>
  <si>
    <t>300 Spartalı</t>
  </si>
  <si>
    <t>ICE AGE 2: THE MELTDOWN</t>
  </si>
  <si>
    <t>NIGHT LISTENER, THE</t>
  </si>
  <si>
    <t>SCANNER DARKLY, A</t>
  </si>
  <si>
    <t>POLİS</t>
  </si>
  <si>
    <t>SHARK BAIT</t>
  </si>
  <si>
    <t>PERFUME: THE STORY OF A MURDERER</t>
  </si>
  <si>
    <t>PAINTED VEIL, THE</t>
  </si>
  <si>
    <t>QUEEN, THE</t>
  </si>
  <si>
    <t>GHOST RIDER</t>
  </si>
  <si>
    <t>AKSOY</t>
  </si>
  <si>
    <t>Hayalet Sürücü</t>
  </si>
  <si>
    <t>23-01</t>
  </si>
  <si>
    <t>GOMEDA</t>
  </si>
  <si>
    <t>DREAMGIRLS</t>
  </si>
  <si>
    <t>SİS VE GECE</t>
  </si>
  <si>
    <t>LETTERS FROM IWO JIMA</t>
  </si>
  <si>
    <t>MILLIONS</t>
  </si>
  <si>
    <t>BEŞ VAKİT</t>
  </si>
  <si>
    <t>ATLANTIK</t>
  </si>
  <si>
    <t xml:space="preserve">KNALLHART </t>
  </si>
  <si>
    <t>March</t>
  </si>
  <si>
    <t>23 Numara</t>
  </si>
  <si>
    <t>SAME PERIOD IN 2006</t>
  </si>
  <si>
    <t>GENESIS</t>
  </si>
  <si>
    <t>STUDIO CANAL</t>
  </si>
  <si>
    <t>COMME T'Y ES BELLE</t>
  </si>
  <si>
    <t>EUROPA</t>
  </si>
  <si>
    <t>DEPARTED, THE</t>
  </si>
  <si>
    <t>ROMANTİK</t>
  </si>
  <si>
    <t xml:space="preserve">PLATO </t>
  </si>
  <si>
    <t>98</t>
  </si>
  <si>
    <t>ADEM'İN TRENLERİ</t>
  </si>
  <si>
    <t>91</t>
  </si>
  <si>
    <t>74</t>
  </si>
  <si>
    <t>NOTES ON A SCANDAL</t>
  </si>
  <si>
    <t>LAST KING OF SCOTLAND, THE</t>
  </si>
  <si>
    <t>62</t>
  </si>
  <si>
    <t>MAVİ GÖZLÜ DEV</t>
  </si>
  <si>
    <t>NUMBER 23, THE</t>
  </si>
  <si>
    <t>ALPHA DOG</t>
  </si>
  <si>
    <t>BİR İHTİMAL DAHA VAR</t>
  </si>
  <si>
    <t>CINEMEDYA - ESEK</t>
  </si>
  <si>
    <t>18'LER TAKIMI</t>
  </si>
  <si>
    <t>MOTORCYCLE DIARIES, THE</t>
  </si>
  <si>
    <t>AVSAR FILM</t>
  </si>
  <si>
    <t>YENİ SİNEMACILAR</t>
  </si>
  <si>
    <t>Ocean's 13</t>
  </si>
  <si>
    <t>28 WEEKS LATER</t>
  </si>
  <si>
    <t>WHISPER</t>
  </si>
  <si>
    <t>HOT FUZZ</t>
  </si>
  <si>
    <t>MY SUPER EX GIRLFRIEND</t>
  </si>
  <si>
    <t>UMUT</t>
  </si>
  <si>
    <t>MARS PROD.</t>
  </si>
  <si>
    <t xml:space="preserve">ERMAN FILMS </t>
  </si>
  <si>
    <t>HORS DE PRIX</t>
  </si>
  <si>
    <t>FALL DOWN DEAD</t>
  </si>
  <si>
    <t>FACTORY GIRL</t>
  </si>
  <si>
    <t>GARFIELD: A TAIL OF TWO KITTIES</t>
  </si>
  <si>
    <t>INVISIBLE WAVES</t>
  </si>
  <si>
    <t>HABABAM SINIFI ÜÇ BUÇUK</t>
  </si>
  <si>
    <t>DEPARTED</t>
  </si>
  <si>
    <t xml:space="preserve">BLACK DAHLIA, THE </t>
  </si>
  <si>
    <t>MADAGASCAR</t>
  </si>
  <si>
    <t>20</t>
  </si>
  <si>
    <t>SEEDS OF DEATH</t>
  </si>
  <si>
    <t>Shrek Üç</t>
  </si>
  <si>
    <t>27-02</t>
  </si>
  <si>
    <t>Aug</t>
  </si>
  <si>
    <t>SIMPSONS MOVIE, THE</t>
  </si>
  <si>
    <t>GRINDHOUSE</t>
  </si>
  <si>
    <t>BLACK SNAKE MOAN</t>
  </si>
  <si>
    <t>GOODBYE BAFANA</t>
  </si>
  <si>
    <t>7</t>
  </si>
  <si>
    <t>SUPERMAN</t>
  </si>
  <si>
    <t xml:space="preserve">HILLS HAVE EYES 2 </t>
  </si>
  <si>
    <t>NAMESAKE, THE</t>
  </si>
  <si>
    <t>ARTHUR ET LES MINIMOYS</t>
  </si>
  <si>
    <t>CMG</t>
  </si>
  <si>
    <t>FOUNTAIN, THE</t>
  </si>
  <si>
    <t>DARK, THE</t>
  </si>
  <si>
    <t>ARRIVEDERCI AMORE CIAO</t>
  </si>
  <si>
    <t>HISTORY BOYS, THE</t>
  </si>
  <si>
    <t>Simpsonlar Sinema Filmi</t>
  </si>
  <si>
    <t>03-09</t>
  </si>
  <si>
    <t>MESSENGERS, THE</t>
  </si>
  <si>
    <t>LITTLE MISS SUNSHINE</t>
  </si>
  <si>
    <t>COPYING BEETHOVEN</t>
  </si>
  <si>
    <t>7. SANAT</t>
  </si>
  <si>
    <t>04-10</t>
  </si>
  <si>
    <t>SPIDER-MAN 3</t>
  </si>
  <si>
    <t>SÖZÜN BİTTİĞİ YER</t>
  </si>
  <si>
    <t>KINGDOM OF HEAVEN</t>
  </si>
  <si>
    <t>SCIENCE OF SLEEP</t>
  </si>
  <si>
    <t>16</t>
  </si>
  <si>
    <t>11-17</t>
  </si>
  <si>
    <t>6</t>
  </si>
  <si>
    <t>ASKD - PYRAMIDE</t>
  </si>
  <si>
    <t>SHOOTER</t>
  </si>
  <si>
    <t>BREACH</t>
  </si>
  <si>
    <t>SUNSHINE</t>
  </si>
  <si>
    <t>15</t>
  </si>
  <si>
    <t>JE M'APPELLE ELISABETH</t>
  </si>
  <si>
    <t>BREAKING AND ENTERING</t>
  </si>
  <si>
    <t>18-24</t>
  </si>
  <si>
    <t>FRACTURE</t>
  </si>
  <si>
    <t>49</t>
  </si>
  <si>
    <t>MR BEAN'S HOLIDAY</t>
  </si>
  <si>
    <t>IMPY'S ISLAND</t>
  </si>
  <si>
    <t>ZODIAC</t>
  </si>
  <si>
    <t>BESTLINE</t>
  </si>
  <si>
    <t>ISTANBUL GUNESI</t>
  </si>
  <si>
    <t>DOWNFALL</t>
  </si>
  <si>
    <t>DESCENT, THE</t>
  </si>
  <si>
    <t>DEREN MEDYA</t>
  </si>
  <si>
    <t>OYUN</t>
  </si>
  <si>
    <t>SINE FILM</t>
  </si>
  <si>
    <t>25-31</t>
  </si>
  <si>
    <t>AVŞAR FILM</t>
  </si>
  <si>
    <t>Örümcek Adam 3</t>
  </si>
  <si>
    <t>Karayip Korsanları: Dünyanın Sonu</t>
  </si>
  <si>
    <t>PIRATES OF THE CARIBBEAN: AT WORLD'S END</t>
  </si>
  <si>
    <t>CASHBACK</t>
  </si>
  <si>
    <t>FIND ME GUILTY</t>
  </si>
  <si>
    <t>SYNDICATE</t>
  </si>
  <si>
    <t>01-07</t>
  </si>
  <si>
    <t>Jun</t>
  </si>
  <si>
    <t>MR. BROOKS</t>
  </si>
  <si>
    <t>ELEMENT</t>
  </si>
  <si>
    <t>BUG</t>
  </si>
  <si>
    <t>PLANETE BLANCHE, LA</t>
  </si>
  <si>
    <t>TRAMVAY</t>
  </si>
  <si>
    <t>10-16</t>
  </si>
  <si>
    <t>100 FILMS SHOWN</t>
  </si>
  <si>
    <t>HARRY POTTER AND THE ORDER OF THE PHOENIX</t>
  </si>
  <si>
    <t>OZEN-UMUT</t>
  </si>
  <si>
    <t>28</t>
  </si>
  <si>
    <t>ARZU-FIDA</t>
  </si>
  <si>
    <t>25</t>
  </si>
  <si>
    <t>16 BLOCKS</t>
  </si>
  <si>
    <t>VIZYON</t>
  </si>
  <si>
    <t>FILMS DISTRIBUTION</t>
  </si>
  <si>
    <t>LAST MIMZY, THE</t>
  </si>
  <si>
    <t>Harry Potter ve Zümrüdüanka Yoldaşlığı</t>
  </si>
  <si>
    <t>*Dağıtımcı firmalardan Barbar Film bu hafta film dağıtmamıştır.</t>
  </si>
  <si>
    <r>
      <t xml:space="preserve">2007 Türkiye Annual Box Office Report  </t>
    </r>
    <r>
      <rPr>
        <sz val="16"/>
        <color indexed="9"/>
        <rFont val="Impact"/>
        <family val="2"/>
      </rPr>
      <t>29 Dec' '06 - 23 Aug' '07</t>
    </r>
  </si>
  <si>
    <r>
      <t>2007 Türkiye Ex Years Releases Annual Box Office Report</t>
    </r>
    <r>
      <rPr>
        <sz val="26"/>
        <color indexed="9"/>
        <rFont val="Impact"/>
        <family val="2"/>
      </rPr>
      <t xml:space="preserve">  </t>
    </r>
    <r>
      <rPr>
        <sz val="16"/>
        <color indexed="9"/>
        <rFont val="Impact"/>
        <family val="2"/>
      </rPr>
      <t>29 Dec' 06 - 23 Aug' '07</t>
    </r>
  </si>
  <si>
    <t>17-23</t>
  </si>
  <si>
    <t>0</t>
  </si>
  <si>
    <t>23</t>
  </si>
  <si>
    <t>Elimize ulaşan en son rapor zamanı: 17.01</t>
  </si>
  <si>
    <t>EVAN ALMIGHTY!</t>
  </si>
  <si>
    <t>4: RISE OF THE SILVER SURFER</t>
  </si>
  <si>
    <t>OUTLAW</t>
  </si>
  <si>
    <t>SHREK END THIRD</t>
  </si>
  <si>
    <t>29</t>
  </si>
  <si>
    <t>PRA</t>
  </si>
  <si>
    <t>MINDHUNTERS</t>
  </si>
  <si>
    <t>INTERMEDIA</t>
  </si>
  <si>
    <t>PERFECT STRANGER, THE</t>
  </si>
  <si>
    <t>21</t>
  </si>
  <si>
    <t>89 FILMS SHOWN</t>
  </si>
  <si>
    <t>691 times</t>
  </si>
  <si>
    <t>13 TZAMETI</t>
  </si>
</sst>
</file>

<file path=xl/styles.xml><?xml version="1.0" encoding="utf-8"?>
<styleSheet xmlns="http://schemas.openxmlformats.org/spreadsheetml/2006/main">
  <numFmts count="51">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s>
  <fonts count="88">
    <font>
      <sz val="10"/>
      <name val="Arial"/>
      <family val="0"/>
    </font>
    <font>
      <u val="single"/>
      <sz val="8"/>
      <color indexed="36"/>
      <name val="Arial"/>
      <family val="0"/>
    </font>
    <font>
      <u val="single"/>
      <sz val="8"/>
      <color indexed="12"/>
      <name val="Arial"/>
      <family val="0"/>
    </font>
    <font>
      <sz val="14"/>
      <name val="Impact"/>
      <family val="2"/>
    </font>
    <font>
      <sz val="12"/>
      <name val="Impact"/>
      <family val="2"/>
    </font>
    <font>
      <sz val="10"/>
      <name val="Impact"/>
      <family val="2"/>
    </font>
    <font>
      <sz val="14"/>
      <name val="Arial"/>
      <family val="2"/>
    </font>
    <font>
      <sz val="26"/>
      <color indexed="9"/>
      <name val="Impact"/>
      <family val="2"/>
    </font>
    <font>
      <sz val="16"/>
      <color indexed="9"/>
      <name val="Impact"/>
      <family val="2"/>
    </font>
    <font>
      <b/>
      <sz val="8"/>
      <name val="Trebuchet MS"/>
      <family val="0"/>
    </font>
    <font>
      <sz val="8"/>
      <name val="Trebuchet MS"/>
      <family val="2"/>
    </font>
    <font>
      <b/>
      <sz val="10"/>
      <name val="Arial"/>
      <family val="2"/>
    </font>
    <font>
      <sz val="20"/>
      <name val="Impact"/>
      <family val="2"/>
    </font>
    <font>
      <sz val="10"/>
      <name val="Trebuchet MS"/>
      <family val="2"/>
    </font>
    <font>
      <i/>
      <sz val="9"/>
      <name val="Arial"/>
      <family val="2"/>
    </font>
    <font>
      <b/>
      <sz val="10"/>
      <color indexed="9"/>
      <name val="Trebuchet MS"/>
      <family val="2"/>
    </font>
    <font>
      <sz val="10"/>
      <color indexed="9"/>
      <name val="Trebuchet MS"/>
      <family val="2"/>
    </font>
    <font>
      <sz val="8"/>
      <name val="Arial"/>
      <family val="2"/>
    </font>
    <font>
      <i/>
      <sz val="10"/>
      <color indexed="10"/>
      <name val="Arial"/>
      <family val="2"/>
    </font>
    <font>
      <b/>
      <sz val="14"/>
      <color indexed="18"/>
      <name val="Impact"/>
      <family val="2"/>
    </font>
    <font>
      <b/>
      <sz val="8"/>
      <color indexed="18"/>
      <name val="Trebuchet MS"/>
      <family val="0"/>
    </font>
    <font>
      <b/>
      <sz val="14"/>
      <color indexed="18"/>
      <name val="Arial"/>
      <family val="2"/>
    </font>
    <font>
      <b/>
      <sz val="10"/>
      <name val="Arial Narrow"/>
      <family val="2"/>
    </font>
    <font>
      <b/>
      <sz val="10"/>
      <color indexed="9"/>
      <name val="Arial Narrow"/>
      <family val="2"/>
    </font>
    <font>
      <b/>
      <sz val="11"/>
      <name val="Arial Narrow"/>
      <family val="2"/>
    </font>
    <font>
      <b/>
      <sz val="11"/>
      <name val="Century Gothic"/>
      <family val="2"/>
    </font>
    <font>
      <b/>
      <sz val="11"/>
      <color indexed="9"/>
      <name val="Arial Narrow"/>
      <family val="2"/>
    </font>
    <font>
      <b/>
      <sz val="11"/>
      <name val="Arial"/>
      <family val="0"/>
    </font>
    <font>
      <b/>
      <sz val="9"/>
      <name val="Trebuchet MS"/>
      <family val="2"/>
    </font>
    <font>
      <sz val="9"/>
      <name val="Arial"/>
      <family val="0"/>
    </font>
    <font>
      <sz val="9"/>
      <name val="Trebuchet MS"/>
      <family val="2"/>
    </font>
    <font>
      <b/>
      <sz val="9"/>
      <name val="Arial Narrow"/>
      <family val="2"/>
    </font>
    <font>
      <b/>
      <sz val="11"/>
      <color indexed="9"/>
      <name val="Century Gothic"/>
      <family val="2"/>
    </font>
    <font>
      <sz val="26"/>
      <name val="Arial"/>
      <family val="0"/>
    </font>
    <font>
      <i/>
      <sz val="10"/>
      <name val="Arial"/>
      <family val="2"/>
    </font>
    <font>
      <b/>
      <sz val="14"/>
      <name val="Impact"/>
      <family val="2"/>
    </font>
    <font>
      <b/>
      <sz val="14"/>
      <name val="Arial"/>
      <family val="2"/>
    </font>
    <font>
      <sz val="10"/>
      <color indexed="9"/>
      <name val="Arial"/>
      <family val="0"/>
    </font>
    <font>
      <b/>
      <sz val="8"/>
      <color indexed="9"/>
      <name val="Trebuchet MS"/>
      <family val="0"/>
    </font>
    <font>
      <b/>
      <sz val="10"/>
      <name val="Trebuchet MS"/>
      <family val="2"/>
    </font>
    <font>
      <sz val="20"/>
      <color indexed="42"/>
      <name val="GoudyLight"/>
      <family val="0"/>
    </font>
    <font>
      <sz val="7"/>
      <name val="Impact"/>
      <family val="2"/>
    </font>
    <font>
      <sz val="7"/>
      <color indexed="9"/>
      <name val="Impact"/>
      <family val="2"/>
    </font>
    <font>
      <b/>
      <sz val="9"/>
      <color indexed="10"/>
      <name val="Arial Narrow"/>
      <family val="2"/>
    </font>
    <font>
      <sz val="10"/>
      <color indexed="10"/>
      <name val="Arial"/>
      <family val="0"/>
    </font>
    <font>
      <b/>
      <sz val="9"/>
      <color indexed="12"/>
      <name val="Arial Narrow"/>
      <family val="2"/>
    </font>
    <font>
      <b/>
      <sz val="10"/>
      <color indexed="10"/>
      <name val="Trebuchet MS"/>
      <family val="2"/>
    </font>
    <font>
      <b/>
      <sz val="7"/>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22"/>
      <name val="Calibri"/>
      <family val="2"/>
    </font>
    <font>
      <sz val="11"/>
      <color indexed="10"/>
      <name val="Calibri"/>
      <family val="2"/>
    </font>
    <font>
      <i/>
      <sz val="11"/>
      <color indexed="23"/>
      <name val="Calibri"/>
      <family val="2"/>
    </font>
    <font>
      <b/>
      <sz val="11"/>
      <color indexed="8"/>
      <name val="Calibri"/>
      <family val="2"/>
    </font>
    <font>
      <sz val="11"/>
      <color indexed="22"/>
      <name val="Calibri"/>
      <family val="2"/>
    </font>
    <font>
      <sz val="11"/>
      <color indexed="8"/>
      <name val="Calibri"/>
      <family val="2"/>
    </font>
    <font>
      <sz val="40"/>
      <color indexed="9"/>
      <name val="Impact"/>
      <family val="0"/>
    </font>
    <font>
      <sz val="40"/>
      <color indexed="9"/>
      <name val="Arial"/>
      <family val="0"/>
    </font>
    <font>
      <sz val="20"/>
      <color indexed="9"/>
      <name val="Impact"/>
      <family val="0"/>
    </font>
    <font>
      <b/>
      <u val="single"/>
      <sz val="10"/>
      <color indexed="8"/>
      <name val="Arial"/>
      <family val="0"/>
    </font>
    <font>
      <sz val="10"/>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11"/>
        <bgColor indexed="64"/>
      </patternFill>
    </fill>
    <fill>
      <patternFill patternType="solid">
        <fgColor indexed="44"/>
        <bgColor indexed="64"/>
      </patternFill>
    </fill>
    <fill>
      <patternFill patternType="solid">
        <fgColor indexed="42"/>
        <bgColor indexed="64"/>
      </patternFill>
    </fill>
    <fill>
      <patternFill patternType="solid">
        <fgColor indexed="46"/>
        <bgColor indexed="64"/>
      </patternFill>
    </fill>
    <fill>
      <patternFill patternType="solid">
        <fgColor indexed="43"/>
        <bgColor indexed="64"/>
      </patternFill>
    </fill>
    <fill>
      <patternFill patternType="solid">
        <fgColor indexed="45"/>
        <bgColor indexed="64"/>
      </patternFill>
    </fill>
    <fill>
      <patternFill patternType="solid">
        <fgColor indexed="40"/>
        <bgColor indexed="64"/>
      </patternFill>
    </fill>
    <fill>
      <patternFill patternType="solid">
        <fgColor indexed="17"/>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style="medium"/>
      <top style="hair"/>
      <bottom style="hair"/>
    </border>
    <border>
      <left style="thin"/>
      <right style="thin"/>
      <top style="medium"/>
      <bottom style="thin"/>
    </border>
    <border>
      <left style="hair"/>
      <right style="hair"/>
      <top style="hair"/>
      <bottom style="medium"/>
    </border>
    <border>
      <left>
        <color indexed="63"/>
      </left>
      <right style="hair"/>
      <top style="medium"/>
      <bottom style="hair"/>
    </border>
    <border>
      <left>
        <color indexed="63"/>
      </left>
      <right style="hair"/>
      <top style="hair"/>
      <bottom style="hair"/>
    </border>
    <border>
      <left>
        <color indexed="63"/>
      </left>
      <right style="hair"/>
      <top style="hair"/>
      <bottom style="medium"/>
    </border>
    <border>
      <left style="medium"/>
      <right style="thin"/>
      <top style="medium"/>
      <bottom style="hair"/>
    </border>
    <border>
      <left style="medium"/>
      <right style="thin"/>
      <top style="hair"/>
      <bottom style="hair"/>
    </border>
    <border>
      <left style="medium"/>
      <right style="thin"/>
      <top style="hair"/>
      <bottom style="medium"/>
    </border>
    <border>
      <left style="medium"/>
      <right style="thin"/>
      <top>
        <color indexed="63"/>
      </top>
      <bottom style="hair"/>
    </border>
    <border>
      <left>
        <color indexed="63"/>
      </left>
      <right style="hair"/>
      <top>
        <color indexed="63"/>
      </top>
      <bottom style="hair"/>
    </border>
    <border>
      <left style="hair"/>
      <right style="hair"/>
      <top>
        <color indexed="63"/>
      </top>
      <bottom style="hair"/>
    </border>
    <border>
      <left style="medium"/>
      <right style="thin"/>
      <top style="hair"/>
      <bottom style="thin"/>
    </border>
    <border>
      <left>
        <color indexed="63"/>
      </left>
      <right style="hair"/>
      <top style="hair"/>
      <bottom style="thin"/>
    </border>
    <border>
      <left style="hair"/>
      <right style="hair"/>
      <top style="hair"/>
      <bottom style="thin"/>
    </border>
    <border>
      <left style="hair"/>
      <right style="medium"/>
      <top style="hair"/>
      <bottom style="thin"/>
    </border>
    <border>
      <left style="medium"/>
      <right>
        <color indexed="63"/>
      </right>
      <top style="medium"/>
      <bottom>
        <color indexed="63"/>
      </bottom>
    </border>
    <border>
      <left style="medium"/>
      <right>
        <color indexed="63"/>
      </right>
      <top>
        <color indexed="63"/>
      </top>
      <bottom style="medium"/>
    </border>
    <border>
      <left style="thin"/>
      <right style="thin"/>
      <top style="thin"/>
      <bottom>
        <color indexed="63"/>
      </bottom>
    </border>
    <border>
      <left style="medium"/>
      <right>
        <color indexed="63"/>
      </right>
      <top>
        <color indexed="63"/>
      </top>
      <bottom>
        <color indexed="63"/>
      </bottom>
    </border>
    <border>
      <left style="medium"/>
      <right>
        <color indexed="63"/>
      </right>
      <top style="hair"/>
      <bottom style="hair"/>
    </border>
    <border>
      <left style="hair"/>
      <right style="medium"/>
      <top>
        <color indexed="63"/>
      </top>
      <bottom style="hair"/>
    </border>
    <border>
      <left style="medium"/>
      <right style="hair"/>
      <top style="hair"/>
      <bottom style="hair"/>
    </border>
    <border>
      <left style="medium"/>
      <right style="hair"/>
      <top style="hair"/>
      <bottom style="medium"/>
    </border>
    <border>
      <left style="hair"/>
      <right style="medium"/>
      <top style="hair"/>
      <bottom style="medium"/>
    </border>
    <border>
      <left style="hair"/>
      <right style="hair"/>
      <top style="medium"/>
      <bottom style="hair"/>
    </border>
    <border>
      <left style="hair"/>
      <right style="medium"/>
      <top style="medium"/>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color indexed="63"/>
      </right>
      <top>
        <color indexed="63"/>
      </top>
      <bottom style="hair"/>
    </border>
    <border>
      <left style="medium"/>
      <right>
        <color indexed="63"/>
      </right>
      <top style="hair"/>
      <bottom style="thin"/>
    </border>
    <border>
      <left style="thin"/>
      <right style="medium"/>
      <top style="thin"/>
      <bottom>
        <color indexed="63"/>
      </bottom>
    </border>
    <border>
      <left style="medium"/>
      <right style="hair"/>
      <top style="medium"/>
      <bottom style="hair"/>
    </border>
    <border>
      <left style="medium"/>
      <right>
        <color indexed="63"/>
      </right>
      <top style="medium"/>
      <bottom style="hair"/>
    </border>
    <border>
      <left style="medium"/>
      <right style="hair"/>
      <top>
        <color indexed="63"/>
      </top>
      <bottom style="hair"/>
    </border>
    <border>
      <left style="medium"/>
      <right style="hair"/>
      <top style="hair"/>
      <bottom style="thin"/>
    </border>
    <border>
      <left>
        <color indexed="63"/>
      </left>
      <right style="medium"/>
      <top>
        <color indexed="63"/>
      </top>
      <bottom>
        <color indexed="63"/>
      </bottom>
    </border>
    <border>
      <left style="thin"/>
      <right style="medium"/>
      <top style="medium"/>
      <bottom style="thin"/>
    </border>
    <border>
      <left style="thin"/>
      <right style="thin"/>
      <top style="medium"/>
      <bottom>
        <color indexed="63"/>
      </bottom>
    </border>
    <border>
      <left style="thin"/>
      <right style="thin"/>
      <top>
        <color indexed="63"/>
      </top>
      <bottom>
        <color indexed="63"/>
      </bottom>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6" fillId="0" borderId="0" applyNumberFormat="0" applyFill="0" applyBorder="0" applyAlignment="0" applyProtection="0"/>
    <xf numFmtId="0" fontId="1"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2"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0" fillId="0" borderId="0">
      <alignment/>
      <protection/>
    </xf>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571">
    <xf numFmtId="0" fontId="0" fillId="0" borderId="0" xfId="0" applyAlignment="1">
      <alignment/>
    </xf>
    <xf numFmtId="171" fontId="3" fillId="0" borderId="0" xfId="42"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3"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vertical="center"/>
      <protection locked="0"/>
    </xf>
    <xf numFmtId="0" fontId="10" fillId="0" borderId="0" xfId="0" applyNumberFormat="1" applyFont="1" applyFill="1" applyBorder="1" applyAlignment="1" applyProtection="1">
      <alignment horizontal="center" vertical="center"/>
      <protection locked="0"/>
    </xf>
    <xf numFmtId="0" fontId="12"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10" fillId="0" borderId="0" xfId="0" applyNumberFormat="1" applyFont="1" applyFill="1" applyBorder="1" applyAlignment="1" applyProtection="1">
      <alignment horizontal="center" vertical="center"/>
      <protection locked="0"/>
    </xf>
    <xf numFmtId="184" fontId="6" fillId="0" borderId="0" xfId="0" applyNumberFormat="1" applyFont="1" applyFill="1" applyBorder="1" applyAlignment="1" applyProtection="1">
      <alignment horizontal="center" vertical="center"/>
      <protection locked="0"/>
    </xf>
    <xf numFmtId="0" fontId="9" fillId="0" borderId="0" xfId="0" applyFont="1" applyFill="1" applyBorder="1" applyAlignment="1" applyProtection="1">
      <alignment vertical="center"/>
      <protection locked="0"/>
    </xf>
    <xf numFmtId="0" fontId="3" fillId="0" borderId="0" xfId="0" applyFont="1" applyFill="1" applyBorder="1" applyAlignment="1" applyProtection="1">
      <alignment horizontal="left" vertical="center"/>
      <protection/>
    </xf>
    <xf numFmtId="0" fontId="10"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193" fontId="4" fillId="0" borderId="0" xfId="0" applyNumberFormat="1" applyFont="1" applyFill="1" applyBorder="1" applyAlignment="1" applyProtection="1">
      <alignment horizontal="right" vertical="center"/>
      <protection/>
    </xf>
    <xf numFmtId="0" fontId="11" fillId="0" borderId="0" xfId="0" applyFont="1" applyBorder="1" applyAlignment="1">
      <alignment horizontal="center" vertical="center"/>
    </xf>
    <xf numFmtId="187" fontId="9" fillId="0" borderId="0" xfId="0" applyNumberFormat="1" applyFont="1" applyFill="1" applyBorder="1" applyAlignment="1" applyProtection="1">
      <alignment horizontal="center" vertical="center"/>
      <protection locked="0"/>
    </xf>
    <xf numFmtId="0" fontId="13" fillId="0" borderId="0"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vertical="center"/>
      <protection locked="0"/>
    </xf>
    <xf numFmtId="0" fontId="16" fillId="33" borderId="10" xfId="0" applyFont="1" applyFill="1" applyBorder="1" applyAlignment="1">
      <alignment vertical="center"/>
    </xf>
    <xf numFmtId="184" fontId="16" fillId="33" borderId="10" xfId="0" applyNumberFormat="1" applyFont="1" applyFill="1" applyBorder="1" applyAlignment="1">
      <alignment horizontal="center" vertical="center"/>
    </xf>
    <xf numFmtId="0" fontId="16" fillId="33" borderId="10" xfId="0" applyFont="1" applyFill="1" applyBorder="1" applyAlignment="1">
      <alignment horizontal="center" vertical="center"/>
    </xf>
    <xf numFmtId="3" fontId="16" fillId="33" borderId="10" xfId="0" applyNumberFormat="1" applyFont="1" applyFill="1" applyBorder="1" applyAlignment="1">
      <alignment horizontal="center" vertical="center"/>
    </xf>
    <xf numFmtId="193" fontId="9" fillId="0" borderId="0" xfId="0" applyNumberFormat="1" applyFont="1" applyFill="1" applyBorder="1" applyAlignment="1" applyProtection="1">
      <alignment horizontal="right" vertical="center"/>
      <protection locked="0"/>
    </xf>
    <xf numFmtId="193" fontId="10" fillId="0" borderId="0" xfId="0" applyNumberFormat="1" applyFont="1" applyFill="1" applyBorder="1" applyAlignment="1" applyProtection="1">
      <alignment horizontal="right" vertical="center"/>
      <protection locked="0"/>
    </xf>
    <xf numFmtId="193" fontId="3" fillId="0" borderId="0" xfId="0" applyNumberFormat="1" applyFont="1" applyFill="1" applyBorder="1" applyAlignment="1" applyProtection="1">
      <alignment horizontal="right" vertical="center"/>
      <protection/>
    </xf>
    <xf numFmtId="193" fontId="16" fillId="33" borderId="10" xfId="0" applyNumberFormat="1" applyFont="1" applyFill="1" applyBorder="1" applyAlignment="1">
      <alignment horizontal="right" vertical="center"/>
    </xf>
    <xf numFmtId="193" fontId="6" fillId="0" borderId="0" xfId="0" applyNumberFormat="1" applyFont="1" applyFill="1" applyBorder="1" applyAlignment="1" applyProtection="1">
      <alignment horizontal="right" vertical="center"/>
      <protection locked="0"/>
    </xf>
    <xf numFmtId="0" fontId="5" fillId="0" borderId="0" xfId="0" applyFont="1" applyFill="1" applyBorder="1" applyAlignment="1" applyProtection="1">
      <alignment horizontal="center" vertical="center" wrapText="1"/>
      <protection locked="0"/>
    </xf>
    <xf numFmtId="192" fontId="3" fillId="0" borderId="0" xfId="0" applyNumberFormat="1" applyFont="1" applyFill="1" applyBorder="1" applyAlignment="1" applyProtection="1">
      <alignment horizontal="right" vertical="center"/>
      <protection/>
    </xf>
    <xf numFmtId="192" fontId="16" fillId="33" borderId="11" xfId="0" applyNumberFormat="1" applyFont="1" applyFill="1" applyBorder="1" applyAlignment="1">
      <alignment horizontal="right" vertical="center"/>
    </xf>
    <xf numFmtId="192" fontId="10" fillId="0" borderId="0" xfId="0" applyNumberFormat="1" applyFont="1" applyFill="1" applyBorder="1" applyAlignment="1" applyProtection="1">
      <alignment horizontal="right" vertical="center"/>
      <protection locked="0"/>
    </xf>
    <xf numFmtId="192" fontId="6" fillId="0" borderId="0" xfId="0" applyNumberFormat="1" applyFont="1" applyFill="1" applyBorder="1" applyAlignment="1" applyProtection="1">
      <alignment horizontal="right" vertical="center"/>
      <protection locked="0"/>
    </xf>
    <xf numFmtId="187" fontId="15" fillId="33" borderId="10" xfId="0" applyNumberFormat="1" applyFont="1" applyFill="1" applyBorder="1" applyAlignment="1">
      <alignment horizontal="right" vertical="center"/>
    </xf>
    <xf numFmtId="0" fontId="0" fillId="0" borderId="0" xfId="0" applyFont="1" applyBorder="1" applyAlignment="1">
      <alignment horizontal="center"/>
    </xf>
    <xf numFmtId="0" fontId="0" fillId="0" borderId="0" xfId="0" applyBorder="1" applyAlignment="1">
      <alignment horizontal="center" vertical="center"/>
    </xf>
    <xf numFmtId="1" fontId="22" fillId="0" borderId="0" xfId="0" applyNumberFormat="1" applyFont="1" applyFill="1" applyBorder="1" applyAlignment="1" applyProtection="1">
      <alignment horizontal="right" vertical="center"/>
      <protection/>
    </xf>
    <xf numFmtId="1" fontId="22" fillId="0" borderId="0" xfId="0" applyNumberFormat="1" applyFont="1" applyFill="1" applyBorder="1" applyAlignment="1" applyProtection="1">
      <alignment horizontal="right" vertical="center"/>
      <protection locked="0"/>
    </xf>
    <xf numFmtId="0" fontId="25" fillId="0" borderId="12" xfId="0" applyNumberFormat="1" applyFont="1" applyFill="1" applyBorder="1" applyAlignment="1" applyProtection="1">
      <alignment horizontal="center" vertical="center" wrapText="1"/>
      <protection/>
    </xf>
    <xf numFmtId="4" fontId="28" fillId="0" borderId="10" xfId="0" applyNumberFormat="1" applyFont="1" applyFill="1" applyBorder="1" applyAlignment="1" applyProtection="1">
      <alignment horizontal="right" vertical="center" indent="1"/>
      <protection locked="0"/>
    </xf>
    <xf numFmtId="193" fontId="30" fillId="0" borderId="10" xfId="0" applyNumberFormat="1" applyFont="1" applyFill="1" applyBorder="1" applyAlignment="1" applyProtection="1">
      <alignment horizontal="right" vertical="center" indent="1"/>
      <protection locked="0"/>
    </xf>
    <xf numFmtId="4" fontId="28" fillId="0" borderId="13" xfId="0" applyNumberFormat="1" applyFont="1" applyFill="1" applyBorder="1" applyAlignment="1" applyProtection="1">
      <alignment horizontal="right" vertical="center" indent="1"/>
      <protection locked="0"/>
    </xf>
    <xf numFmtId="193" fontId="30" fillId="0" borderId="13" xfId="0" applyNumberFormat="1" applyFont="1" applyFill="1" applyBorder="1" applyAlignment="1" applyProtection="1">
      <alignment horizontal="right" vertical="center" indent="1"/>
      <protection locked="0"/>
    </xf>
    <xf numFmtId="0" fontId="28" fillId="0" borderId="14" xfId="0" applyFont="1" applyFill="1" applyBorder="1" applyAlignment="1" applyProtection="1">
      <alignment horizontal="center" vertical="center"/>
      <protection locked="0"/>
    </xf>
    <xf numFmtId="0" fontId="30" fillId="0" borderId="15" xfId="0" applyFont="1" applyFill="1" applyBorder="1" applyAlignment="1" applyProtection="1">
      <alignment horizontal="right" vertical="center"/>
      <protection locked="0"/>
    </xf>
    <xf numFmtId="0" fontId="30" fillId="0" borderId="16" xfId="0" applyFont="1" applyFill="1" applyBorder="1" applyAlignment="1" applyProtection="1">
      <alignment horizontal="right" vertical="center"/>
      <protection locked="0"/>
    </xf>
    <xf numFmtId="1" fontId="31" fillId="0" borderId="17" xfId="0" applyNumberFormat="1" applyFont="1" applyFill="1" applyBorder="1" applyAlignment="1" applyProtection="1">
      <alignment horizontal="right" vertical="center"/>
      <protection locked="0"/>
    </xf>
    <xf numFmtId="1" fontId="31" fillId="0" borderId="18" xfId="0" applyNumberFormat="1" applyFont="1" applyFill="1" applyBorder="1" applyAlignment="1" applyProtection="1">
      <alignment horizontal="right" vertical="center"/>
      <protection/>
    </xf>
    <xf numFmtId="1" fontId="31" fillId="0" borderId="19" xfId="0" applyNumberFormat="1" applyFont="1" applyFill="1" applyBorder="1" applyAlignment="1" applyProtection="1">
      <alignment horizontal="right" vertical="center"/>
      <protection/>
    </xf>
    <xf numFmtId="1" fontId="31" fillId="0" borderId="20" xfId="0" applyNumberFormat="1" applyFont="1" applyFill="1" applyBorder="1" applyAlignment="1" applyProtection="1">
      <alignment horizontal="right" vertical="center"/>
      <protection/>
    </xf>
    <xf numFmtId="0" fontId="30" fillId="0" borderId="21" xfId="0" applyFont="1" applyFill="1" applyBorder="1" applyAlignment="1" applyProtection="1">
      <alignment horizontal="right" vertical="center"/>
      <protection locked="0"/>
    </xf>
    <xf numFmtId="4" fontId="28" fillId="0" borderId="22" xfId="0" applyNumberFormat="1" applyFont="1" applyFill="1" applyBorder="1" applyAlignment="1" applyProtection="1">
      <alignment horizontal="right" vertical="center" indent="1"/>
      <protection locked="0"/>
    </xf>
    <xf numFmtId="193" fontId="30" fillId="0" borderId="22" xfId="0" applyNumberFormat="1" applyFont="1" applyFill="1" applyBorder="1" applyAlignment="1" applyProtection="1">
      <alignment horizontal="right" vertical="center" indent="1"/>
      <protection locked="0"/>
    </xf>
    <xf numFmtId="1" fontId="31" fillId="0" borderId="23" xfId="0" applyNumberFormat="1" applyFont="1" applyFill="1" applyBorder="1" applyAlignment="1" applyProtection="1">
      <alignment horizontal="right" vertical="center"/>
      <protection locked="0"/>
    </xf>
    <xf numFmtId="0" fontId="28" fillId="0" borderId="24" xfId="0" applyFont="1" applyFill="1" applyBorder="1" applyAlignment="1" applyProtection="1">
      <alignment horizontal="center" vertical="center"/>
      <protection locked="0"/>
    </xf>
    <xf numFmtId="184" fontId="28" fillId="0" borderId="25" xfId="0" applyNumberFormat="1" applyFont="1" applyFill="1" applyBorder="1" applyAlignment="1" applyProtection="1">
      <alignment horizontal="center" vertical="center"/>
      <protection locked="0"/>
    </xf>
    <xf numFmtId="0" fontId="28" fillId="0" borderId="25" xfId="0" applyFont="1" applyFill="1" applyBorder="1" applyAlignment="1" applyProtection="1">
      <alignment horizontal="center" vertical="center"/>
      <protection locked="0"/>
    </xf>
    <xf numFmtId="0" fontId="28" fillId="0" borderId="26" xfId="0" applyNumberFormat="1" applyFont="1" applyFill="1" applyBorder="1" applyAlignment="1" applyProtection="1">
      <alignment horizontal="center" vertical="center" wrapText="1"/>
      <protection locked="0"/>
    </xf>
    <xf numFmtId="0" fontId="0" fillId="0" borderId="0" xfId="0" applyAlignment="1">
      <alignment vertical="center" readingOrder="1"/>
    </xf>
    <xf numFmtId="1" fontId="24" fillId="0" borderId="27" xfId="0" applyNumberFormat="1" applyFont="1" applyFill="1" applyBorder="1" applyAlignment="1" applyProtection="1">
      <alignment horizontal="center" vertical="center" wrapText="1"/>
      <protection/>
    </xf>
    <xf numFmtId="1" fontId="26" fillId="0" borderId="28" xfId="0" applyNumberFormat="1" applyFont="1" applyFill="1" applyBorder="1" applyAlignment="1" applyProtection="1">
      <alignment horizontal="center" vertical="center" wrapText="1"/>
      <protection/>
    </xf>
    <xf numFmtId="187" fontId="25" fillId="0" borderId="29" xfId="0" applyNumberFormat="1" applyFont="1" applyFill="1" applyBorder="1" applyAlignment="1" applyProtection="1">
      <alignment horizontal="center" vertical="center" wrapText="1"/>
      <protection/>
    </xf>
    <xf numFmtId="193" fontId="25" fillId="0" borderId="29" xfId="0" applyNumberFormat="1" applyFont="1" applyFill="1" applyBorder="1" applyAlignment="1" applyProtection="1">
      <alignment horizontal="center" vertical="center" wrapText="1"/>
      <protection/>
    </xf>
    <xf numFmtId="0" fontId="17" fillId="0" borderId="0" xfId="0" applyFont="1" applyBorder="1" applyAlignment="1">
      <alignment vertical="center"/>
    </xf>
    <xf numFmtId="0" fontId="25"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187" fontId="11" fillId="0" borderId="0" xfId="0" applyNumberFormat="1" applyFont="1" applyFill="1" applyBorder="1" applyAlignment="1">
      <alignment horizontal="right" vertical="center"/>
    </xf>
    <xf numFmtId="192" fontId="0" fillId="0" borderId="0" xfId="0" applyNumberFormat="1" applyFont="1" applyFill="1" applyBorder="1" applyAlignment="1">
      <alignment horizontal="right" vertical="center" indent="1"/>
    </xf>
    <xf numFmtId="0" fontId="0" fillId="0" borderId="0" xfId="0" applyBorder="1" applyAlignment="1">
      <alignment vertical="center"/>
    </xf>
    <xf numFmtId="192" fontId="0" fillId="0" borderId="0" xfId="0" applyNumberFormat="1" applyBorder="1" applyAlignment="1">
      <alignment horizontal="right" vertical="center" indent="1"/>
    </xf>
    <xf numFmtId="0" fontId="0" fillId="0" borderId="0" xfId="0" applyBorder="1" applyAlignment="1">
      <alignment horizontal="right" vertical="center" wrapText="1"/>
    </xf>
    <xf numFmtId="0" fontId="22" fillId="0" borderId="0" xfId="0" applyFont="1" applyFill="1" applyBorder="1" applyAlignment="1">
      <alignment horizontal="right" vertical="center"/>
    </xf>
    <xf numFmtId="0" fontId="22" fillId="0" borderId="0" xfId="0" applyFont="1" applyBorder="1" applyAlignment="1">
      <alignment horizontal="right" vertical="center"/>
    </xf>
    <xf numFmtId="193" fontId="35" fillId="0" borderId="0" xfId="0" applyNumberFormat="1" applyFont="1" applyFill="1" applyBorder="1" applyAlignment="1" applyProtection="1">
      <alignment horizontal="right" vertical="center"/>
      <protection/>
    </xf>
    <xf numFmtId="193" fontId="15" fillId="33" borderId="10" xfId="0" applyNumberFormat="1" applyFont="1" applyFill="1" applyBorder="1" applyAlignment="1">
      <alignment horizontal="right" vertical="center"/>
    </xf>
    <xf numFmtId="193" fontId="36" fillId="0" borderId="0" xfId="0" applyNumberFormat="1" applyFont="1" applyFill="1" applyBorder="1" applyAlignment="1" applyProtection="1">
      <alignment horizontal="right" vertical="center"/>
      <protection locked="0"/>
    </xf>
    <xf numFmtId="0" fontId="22" fillId="0" borderId="27" xfId="0" applyFont="1" applyFill="1" applyBorder="1" applyAlignment="1">
      <alignment horizontal="center" vertical="center"/>
    </xf>
    <xf numFmtId="0" fontId="23" fillId="0" borderId="28" xfId="0" applyFont="1" applyFill="1" applyBorder="1" applyAlignment="1">
      <alignment horizontal="center" vertical="center"/>
    </xf>
    <xf numFmtId="193" fontId="11" fillId="0" borderId="0" xfId="0" applyNumberFormat="1" applyFont="1" applyFill="1" applyBorder="1" applyAlignment="1">
      <alignment horizontal="right" vertical="center" indent="1"/>
    </xf>
    <xf numFmtId="0" fontId="25" fillId="0" borderId="27" xfId="0" applyFont="1" applyFill="1" applyBorder="1" applyAlignment="1">
      <alignment horizontal="center" vertical="center"/>
    </xf>
    <xf numFmtId="0" fontId="25" fillId="0" borderId="29" xfId="0" applyNumberFormat="1" applyFont="1" applyFill="1" applyBorder="1" applyAlignment="1">
      <alignment horizontal="center" wrapText="1"/>
    </xf>
    <xf numFmtId="0" fontId="32" fillId="0" borderId="30" xfId="0" applyFont="1" applyFill="1" applyBorder="1" applyAlignment="1">
      <alignment horizontal="center" vertical="center"/>
    </xf>
    <xf numFmtId="1" fontId="22" fillId="0" borderId="31" xfId="0" applyNumberFormat="1" applyFont="1" applyFill="1" applyBorder="1" applyAlignment="1" applyProtection="1">
      <alignment horizontal="right" vertical="center"/>
      <protection/>
    </xf>
    <xf numFmtId="0" fontId="0" fillId="0" borderId="0" xfId="0" applyBorder="1" applyAlignment="1">
      <alignment horizontal="center" vertical="center" wrapText="1"/>
    </xf>
    <xf numFmtId="184" fontId="16" fillId="33" borderId="22" xfId="0" applyNumberFormat="1" applyFont="1" applyFill="1" applyBorder="1" applyAlignment="1">
      <alignment horizontal="center" vertical="center"/>
    </xf>
    <xf numFmtId="0" fontId="16" fillId="33" borderId="22" xfId="0" applyFont="1" applyFill="1" applyBorder="1" applyAlignment="1">
      <alignment horizontal="center" vertical="center"/>
    </xf>
    <xf numFmtId="0" fontId="16" fillId="33" borderId="22" xfId="0" applyFont="1" applyFill="1" applyBorder="1" applyAlignment="1">
      <alignment vertical="center"/>
    </xf>
    <xf numFmtId="3" fontId="16" fillId="33" borderId="22" xfId="0" applyNumberFormat="1" applyFont="1" applyFill="1" applyBorder="1" applyAlignment="1">
      <alignment horizontal="center" vertical="center"/>
    </xf>
    <xf numFmtId="193" fontId="15" fillId="33" borderId="22" xfId="0" applyNumberFormat="1" applyFont="1" applyFill="1" applyBorder="1" applyAlignment="1">
      <alignment horizontal="right" vertical="center"/>
    </xf>
    <xf numFmtId="193" fontId="16" fillId="33" borderId="22" xfId="0" applyNumberFormat="1" applyFont="1" applyFill="1" applyBorder="1" applyAlignment="1">
      <alignment horizontal="right" vertical="center"/>
    </xf>
    <xf numFmtId="192" fontId="16" fillId="33" borderId="32" xfId="0" applyNumberFormat="1" applyFont="1" applyFill="1" applyBorder="1" applyAlignment="1">
      <alignment horizontal="right" vertical="center"/>
    </xf>
    <xf numFmtId="0" fontId="38" fillId="0" borderId="0" xfId="0" applyFont="1" applyFill="1" applyBorder="1" applyAlignment="1" applyProtection="1">
      <alignment vertical="center"/>
      <protection locked="0"/>
    </xf>
    <xf numFmtId="184" fontId="13" fillId="0" borderId="10" xfId="0" applyNumberFormat="1" applyFont="1" applyFill="1" applyBorder="1" applyAlignment="1" applyProtection="1">
      <alignment horizontal="center" vertical="center"/>
      <protection locked="0"/>
    </xf>
    <xf numFmtId="184"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184" fontId="13" fillId="0" borderId="10" xfId="0" applyNumberFormat="1" applyFont="1" applyFill="1" applyBorder="1" applyAlignment="1" applyProtection="1">
      <alignment horizontal="center" vertical="center"/>
      <protection/>
    </xf>
    <xf numFmtId="3" fontId="13" fillId="0" borderId="10" xfId="0" applyNumberFormat="1" applyFont="1" applyFill="1" applyBorder="1" applyAlignment="1">
      <alignment horizontal="center" vertical="center"/>
    </xf>
    <xf numFmtId="0" fontId="13" fillId="0" borderId="33" xfId="0" applyFont="1" applyFill="1" applyBorder="1" applyAlignment="1" applyProtection="1">
      <alignment horizontal="left" vertical="center"/>
      <protection/>
    </xf>
    <xf numFmtId="193" fontId="39" fillId="0" borderId="10" xfId="0" applyNumberFormat="1" applyFont="1" applyFill="1" applyBorder="1" applyAlignment="1">
      <alignment horizontal="right" vertical="center"/>
    </xf>
    <xf numFmtId="0" fontId="13" fillId="0" borderId="10" xfId="0" applyFont="1" applyFill="1" applyBorder="1" applyAlignment="1" applyProtection="1">
      <alignment horizontal="left" vertical="center"/>
      <protection locked="0"/>
    </xf>
    <xf numFmtId="184" fontId="13" fillId="0" borderId="10" xfId="0" applyNumberFormat="1" applyFont="1" applyFill="1" applyBorder="1" applyAlignment="1" applyProtection="1">
      <alignment horizontal="left" vertical="center"/>
      <protection locked="0"/>
    </xf>
    <xf numFmtId="0" fontId="13" fillId="0" borderId="10" xfId="0" applyFont="1" applyFill="1" applyBorder="1" applyAlignment="1">
      <alignment horizontal="left" vertical="center"/>
    </xf>
    <xf numFmtId="49" fontId="13" fillId="0" borderId="10" xfId="0" applyNumberFormat="1" applyFont="1" applyFill="1" applyBorder="1" applyAlignment="1" applyProtection="1">
      <alignment horizontal="left" vertical="center"/>
      <protection locked="0"/>
    </xf>
    <xf numFmtId="0" fontId="13" fillId="0" borderId="10" xfId="0" applyFont="1" applyFill="1" applyBorder="1" applyAlignment="1" applyProtection="1">
      <alignment horizontal="left" vertical="center"/>
      <protection/>
    </xf>
    <xf numFmtId="49" fontId="13" fillId="0" borderId="10" xfId="0" applyNumberFormat="1" applyFont="1" applyFill="1" applyBorder="1" applyAlignment="1">
      <alignment horizontal="left" vertical="center"/>
    </xf>
    <xf numFmtId="197" fontId="13" fillId="0" borderId="10" xfId="0" applyNumberFormat="1" applyFont="1" applyFill="1" applyBorder="1" applyAlignment="1">
      <alignment horizontal="left" vertical="center"/>
    </xf>
    <xf numFmtId="0" fontId="37" fillId="0" borderId="0" xfId="0" applyFont="1" applyFill="1" applyBorder="1" applyAlignment="1">
      <alignment horizontal="center" vertical="center"/>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Fill="1" applyBorder="1" applyAlignment="1">
      <alignment horizontal="center" vertical="center"/>
    </xf>
    <xf numFmtId="0" fontId="15" fillId="33" borderId="10" xfId="0" applyFont="1" applyFill="1" applyBorder="1" applyAlignment="1">
      <alignment horizontal="center" vertical="center"/>
    </xf>
    <xf numFmtId="3" fontId="15" fillId="33" borderId="10" xfId="0" applyNumberFormat="1" applyFont="1" applyFill="1" applyBorder="1" applyAlignment="1">
      <alignment horizontal="center" vertical="center"/>
    </xf>
    <xf numFmtId="0" fontId="39" fillId="0" borderId="10" xfId="0" applyFont="1" applyFill="1" applyBorder="1" applyAlignment="1">
      <alignment horizontal="center" vertical="center"/>
    </xf>
    <xf numFmtId="0" fontId="0" fillId="33" borderId="10" xfId="0" applyFont="1" applyFill="1" applyBorder="1" applyAlignment="1">
      <alignment horizontal="center" vertical="center"/>
    </xf>
    <xf numFmtId="187" fontId="39" fillId="0" borderId="10" xfId="0" applyNumberFormat="1" applyFont="1" applyFill="1" applyBorder="1" applyAlignment="1">
      <alignment horizontal="right" vertical="center"/>
    </xf>
    <xf numFmtId="49" fontId="13" fillId="0" borderId="33" xfId="0" applyNumberFormat="1" applyFont="1" applyFill="1" applyBorder="1" applyAlignment="1" applyProtection="1">
      <alignment vertical="center"/>
      <protection locked="0"/>
    </xf>
    <xf numFmtId="0" fontId="13" fillId="0" borderId="10" xfId="0" applyFont="1" applyFill="1" applyBorder="1" applyAlignment="1">
      <alignment horizontal="left"/>
    </xf>
    <xf numFmtId="0" fontId="13" fillId="0" borderId="33" xfId="0" applyFont="1" applyFill="1" applyBorder="1" applyAlignment="1" applyProtection="1">
      <alignment vertical="center"/>
      <protection locked="0"/>
    </xf>
    <xf numFmtId="0" fontId="13" fillId="0" borderId="33" xfId="0" applyFont="1" applyFill="1" applyBorder="1" applyAlignment="1">
      <alignment horizontal="left"/>
    </xf>
    <xf numFmtId="0" fontId="13" fillId="0" borderId="33" xfId="0" applyFont="1" applyFill="1" applyBorder="1" applyAlignment="1">
      <alignment vertical="center"/>
    </xf>
    <xf numFmtId="49" fontId="13" fillId="0" borderId="33" xfId="0" applyNumberFormat="1" applyFont="1" applyFill="1" applyBorder="1" applyAlignment="1">
      <alignment vertical="center"/>
    </xf>
    <xf numFmtId="184" fontId="13" fillId="0" borderId="10" xfId="0" applyNumberFormat="1" applyFont="1" applyFill="1" applyBorder="1" applyAlignment="1">
      <alignment horizontal="center"/>
    </xf>
    <xf numFmtId="184" fontId="0" fillId="0" borderId="0" xfId="0" applyNumberFormat="1" applyAlignment="1">
      <alignment horizontal="center" vertical="center"/>
    </xf>
    <xf numFmtId="49" fontId="30" fillId="0" borderId="22" xfId="0" applyNumberFormat="1" applyFont="1" applyFill="1" applyBorder="1" applyAlignment="1" applyProtection="1">
      <alignment horizontal="center" vertical="center"/>
      <protection locked="0"/>
    </xf>
    <xf numFmtId="49" fontId="30" fillId="0" borderId="10" xfId="0" applyNumberFormat="1" applyFont="1" applyFill="1" applyBorder="1" applyAlignment="1" applyProtection="1">
      <alignment horizontal="center" vertical="center"/>
      <protection locked="0"/>
    </xf>
    <xf numFmtId="49" fontId="30" fillId="0" borderId="13" xfId="0" applyNumberFormat="1" applyFont="1" applyFill="1" applyBorder="1" applyAlignment="1" applyProtection="1">
      <alignment horizontal="center" vertical="center"/>
      <protection locked="0"/>
    </xf>
    <xf numFmtId="193" fontId="39" fillId="0" borderId="11" xfId="42" applyNumberFormat="1" applyFont="1" applyFill="1" applyBorder="1" applyAlignment="1" applyProtection="1">
      <alignment horizontal="right" vertical="center"/>
      <protection locked="0"/>
    </xf>
    <xf numFmtId="193" fontId="39" fillId="0" borderId="11" xfId="0" applyNumberFormat="1" applyFont="1" applyFill="1" applyBorder="1" applyAlignment="1">
      <alignment horizontal="right"/>
    </xf>
    <xf numFmtId="193" fontId="39" fillId="0" borderId="11" xfId="42" applyNumberFormat="1" applyFont="1" applyFill="1" applyBorder="1" applyAlignment="1" applyProtection="1">
      <alignment horizontal="right" vertical="center"/>
      <protection/>
    </xf>
    <xf numFmtId="193" fontId="39" fillId="0" borderId="11" xfId="0" applyNumberFormat="1" applyFont="1" applyFill="1" applyBorder="1" applyAlignment="1">
      <alignment horizontal="right" vertical="center"/>
    </xf>
    <xf numFmtId="193" fontId="39" fillId="0" borderId="11" xfId="0" applyNumberFormat="1" applyFont="1" applyFill="1" applyBorder="1" applyAlignment="1" applyProtection="1">
      <alignment horizontal="right" vertical="center"/>
      <protection/>
    </xf>
    <xf numFmtId="193" fontId="39" fillId="0" borderId="11" xfId="0" applyNumberFormat="1" applyFont="1" applyFill="1" applyBorder="1" applyAlignment="1" applyProtection="1">
      <alignment horizontal="right" vertical="center"/>
      <protection locked="0"/>
    </xf>
    <xf numFmtId="192" fontId="13" fillId="0" borderId="11" xfId="0" applyNumberFormat="1" applyFont="1" applyBorder="1" applyAlignment="1">
      <alignment vertical="center"/>
    </xf>
    <xf numFmtId="192" fontId="15" fillId="33" borderId="11" xfId="0" applyNumberFormat="1" applyFont="1" applyFill="1" applyBorder="1" applyAlignment="1">
      <alignment horizontal="center" vertical="center"/>
    </xf>
    <xf numFmtId="0" fontId="39" fillId="0" borderId="33" xfId="0" applyFont="1" applyFill="1" applyBorder="1" applyAlignment="1">
      <alignment horizontal="right" vertical="center"/>
    </xf>
    <xf numFmtId="0" fontId="22" fillId="33" borderId="33" xfId="0" applyFont="1" applyFill="1" applyBorder="1" applyAlignment="1">
      <alignment horizontal="center" vertical="center"/>
    </xf>
    <xf numFmtId="0" fontId="39" fillId="34" borderId="34" xfId="0" applyFont="1" applyFill="1" applyBorder="1" applyAlignment="1">
      <alignment vertical="center"/>
    </xf>
    <xf numFmtId="0" fontId="39" fillId="34" borderId="13" xfId="0" applyFont="1" applyFill="1" applyBorder="1" applyAlignment="1">
      <alignment vertical="center"/>
    </xf>
    <xf numFmtId="187" fontId="39" fillId="34" borderId="13" xfId="0" applyNumberFormat="1" applyFont="1" applyFill="1" applyBorder="1" applyAlignment="1">
      <alignment vertical="center"/>
    </xf>
    <xf numFmtId="193" fontId="39" fillId="34" borderId="13" xfId="0" applyNumberFormat="1" applyFont="1" applyFill="1" applyBorder="1" applyAlignment="1">
      <alignment vertical="center"/>
    </xf>
    <xf numFmtId="192" fontId="39" fillId="34" borderId="35" xfId="0" applyNumberFormat="1" applyFont="1" applyFill="1" applyBorder="1" applyAlignment="1">
      <alignment vertical="center"/>
    </xf>
    <xf numFmtId="193" fontId="11" fillId="0" borderId="0" xfId="0" applyNumberFormat="1" applyFont="1" applyFill="1" applyBorder="1" applyAlignment="1">
      <alignment horizontal="right" vertical="center"/>
    </xf>
    <xf numFmtId="193" fontId="11" fillId="0" borderId="0" xfId="0" applyNumberFormat="1" applyFont="1" applyBorder="1" applyAlignment="1">
      <alignment horizontal="right" vertical="center"/>
    </xf>
    <xf numFmtId="193" fontId="11" fillId="0" borderId="0" xfId="0" applyNumberFormat="1" applyFont="1" applyBorder="1" applyAlignment="1">
      <alignment horizontal="right" vertical="center" wrapText="1"/>
    </xf>
    <xf numFmtId="193" fontId="11" fillId="0" borderId="0" xfId="0" applyNumberFormat="1" applyFont="1" applyAlignment="1">
      <alignment/>
    </xf>
    <xf numFmtId="0" fontId="28" fillId="0" borderId="0" xfId="0" applyFont="1" applyFill="1" applyBorder="1" applyAlignment="1" applyProtection="1">
      <alignment horizontal="center" vertical="center"/>
      <protection locked="0"/>
    </xf>
    <xf numFmtId="0" fontId="28" fillId="0" borderId="0" xfId="0" applyNumberFormat="1" applyFont="1" applyFill="1" applyBorder="1" applyAlignment="1" applyProtection="1">
      <alignment horizontal="center" vertical="center"/>
      <protection locked="0"/>
    </xf>
    <xf numFmtId="0" fontId="13" fillId="0" borderId="10" xfId="0" applyNumberFormat="1" applyFont="1" applyFill="1" applyBorder="1" applyAlignment="1">
      <alignment horizontal="left" vertical="center"/>
    </xf>
    <xf numFmtId="0" fontId="13" fillId="0" borderId="10" xfId="0" applyNumberFormat="1" applyFont="1" applyFill="1" applyBorder="1" applyAlignment="1" applyProtection="1">
      <alignment horizontal="left" vertical="center"/>
      <protection locked="0"/>
    </xf>
    <xf numFmtId="0" fontId="13" fillId="0" borderId="10" xfId="0" applyNumberFormat="1" applyFont="1" applyFill="1" applyBorder="1" applyAlignment="1" applyProtection="1">
      <alignment horizontal="left" vertical="center"/>
      <protection/>
    </xf>
    <xf numFmtId="0" fontId="13" fillId="0" borderId="33" xfId="0" applyNumberFormat="1" applyFont="1" applyFill="1" applyBorder="1" applyAlignment="1" applyProtection="1">
      <alignment vertical="center"/>
      <protection locked="0"/>
    </xf>
    <xf numFmtId="0" fontId="13" fillId="0" borderId="33" xfId="0" applyNumberFormat="1" applyFont="1" applyFill="1" applyBorder="1" applyAlignment="1">
      <alignment vertical="center"/>
    </xf>
    <xf numFmtId="0" fontId="13" fillId="0" borderId="33" xfId="0" applyNumberFormat="1" applyFont="1" applyFill="1" applyBorder="1" applyAlignment="1" applyProtection="1">
      <alignment vertical="center"/>
      <protection/>
    </xf>
    <xf numFmtId="184" fontId="13" fillId="0" borderId="36" xfId="0" applyNumberFormat="1" applyFont="1" applyFill="1" applyBorder="1" applyAlignment="1">
      <alignment horizontal="center" vertical="center"/>
    </xf>
    <xf numFmtId="0" fontId="23" fillId="0" borderId="30" xfId="0" applyFont="1" applyFill="1" applyBorder="1" applyAlignment="1">
      <alignment horizontal="center" vertical="center"/>
    </xf>
    <xf numFmtId="0" fontId="15" fillId="33" borderId="22" xfId="0" applyFont="1" applyFill="1" applyBorder="1" applyAlignment="1">
      <alignment horizontal="center" vertical="center"/>
    </xf>
    <xf numFmtId="3" fontId="15" fillId="33" borderId="22" xfId="0" applyNumberFormat="1" applyFont="1" applyFill="1" applyBorder="1" applyAlignment="1">
      <alignment horizontal="center" vertical="center"/>
    </xf>
    <xf numFmtId="187" fontId="15" fillId="33" borderId="22" xfId="0" applyNumberFormat="1" applyFont="1" applyFill="1" applyBorder="1" applyAlignment="1">
      <alignment horizontal="center" vertical="center"/>
    </xf>
    <xf numFmtId="193" fontId="15" fillId="33" borderId="22" xfId="0" applyNumberFormat="1" applyFont="1" applyFill="1" applyBorder="1" applyAlignment="1">
      <alignment horizontal="center" vertical="center"/>
    </xf>
    <xf numFmtId="192" fontId="15" fillId="33" borderId="32" xfId="0" applyNumberFormat="1" applyFont="1" applyFill="1" applyBorder="1" applyAlignment="1">
      <alignment horizontal="center" vertical="center"/>
    </xf>
    <xf numFmtId="0" fontId="39" fillId="34" borderId="13" xfId="0" applyFont="1" applyFill="1" applyBorder="1" applyAlignment="1">
      <alignment horizontal="center" vertical="center"/>
    </xf>
    <xf numFmtId="0" fontId="22" fillId="0" borderId="31" xfId="0" applyFont="1" applyFill="1" applyBorder="1" applyAlignment="1">
      <alignment horizontal="right" vertical="center"/>
    </xf>
    <xf numFmtId="193" fontId="39" fillId="0" borderId="37" xfId="0" applyNumberFormat="1" applyFont="1" applyFill="1" applyBorder="1" applyAlignment="1">
      <alignment vertical="center"/>
    </xf>
    <xf numFmtId="193" fontId="39" fillId="0" borderId="11" xfId="42" applyNumberFormat="1" applyFont="1" applyFill="1" applyBorder="1" applyAlignment="1" applyProtection="1">
      <alignment vertical="center"/>
      <protection locked="0"/>
    </xf>
    <xf numFmtId="193" fontId="39" fillId="0" borderId="11" xfId="0" applyNumberFormat="1" applyFont="1" applyFill="1" applyBorder="1" applyAlignment="1">
      <alignment vertical="center"/>
    </xf>
    <xf numFmtId="193" fontId="39" fillId="0" borderId="11" xfId="42" applyNumberFormat="1" applyFont="1" applyFill="1" applyBorder="1" applyAlignment="1" applyProtection="1">
      <alignment vertical="center"/>
      <protection/>
    </xf>
    <xf numFmtId="193" fontId="39" fillId="0" borderId="11" xfId="0" applyNumberFormat="1" applyFont="1" applyFill="1" applyBorder="1" applyAlignment="1" applyProtection="1">
      <alignment vertical="center"/>
      <protection/>
    </xf>
    <xf numFmtId="193" fontId="39" fillId="0" borderId="11" xfId="0" applyNumberFormat="1" applyFont="1" applyFill="1" applyBorder="1" applyAlignment="1" applyProtection="1">
      <alignment vertical="center"/>
      <protection locked="0"/>
    </xf>
    <xf numFmtId="0" fontId="13" fillId="0" borderId="34" xfId="0" applyFont="1" applyFill="1" applyBorder="1" applyAlignment="1">
      <alignment horizontal="left"/>
    </xf>
    <xf numFmtId="184" fontId="13" fillId="0" borderId="13" xfId="0" applyNumberFormat="1" applyFont="1" applyFill="1" applyBorder="1" applyAlignment="1">
      <alignment horizontal="center"/>
    </xf>
    <xf numFmtId="0" fontId="13" fillId="0" borderId="13" xfId="0" applyFont="1" applyFill="1" applyBorder="1" applyAlignment="1">
      <alignment horizontal="left" vertical="center"/>
    </xf>
    <xf numFmtId="0" fontId="13" fillId="0" borderId="13" xfId="0" applyFont="1" applyFill="1" applyBorder="1" applyAlignment="1">
      <alignment horizontal="left"/>
    </xf>
    <xf numFmtId="193" fontId="39" fillId="0" borderId="35" xfId="0" applyNumberFormat="1" applyFont="1" applyFill="1" applyBorder="1" applyAlignment="1">
      <alignment horizontal="right"/>
    </xf>
    <xf numFmtId="0" fontId="31" fillId="35" borderId="38" xfId="0" applyFont="1" applyFill="1" applyBorder="1" applyAlignment="1">
      <alignment horizontal="right"/>
    </xf>
    <xf numFmtId="49" fontId="31" fillId="35" borderId="39" xfId="0" applyNumberFormat="1" applyFont="1" applyFill="1" applyBorder="1" applyAlignment="1">
      <alignment horizontal="right"/>
    </xf>
    <xf numFmtId="0" fontId="31" fillId="35" borderId="39" xfId="0" applyFont="1" applyFill="1" applyBorder="1" applyAlignment="1">
      <alignment/>
    </xf>
    <xf numFmtId="0" fontId="31" fillId="35" borderId="39" xfId="0" applyFont="1" applyFill="1" applyBorder="1" applyAlignment="1">
      <alignment horizontal="right"/>
    </xf>
    <xf numFmtId="0" fontId="31" fillId="35" borderId="40" xfId="0" applyFont="1" applyFill="1" applyBorder="1" applyAlignment="1">
      <alignment horizontal="right"/>
    </xf>
    <xf numFmtId="0" fontId="31" fillId="36" borderId="38" xfId="0" applyFont="1" applyFill="1" applyBorder="1" applyAlignment="1">
      <alignment horizontal="right"/>
    </xf>
    <xf numFmtId="4" fontId="31" fillId="36" borderId="39" xfId="0" applyNumberFormat="1" applyFont="1" applyFill="1" applyBorder="1" applyAlignment="1">
      <alignment horizontal="right"/>
    </xf>
    <xf numFmtId="3" fontId="31" fillId="36" borderId="40" xfId="0" applyNumberFormat="1" applyFont="1" applyFill="1" applyBorder="1" applyAlignment="1">
      <alignment horizontal="right"/>
    </xf>
    <xf numFmtId="0" fontId="31" fillId="35" borderId="38" xfId="0" applyFont="1" applyFill="1" applyBorder="1" applyAlignment="1">
      <alignment/>
    </xf>
    <xf numFmtId="4" fontId="31" fillId="35" borderId="39" xfId="0" applyNumberFormat="1" applyFont="1" applyFill="1" applyBorder="1" applyAlignment="1">
      <alignment horizontal="right"/>
    </xf>
    <xf numFmtId="3" fontId="31" fillId="35" borderId="39" xfId="0" applyNumberFormat="1" applyFont="1" applyFill="1" applyBorder="1" applyAlignment="1">
      <alignment horizontal="right"/>
    </xf>
    <xf numFmtId="10" fontId="31" fillId="35" borderId="40" xfId="0" applyNumberFormat="1" applyFont="1" applyFill="1" applyBorder="1" applyAlignment="1">
      <alignment horizontal="right"/>
    </xf>
    <xf numFmtId="3" fontId="31" fillId="36" borderId="39" xfId="0" applyNumberFormat="1" applyFont="1" applyFill="1" applyBorder="1" applyAlignment="1">
      <alignment horizontal="right"/>
    </xf>
    <xf numFmtId="10" fontId="31" fillId="36" borderId="40" xfId="0" applyNumberFormat="1" applyFont="1" applyFill="1" applyBorder="1" applyAlignment="1">
      <alignment horizontal="right"/>
    </xf>
    <xf numFmtId="0" fontId="31" fillId="36" borderId="38" xfId="0" applyFont="1" applyFill="1" applyBorder="1" applyAlignment="1">
      <alignment/>
    </xf>
    <xf numFmtId="0" fontId="31" fillId="0" borderId="0" xfId="0" applyFont="1" applyFill="1" applyAlignment="1">
      <alignment/>
    </xf>
    <xf numFmtId="0" fontId="31" fillId="35" borderId="41" xfId="0" applyFont="1" applyFill="1" applyBorder="1" applyAlignment="1">
      <alignment horizontal="right"/>
    </xf>
    <xf numFmtId="0" fontId="31" fillId="36" borderId="41" xfId="0" applyFont="1" applyFill="1" applyBorder="1" applyAlignment="1">
      <alignment horizontal="right"/>
    </xf>
    <xf numFmtId="4" fontId="31" fillId="36" borderId="41" xfId="0" applyNumberFormat="1" applyFont="1" applyFill="1" applyBorder="1" applyAlignment="1">
      <alignment horizontal="right"/>
    </xf>
    <xf numFmtId="3" fontId="31" fillId="36" borderId="41" xfId="0" applyNumberFormat="1" applyFont="1" applyFill="1" applyBorder="1" applyAlignment="1">
      <alignment horizontal="right"/>
    </xf>
    <xf numFmtId="4" fontId="31" fillId="35" borderId="41" xfId="0" applyNumberFormat="1" applyFont="1" applyFill="1" applyBorder="1" applyAlignment="1">
      <alignment horizontal="right"/>
    </xf>
    <xf numFmtId="3" fontId="31" fillId="35" borderId="41" xfId="0" applyNumberFormat="1" applyFont="1" applyFill="1" applyBorder="1" applyAlignment="1">
      <alignment horizontal="right"/>
    </xf>
    <xf numFmtId="10" fontId="31" fillId="35" borderId="41" xfId="0" applyNumberFormat="1" applyFont="1" applyFill="1" applyBorder="1" applyAlignment="1">
      <alignment horizontal="right"/>
    </xf>
    <xf numFmtId="10" fontId="31" fillId="36" borderId="41" xfId="0" applyNumberFormat="1" applyFont="1" applyFill="1" applyBorder="1" applyAlignment="1">
      <alignment horizontal="right"/>
    </xf>
    <xf numFmtId="0" fontId="31" fillId="36" borderId="41" xfId="0" applyFont="1" applyFill="1" applyBorder="1" applyAlignment="1">
      <alignment/>
    </xf>
    <xf numFmtId="0" fontId="31" fillId="35" borderId="0" xfId="0" applyFont="1" applyFill="1" applyAlignment="1">
      <alignment horizontal="right"/>
    </xf>
    <xf numFmtId="49" fontId="31" fillId="35" borderId="0" xfId="0" applyNumberFormat="1" applyFont="1" applyFill="1" applyAlignment="1">
      <alignment horizontal="right"/>
    </xf>
    <xf numFmtId="0" fontId="31" fillId="35" borderId="0" xfId="0" applyFont="1" applyFill="1" applyAlignment="1">
      <alignment/>
    </xf>
    <xf numFmtId="0" fontId="31" fillId="36" borderId="0" xfId="0" applyFont="1" applyFill="1" applyAlignment="1">
      <alignment horizontal="right"/>
    </xf>
    <xf numFmtId="4" fontId="31" fillId="36" borderId="0" xfId="0" applyNumberFormat="1" applyFont="1" applyFill="1" applyAlignment="1">
      <alignment horizontal="right"/>
    </xf>
    <xf numFmtId="3" fontId="31" fillId="36" borderId="0" xfId="0" applyNumberFormat="1" applyFont="1" applyFill="1" applyAlignment="1">
      <alignment horizontal="right"/>
    </xf>
    <xf numFmtId="4" fontId="31" fillId="35" borderId="0" xfId="0" applyNumberFormat="1" applyFont="1" applyFill="1" applyAlignment="1">
      <alignment horizontal="right"/>
    </xf>
    <xf numFmtId="3" fontId="31" fillId="35" borderId="0" xfId="0" applyNumberFormat="1" applyFont="1" applyFill="1" applyAlignment="1">
      <alignment horizontal="right"/>
    </xf>
    <xf numFmtId="10" fontId="31" fillId="35" borderId="0" xfId="0" applyNumberFormat="1" applyFont="1" applyFill="1" applyAlignment="1">
      <alignment horizontal="right"/>
    </xf>
    <xf numFmtId="10" fontId="31" fillId="36" borderId="0" xfId="0" applyNumberFormat="1" applyFont="1" applyFill="1" applyAlignment="1">
      <alignment horizontal="right"/>
    </xf>
    <xf numFmtId="0" fontId="31" fillId="36" borderId="0" xfId="0" applyFont="1" applyFill="1" applyAlignment="1">
      <alignment/>
    </xf>
    <xf numFmtId="0" fontId="13" fillId="0" borderId="33" xfId="0" applyFont="1" applyFill="1" applyBorder="1" applyAlignment="1" applyProtection="1">
      <alignment vertical="center"/>
      <protection/>
    </xf>
    <xf numFmtId="0" fontId="41" fillId="0" borderId="0" xfId="0" applyFont="1" applyFill="1" applyBorder="1" applyAlignment="1" applyProtection="1">
      <alignment vertical="center"/>
      <protection locked="0"/>
    </xf>
    <xf numFmtId="0" fontId="42" fillId="0" borderId="0" xfId="0" applyFont="1" applyFill="1" applyBorder="1" applyAlignment="1" applyProtection="1">
      <alignment vertical="center"/>
      <protection locked="0"/>
    </xf>
    <xf numFmtId="0" fontId="13" fillId="0" borderId="33" xfId="0" applyFont="1" applyFill="1" applyBorder="1" applyAlignment="1" applyProtection="1">
      <alignment horizontal="left" vertical="center"/>
      <protection locked="0"/>
    </xf>
    <xf numFmtId="0" fontId="13" fillId="0" borderId="33" xfId="0" applyFont="1" applyFill="1" applyBorder="1" applyAlignment="1">
      <alignment horizontal="left" vertical="center"/>
    </xf>
    <xf numFmtId="49" fontId="13" fillId="0" borderId="33" xfId="0" applyNumberFormat="1" applyFont="1" applyFill="1" applyBorder="1" applyAlignment="1">
      <alignment horizontal="left" vertical="center"/>
    </xf>
    <xf numFmtId="49" fontId="13" fillId="0" borderId="33" xfId="0" applyNumberFormat="1" applyFont="1" applyFill="1" applyBorder="1" applyAlignment="1" applyProtection="1">
      <alignment horizontal="left" vertical="center"/>
      <protection locked="0"/>
    </xf>
    <xf numFmtId="200" fontId="39" fillId="0" borderId="10" xfId="0" applyNumberFormat="1" applyFont="1" applyFill="1" applyBorder="1" applyAlignment="1">
      <alignment vertical="center"/>
    </xf>
    <xf numFmtId="200" fontId="39" fillId="0" borderId="10" xfId="42" applyNumberFormat="1" applyFont="1" applyFill="1" applyBorder="1" applyAlignment="1" applyProtection="1">
      <alignment vertical="center"/>
      <protection locked="0"/>
    </xf>
    <xf numFmtId="200" fontId="39" fillId="0" borderId="10" xfId="42" applyNumberFormat="1" applyFont="1" applyFill="1" applyBorder="1" applyAlignment="1" applyProtection="1">
      <alignment vertical="center"/>
      <protection/>
    </xf>
    <xf numFmtId="200" fontId="39" fillId="0" borderId="36" xfId="0" applyNumberFormat="1" applyFont="1" applyFill="1" applyBorder="1" applyAlignment="1">
      <alignment vertical="center"/>
    </xf>
    <xf numFmtId="200" fontId="39" fillId="0" borderId="10" xfId="0" applyNumberFormat="1" applyFont="1" applyFill="1" applyBorder="1" applyAlignment="1">
      <alignment horizontal="right" vertical="center"/>
    </xf>
    <xf numFmtId="200" fontId="39" fillId="0" borderId="10" xfId="42" applyNumberFormat="1" applyFont="1" applyFill="1" applyBorder="1" applyAlignment="1" applyProtection="1">
      <alignment horizontal="right" vertical="center"/>
      <protection locked="0"/>
    </xf>
    <xf numFmtId="200" fontId="39" fillId="0" borderId="10" xfId="0" applyNumberFormat="1" applyFont="1" applyFill="1" applyBorder="1" applyAlignment="1">
      <alignment horizontal="right"/>
    </xf>
    <xf numFmtId="200" fontId="39" fillId="0" borderId="10" xfId="42" applyNumberFormat="1" applyFont="1" applyFill="1" applyBorder="1" applyAlignment="1" applyProtection="1">
      <alignment horizontal="right" vertical="center"/>
      <protection/>
    </xf>
    <xf numFmtId="200" fontId="39" fillId="0" borderId="10" xfId="0" applyNumberFormat="1" applyFont="1" applyFill="1" applyBorder="1" applyAlignment="1" applyProtection="1">
      <alignment vertical="center"/>
      <protection/>
    </xf>
    <xf numFmtId="200" fontId="39" fillId="0" borderId="10" xfId="0" applyNumberFormat="1" applyFont="1" applyFill="1" applyBorder="1" applyAlignment="1" applyProtection="1">
      <alignment horizontal="right" vertical="center"/>
      <protection/>
    </xf>
    <xf numFmtId="200" fontId="39" fillId="0" borderId="10" xfId="0" applyNumberFormat="1" applyFont="1" applyFill="1" applyBorder="1" applyAlignment="1" applyProtection="1">
      <alignment vertical="center"/>
      <protection locked="0"/>
    </xf>
    <xf numFmtId="200" fontId="39" fillId="0" borderId="10" xfId="0" applyNumberFormat="1" applyFont="1" applyFill="1" applyBorder="1" applyAlignment="1" applyProtection="1">
      <alignment horizontal="right" vertical="center"/>
      <protection locked="0"/>
    </xf>
    <xf numFmtId="200" fontId="39" fillId="0" borderId="13" xfId="0" applyNumberFormat="1" applyFont="1" applyFill="1" applyBorder="1" applyAlignment="1">
      <alignment horizontal="right"/>
    </xf>
    <xf numFmtId="200" fontId="15" fillId="33" borderId="22" xfId="0" applyNumberFormat="1" applyFont="1" applyFill="1" applyBorder="1" applyAlignment="1">
      <alignment horizontal="center" vertical="center"/>
    </xf>
    <xf numFmtId="200" fontId="11" fillId="0" borderId="0" xfId="0" applyNumberFormat="1" applyFont="1" applyFill="1" applyBorder="1" applyAlignment="1">
      <alignment horizontal="center" vertical="center"/>
    </xf>
    <xf numFmtId="200" fontId="11" fillId="0" borderId="0" xfId="0" applyNumberFormat="1" applyFont="1" applyBorder="1" applyAlignment="1">
      <alignment horizontal="center" vertical="center"/>
    </xf>
    <xf numFmtId="200" fontId="11" fillId="0" borderId="0" xfId="0" applyNumberFormat="1" applyFont="1" applyBorder="1" applyAlignment="1">
      <alignment horizontal="right" vertical="center" wrapText="1"/>
    </xf>
    <xf numFmtId="200" fontId="11" fillId="0" borderId="0" xfId="0" applyNumberFormat="1" applyFont="1" applyAlignment="1">
      <alignment/>
    </xf>
    <xf numFmtId="192" fontId="13" fillId="0" borderId="11" xfId="60" applyNumberFormat="1" applyFont="1" applyFill="1" applyBorder="1" applyAlignment="1" applyProtection="1">
      <alignment vertical="center"/>
      <protection/>
    </xf>
    <xf numFmtId="1" fontId="22" fillId="0" borderId="42" xfId="0" applyNumberFormat="1" applyFont="1" applyFill="1" applyBorder="1" applyAlignment="1" applyProtection="1">
      <alignment horizontal="right" vertical="center"/>
      <protection/>
    </xf>
    <xf numFmtId="1" fontId="22" fillId="0" borderId="43" xfId="0" applyNumberFormat="1" applyFont="1" applyFill="1" applyBorder="1" applyAlignment="1" applyProtection="1">
      <alignment horizontal="right" vertical="center"/>
      <protection/>
    </xf>
    <xf numFmtId="184" fontId="13" fillId="0" borderId="10" xfId="0" applyNumberFormat="1" applyFont="1" applyFill="1" applyBorder="1" applyAlignment="1" applyProtection="1">
      <alignment vertical="center"/>
      <protection locked="0"/>
    </xf>
    <xf numFmtId="0" fontId="13" fillId="0" borderId="10" xfId="0" applyFont="1" applyFill="1" applyBorder="1" applyAlignment="1" applyProtection="1">
      <alignment vertical="center"/>
      <protection locked="0"/>
    </xf>
    <xf numFmtId="0" fontId="13" fillId="0" borderId="10" xfId="0" applyFont="1" applyFill="1" applyBorder="1" applyAlignment="1">
      <alignment/>
    </xf>
    <xf numFmtId="49" fontId="13" fillId="0" borderId="10" xfId="0" applyNumberFormat="1" applyFont="1" applyFill="1" applyBorder="1" applyAlignment="1" applyProtection="1">
      <alignment vertical="center"/>
      <protection locked="0"/>
    </xf>
    <xf numFmtId="197" fontId="13" fillId="0" borderId="10" xfId="0" applyNumberFormat="1" applyFont="1" applyFill="1" applyBorder="1" applyAlignment="1">
      <alignment vertical="center"/>
    </xf>
    <xf numFmtId="49" fontId="13" fillId="0" borderId="10" xfId="0" applyNumberFormat="1" applyFont="1" applyFill="1" applyBorder="1" applyAlignment="1">
      <alignment vertical="center"/>
    </xf>
    <xf numFmtId="0" fontId="13" fillId="0" borderId="10" xfId="0" applyNumberFormat="1" applyFont="1" applyFill="1" applyBorder="1" applyAlignment="1" applyProtection="1">
      <alignment horizontal="center" vertical="center"/>
      <protection locked="0"/>
    </xf>
    <xf numFmtId="0" fontId="13" fillId="0" borderId="10" xfId="0" applyFont="1" applyFill="1" applyBorder="1" applyAlignment="1" applyProtection="1">
      <alignment vertical="center"/>
      <protection/>
    </xf>
    <xf numFmtId="200" fontId="25" fillId="0" borderId="29" xfId="0" applyNumberFormat="1" applyFont="1" applyFill="1" applyBorder="1" applyAlignment="1" applyProtection="1">
      <alignment horizontal="center" vertical="center" wrapText="1"/>
      <protection/>
    </xf>
    <xf numFmtId="193" fontId="25" fillId="0" borderId="44" xfId="0" applyNumberFormat="1" applyFont="1" applyFill="1" applyBorder="1" applyAlignment="1" applyProtection="1">
      <alignment horizontal="center" vertical="center" wrapText="1"/>
      <protection/>
    </xf>
    <xf numFmtId="0" fontId="13" fillId="0" borderId="10" xfId="0" applyFont="1" applyFill="1" applyBorder="1" applyAlignment="1">
      <alignment vertical="center"/>
    </xf>
    <xf numFmtId="0" fontId="13" fillId="0" borderId="33" xfId="0" applyFont="1" applyFill="1" applyBorder="1" applyAlignment="1">
      <alignment/>
    </xf>
    <xf numFmtId="0" fontId="22" fillId="0" borderId="42" xfId="0" applyFont="1" applyFill="1" applyBorder="1" applyAlignment="1">
      <alignment horizontal="right" vertical="center"/>
    </xf>
    <xf numFmtId="0" fontId="22" fillId="0" borderId="43" xfId="0" applyFont="1" applyFill="1" applyBorder="1" applyAlignment="1">
      <alignment horizontal="right" vertical="center"/>
    </xf>
    <xf numFmtId="0" fontId="43" fillId="36" borderId="41" xfId="0" applyFont="1" applyFill="1" applyBorder="1" applyAlignment="1">
      <alignment horizontal="right"/>
    </xf>
    <xf numFmtId="4" fontId="43" fillId="36" borderId="41" xfId="0" applyNumberFormat="1" applyFont="1" applyFill="1" applyBorder="1" applyAlignment="1">
      <alignment horizontal="right"/>
    </xf>
    <xf numFmtId="3" fontId="43" fillId="36" borderId="41" xfId="0" applyNumberFormat="1" applyFont="1" applyFill="1" applyBorder="1" applyAlignment="1">
      <alignment horizontal="right"/>
    </xf>
    <xf numFmtId="4" fontId="43" fillId="35" borderId="41" xfId="0" applyNumberFormat="1" applyFont="1" applyFill="1" applyBorder="1" applyAlignment="1">
      <alignment horizontal="right"/>
    </xf>
    <xf numFmtId="3" fontId="43" fillId="35" borderId="41" xfId="0" applyNumberFormat="1" applyFont="1" applyFill="1" applyBorder="1" applyAlignment="1">
      <alignment horizontal="right"/>
    </xf>
    <xf numFmtId="10" fontId="43" fillId="35" borderId="41" xfId="0" applyNumberFormat="1" applyFont="1" applyFill="1" applyBorder="1" applyAlignment="1">
      <alignment horizontal="right"/>
    </xf>
    <xf numFmtId="10" fontId="43" fillId="36" borderId="41" xfId="0" applyNumberFormat="1" applyFont="1" applyFill="1" applyBorder="1" applyAlignment="1">
      <alignment horizontal="right"/>
    </xf>
    <xf numFmtId="0" fontId="43" fillId="35" borderId="41" xfId="0" applyFont="1" applyFill="1" applyBorder="1" applyAlignment="1">
      <alignment horizontal="right"/>
    </xf>
    <xf numFmtId="0" fontId="43" fillId="36" borderId="41" xfId="0" applyFont="1" applyFill="1" applyBorder="1" applyAlignment="1">
      <alignment/>
    </xf>
    <xf numFmtId="0" fontId="43" fillId="0" borderId="0" xfId="0" applyFont="1" applyFill="1" applyAlignment="1">
      <alignment/>
    </xf>
    <xf numFmtId="192" fontId="13" fillId="0" borderId="11" xfId="42" applyNumberFormat="1" applyFont="1" applyFill="1" applyBorder="1" applyAlignment="1" applyProtection="1">
      <alignment vertical="center"/>
      <protection/>
    </xf>
    <xf numFmtId="193" fontId="25" fillId="0" borderId="29" xfId="0" applyNumberFormat="1" applyFont="1" applyFill="1" applyBorder="1" applyAlignment="1" applyProtection="1">
      <alignment horizontal="center" wrapText="1"/>
      <protection/>
    </xf>
    <xf numFmtId="192" fontId="25" fillId="0" borderId="29" xfId="0" applyNumberFormat="1" applyFont="1" applyFill="1" applyBorder="1" applyAlignment="1" applyProtection="1">
      <alignment horizontal="center" wrapText="1"/>
      <protection/>
    </xf>
    <xf numFmtId="192" fontId="25" fillId="0" borderId="44" xfId="0" applyNumberFormat="1" applyFont="1" applyFill="1" applyBorder="1" applyAlignment="1" applyProtection="1">
      <alignment horizontal="center" wrapText="1"/>
      <protection/>
    </xf>
    <xf numFmtId="2" fontId="31" fillId="35" borderId="41" xfId="0" applyNumberFormat="1" applyFont="1" applyFill="1" applyBorder="1" applyAlignment="1">
      <alignment/>
    </xf>
    <xf numFmtId="2" fontId="43" fillId="35" borderId="41" xfId="0" applyNumberFormat="1" applyFont="1" applyFill="1" applyBorder="1" applyAlignment="1">
      <alignment/>
    </xf>
    <xf numFmtId="0" fontId="39" fillId="0" borderId="45" xfId="0" applyFont="1" applyFill="1" applyBorder="1" applyAlignment="1" applyProtection="1">
      <alignment horizontal="right" vertical="center"/>
      <protection/>
    </xf>
    <xf numFmtId="0" fontId="13" fillId="0" borderId="36" xfId="0" applyFont="1" applyBorder="1" applyAlignment="1">
      <alignment vertical="center"/>
    </xf>
    <xf numFmtId="0" fontId="13" fillId="0" borderId="36" xfId="0" applyFont="1" applyBorder="1" applyAlignment="1">
      <alignment horizontal="center" vertical="center"/>
    </xf>
    <xf numFmtId="3" fontId="13" fillId="0" borderId="36" xfId="0" applyNumberFormat="1" applyFont="1" applyBorder="1" applyAlignment="1">
      <alignment horizontal="center" vertical="center"/>
    </xf>
    <xf numFmtId="187" fontId="39" fillId="0" borderId="36" xfId="0" applyNumberFormat="1" applyFont="1" applyBorder="1" applyAlignment="1">
      <alignment horizontal="right" vertical="center"/>
    </xf>
    <xf numFmtId="193" fontId="39" fillId="0" borderId="36" xfId="0" applyNumberFormat="1" applyFont="1" applyBorder="1" applyAlignment="1">
      <alignment vertical="center"/>
    </xf>
    <xf numFmtId="192" fontId="13" fillId="0" borderId="37" xfId="0" applyNumberFormat="1" applyFont="1" applyBorder="1" applyAlignment="1">
      <alignment vertical="center"/>
    </xf>
    <xf numFmtId="0" fontId="39" fillId="0" borderId="34" xfId="0" applyFont="1" applyFill="1" applyBorder="1" applyAlignment="1" applyProtection="1">
      <alignment horizontal="right" vertical="center"/>
      <protection/>
    </xf>
    <xf numFmtId="0" fontId="13" fillId="0" borderId="13" xfId="0" applyFont="1" applyBorder="1" applyAlignment="1">
      <alignment vertical="center"/>
    </xf>
    <xf numFmtId="0" fontId="13" fillId="0" borderId="13" xfId="0" applyFont="1" applyBorder="1" applyAlignment="1">
      <alignment horizontal="center" vertical="center"/>
    </xf>
    <xf numFmtId="3" fontId="13" fillId="0" borderId="13" xfId="0" applyNumberFormat="1" applyFont="1" applyBorder="1" applyAlignment="1">
      <alignment horizontal="center" vertical="center"/>
    </xf>
    <xf numFmtId="187" fontId="39" fillId="0" borderId="13" xfId="0" applyNumberFormat="1" applyFont="1" applyBorder="1" applyAlignment="1">
      <alignment horizontal="right" vertical="center"/>
    </xf>
    <xf numFmtId="193" fontId="39" fillId="0" borderId="13" xfId="0" applyNumberFormat="1" applyFont="1" applyBorder="1" applyAlignment="1">
      <alignment vertical="center"/>
    </xf>
    <xf numFmtId="192" fontId="13" fillId="0" borderId="35" xfId="0" applyNumberFormat="1" applyFont="1" applyBorder="1" applyAlignment="1">
      <alignment vertical="center"/>
    </xf>
    <xf numFmtId="4" fontId="13" fillId="0" borderId="10" xfId="0" applyNumberFormat="1" applyFont="1" applyFill="1" applyBorder="1" applyAlignment="1" applyProtection="1">
      <alignment horizontal="left" vertical="center"/>
      <protection locked="0"/>
    </xf>
    <xf numFmtId="4" fontId="13" fillId="0" borderId="10" xfId="0" applyNumberFormat="1" applyFont="1" applyFill="1" applyBorder="1" applyAlignment="1">
      <alignment horizontal="left" vertical="center"/>
    </xf>
    <xf numFmtId="0" fontId="45" fillId="36" borderId="38" xfId="0" applyFont="1" applyFill="1" applyBorder="1" applyAlignment="1">
      <alignment/>
    </xf>
    <xf numFmtId="0" fontId="45" fillId="36" borderId="38" xfId="0" applyFont="1" applyFill="1" applyBorder="1" applyAlignment="1">
      <alignment horizontal="left"/>
    </xf>
    <xf numFmtId="0" fontId="13" fillId="0" borderId="10" xfId="57" applyNumberFormat="1" applyFont="1" applyFill="1" applyBorder="1" applyAlignment="1" applyProtection="1">
      <alignment horizontal="left" vertical="center"/>
      <protection locked="0"/>
    </xf>
    <xf numFmtId="184" fontId="13" fillId="0" borderId="10" xfId="57" applyNumberFormat="1" applyFont="1" applyFill="1" applyBorder="1" applyAlignment="1" applyProtection="1">
      <alignment horizontal="center" vertical="center"/>
      <protection locked="0"/>
    </xf>
    <xf numFmtId="0" fontId="13" fillId="0" borderId="10" xfId="57" applyNumberFormat="1" applyFont="1" applyFill="1" applyBorder="1" applyAlignment="1">
      <alignment horizontal="left" vertical="center"/>
      <protection/>
    </xf>
    <xf numFmtId="184" fontId="13" fillId="0" borderId="10" xfId="57" applyNumberFormat="1" applyFont="1" applyFill="1" applyBorder="1" applyAlignment="1">
      <alignment horizontal="center" vertical="center"/>
      <protection/>
    </xf>
    <xf numFmtId="0" fontId="13" fillId="0" borderId="10" xfId="57" applyNumberFormat="1" applyFont="1" applyFill="1" applyBorder="1" applyAlignment="1">
      <alignment horizontal="center" vertical="center"/>
      <protection/>
    </xf>
    <xf numFmtId="0" fontId="13" fillId="0" borderId="10" xfId="0" applyNumberFormat="1" applyFont="1" applyFill="1" applyBorder="1" applyAlignment="1">
      <alignment horizontal="center" vertical="center"/>
    </xf>
    <xf numFmtId="0" fontId="13" fillId="0" borderId="10" xfId="57" applyNumberFormat="1" applyFont="1" applyFill="1" applyBorder="1" applyAlignment="1" applyProtection="1">
      <alignment horizontal="left" vertical="center"/>
      <protection/>
    </xf>
    <xf numFmtId="184" fontId="13" fillId="0" borderId="10" xfId="57" applyNumberFormat="1" applyFont="1" applyFill="1" applyBorder="1" applyAlignment="1" applyProtection="1">
      <alignment horizontal="center" vertical="center"/>
      <protection/>
    </xf>
    <xf numFmtId="0" fontId="13" fillId="0" borderId="33" xfId="57" applyNumberFormat="1" applyFont="1" applyFill="1" applyBorder="1" applyAlignment="1" applyProtection="1">
      <alignment horizontal="left" vertical="center"/>
      <protection locked="0"/>
    </xf>
    <xf numFmtId="0" fontId="13" fillId="0" borderId="33" xfId="57" applyNumberFormat="1" applyFont="1" applyFill="1" applyBorder="1" applyAlignment="1">
      <alignment horizontal="left" vertical="center"/>
      <protection/>
    </xf>
    <xf numFmtId="192" fontId="13" fillId="0" borderId="11" xfId="0" applyNumberFormat="1" applyFont="1" applyFill="1" applyBorder="1" applyAlignment="1">
      <alignment vertical="center"/>
    </xf>
    <xf numFmtId="0" fontId="13" fillId="0" borderId="33" xfId="0" applyNumberFormat="1" applyFont="1" applyFill="1" applyBorder="1" applyAlignment="1" applyProtection="1">
      <alignment horizontal="left" vertical="center"/>
      <protection locked="0"/>
    </xf>
    <xf numFmtId="0" fontId="13" fillId="0" borderId="33" xfId="0" applyNumberFormat="1" applyFont="1" applyFill="1" applyBorder="1" applyAlignment="1">
      <alignment horizontal="left" vertical="center"/>
    </xf>
    <xf numFmtId="0" fontId="13" fillId="0" borderId="33" xfId="57" applyNumberFormat="1" applyFont="1" applyFill="1" applyBorder="1" applyAlignment="1" applyProtection="1">
      <alignment horizontal="left" vertical="center"/>
      <protection/>
    </xf>
    <xf numFmtId="200" fontId="39" fillId="0" borderId="10" xfId="57" applyNumberFormat="1" applyFont="1" applyFill="1" applyBorder="1" applyAlignment="1">
      <alignment vertical="center"/>
      <protection/>
    </xf>
    <xf numFmtId="200" fontId="39" fillId="0" borderId="10" xfId="57" applyNumberFormat="1" applyFont="1" applyFill="1" applyBorder="1" applyAlignment="1" applyProtection="1">
      <alignment vertical="center"/>
      <protection/>
    </xf>
    <xf numFmtId="193" fontId="39" fillId="0" borderId="11" xfId="57" applyNumberFormat="1" applyFont="1" applyFill="1" applyBorder="1" applyAlignment="1">
      <alignment vertical="center"/>
      <protection/>
    </xf>
    <xf numFmtId="193" fontId="39" fillId="0" borderId="11" xfId="57" applyNumberFormat="1" applyFont="1" applyFill="1" applyBorder="1" applyAlignment="1" applyProtection="1">
      <alignment vertical="center"/>
      <protection/>
    </xf>
    <xf numFmtId="0" fontId="13" fillId="0" borderId="10" xfId="0" applyNumberFormat="1" applyFont="1" applyFill="1" applyBorder="1" applyAlignment="1" applyProtection="1">
      <alignment horizontal="center" vertical="center"/>
      <protection/>
    </xf>
    <xf numFmtId="0" fontId="13" fillId="0" borderId="33" xfId="0" applyNumberFormat="1" applyFont="1" applyFill="1" applyBorder="1" applyAlignment="1" applyProtection="1">
      <alignment horizontal="left" vertical="center"/>
      <protection/>
    </xf>
    <xf numFmtId="192" fontId="13" fillId="0" borderId="11" xfId="0" applyNumberFormat="1" applyFont="1" applyFill="1" applyBorder="1" applyAlignment="1" applyProtection="1">
      <alignment vertical="center"/>
      <protection/>
    </xf>
    <xf numFmtId="0" fontId="0" fillId="0" borderId="0" xfId="0" applyAlignment="1">
      <alignment horizontal="center"/>
    </xf>
    <xf numFmtId="0" fontId="13" fillId="0" borderId="10" xfId="0" applyFont="1" applyFill="1" applyBorder="1" applyAlignment="1" applyProtection="1">
      <alignment horizontal="center" vertical="center"/>
      <protection locked="0"/>
    </xf>
    <xf numFmtId="49" fontId="13" fillId="0" borderId="10" xfId="0" applyNumberFormat="1" applyFont="1" applyFill="1" applyBorder="1" applyAlignment="1" applyProtection="1">
      <alignment horizontal="center" vertical="center"/>
      <protection locked="0"/>
    </xf>
    <xf numFmtId="192" fontId="13" fillId="0" borderId="11" xfId="42" applyNumberFormat="1" applyFont="1" applyFill="1" applyBorder="1" applyAlignment="1" applyProtection="1">
      <alignment horizontal="right" vertical="center"/>
      <protection/>
    </xf>
    <xf numFmtId="192" fontId="13" fillId="0" borderId="32" xfId="42" applyNumberFormat="1" applyFont="1" applyFill="1" applyBorder="1" applyAlignment="1" applyProtection="1">
      <alignment vertical="center"/>
      <protection/>
    </xf>
    <xf numFmtId="197" fontId="13" fillId="0" borderId="10" xfId="0" applyNumberFormat="1" applyFont="1" applyFill="1" applyBorder="1" applyAlignment="1">
      <alignment horizontal="center" vertical="center"/>
    </xf>
    <xf numFmtId="0" fontId="13" fillId="0" borderId="10" xfId="0" applyNumberFormat="1" applyFont="1" applyFill="1" applyBorder="1" applyAlignment="1" applyProtection="1">
      <alignment vertical="center"/>
      <protection locked="0"/>
    </xf>
    <xf numFmtId="0" fontId="13" fillId="0" borderId="10" xfId="0" applyNumberFormat="1" applyFont="1" applyFill="1" applyBorder="1" applyAlignment="1">
      <alignment vertical="center"/>
    </xf>
    <xf numFmtId="0" fontId="13" fillId="0" borderId="10" xfId="0" applyNumberFormat="1" applyFont="1" applyFill="1" applyBorder="1" applyAlignment="1" applyProtection="1">
      <alignment vertical="center"/>
      <protection/>
    </xf>
    <xf numFmtId="49" fontId="13" fillId="0" borderId="45" xfId="0" applyNumberFormat="1" applyFont="1" applyFill="1" applyBorder="1" applyAlignment="1">
      <alignment horizontal="left" vertical="center"/>
    </xf>
    <xf numFmtId="197" fontId="13" fillId="0" borderId="36" xfId="0" applyNumberFormat="1" applyFont="1" applyFill="1" applyBorder="1" applyAlignment="1">
      <alignment horizontal="left" vertical="center"/>
    </xf>
    <xf numFmtId="49" fontId="13" fillId="0" borderId="36" xfId="0" applyNumberFormat="1" applyFont="1" applyFill="1" applyBorder="1" applyAlignment="1">
      <alignment horizontal="left" vertical="center"/>
    </xf>
    <xf numFmtId="184" fontId="13" fillId="0" borderId="13" xfId="0" applyNumberFormat="1" applyFont="1" applyFill="1" applyBorder="1" applyAlignment="1" applyProtection="1">
      <alignment horizontal="center" vertical="center"/>
      <protection locked="0"/>
    </xf>
    <xf numFmtId="193" fontId="39" fillId="0" borderId="36" xfId="0" applyNumberFormat="1" applyFont="1" applyFill="1" applyBorder="1" applyAlignment="1">
      <alignment vertical="center"/>
    </xf>
    <xf numFmtId="193" fontId="39" fillId="0" borderId="10" xfId="42" applyNumberFormat="1" applyFont="1" applyFill="1" applyBorder="1" applyAlignment="1" applyProtection="1">
      <alignment vertical="center"/>
      <protection locked="0"/>
    </xf>
    <xf numFmtId="193" fontId="39" fillId="0" borderId="10" xfId="0" applyNumberFormat="1" applyFont="1" applyFill="1" applyBorder="1" applyAlignment="1">
      <alignment vertical="center"/>
    </xf>
    <xf numFmtId="193" fontId="39" fillId="0" borderId="10" xfId="0" applyNumberFormat="1" applyFont="1" applyFill="1" applyBorder="1" applyAlignment="1" applyProtection="1">
      <alignment vertical="center"/>
      <protection/>
    </xf>
    <xf numFmtId="0" fontId="31" fillId="37" borderId="38" xfId="0" applyFont="1" applyFill="1" applyBorder="1" applyAlignment="1">
      <alignment/>
    </xf>
    <xf numFmtId="0" fontId="31" fillId="38" borderId="38" xfId="0" applyFont="1" applyFill="1" applyBorder="1" applyAlignment="1">
      <alignment/>
    </xf>
    <xf numFmtId="0" fontId="31" fillId="39" borderId="38" xfId="0" applyFont="1" applyFill="1" applyBorder="1" applyAlignment="1">
      <alignment/>
    </xf>
    <xf numFmtId="0" fontId="31" fillId="40" borderId="38" xfId="0" applyFont="1" applyFill="1" applyBorder="1" applyAlignment="1">
      <alignment/>
    </xf>
    <xf numFmtId="3" fontId="31" fillId="36" borderId="38" xfId="0" applyNumberFormat="1" applyFont="1" applyFill="1" applyBorder="1" applyAlignment="1">
      <alignment horizontal="right"/>
    </xf>
    <xf numFmtId="184" fontId="13" fillId="0" borderId="22" xfId="0" applyNumberFormat="1" applyFont="1" applyFill="1" applyBorder="1" applyAlignment="1" applyProtection="1">
      <alignment horizontal="center" vertical="center"/>
      <protection locked="0"/>
    </xf>
    <xf numFmtId="184" fontId="13" fillId="0" borderId="25" xfId="0" applyNumberFormat="1" applyFont="1" applyFill="1" applyBorder="1" applyAlignment="1">
      <alignment horizontal="center" vertical="center"/>
    </xf>
    <xf numFmtId="193" fontId="39" fillId="0" borderId="25" xfId="0" applyNumberFormat="1" applyFont="1" applyFill="1" applyBorder="1" applyAlignment="1">
      <alignment vertical="center"/>
    </xf>
    <xf numFmtId="193" fontId="39" fillId="0" borderId="10" xfId="42" applyNumberFormat="1" applyFont="1" applyFill="1" applyBorder="1" applyAlignment="1" applyProtection="1">
      <alignment vertical="center"/>
      <protection/>
    </xf>
    <xf numFmtId="193" fontId="0" fillId="0" borderId="0" xfId="0" applyNumberFormat="1" applyAlignment="1">
      <alignment/>
    </xf>
    <xf numFmtId="2" fontId="0" fillId="0" borderId="0" xfId="0" applyNumberFormat="1" applyAlignment="1">
      <alignment/>
    </xf>
    <xf numFmtId="3" fontId="25" fillId="0" borderId="0" xfId="0" applyNumberFormat="1" applyFont="1" applyFill="1" applyBorder="1" applyAlignment="1">
      <alignment horizontal="center" vertical="center"/>
    </xf>
    <xf numFmtId="3" fontId="37" fillId="0" borderId="0" xfId="0" applyNumberFormat="1" applyFont="1" applyFill="1" applyBorder="1" applyAlignment="1">
      <alignment horizontal="center" vertical="center"/>
    </xf>
    <xf numFmtId="3" fontId="0" fillId="0" borderId="0" xfId="0" applyNumberFormat="1" applyFill="1" applyBorder="1" applyAlignment="1">
      <alignment vertical="center"/>
    </xf>
    <xf numFmtId="3" fontId="13" fillId="0" borderId="0" xfId="0" applyNumberFormat="1" applyFont="1" applyBorder="1" applyAlignment="1">
      <alignment vertical="center"/>
    </xf>
    <xf numFmtId="3" fontId="13" fillId="0" borderId="0" xfId="0" applyNumberFormat="1" applyFont="1" applyBorder="1" applyAlignment="1">
      <alignment horizontal="center" vertical="center"/>
    </xf>
    <xf numFmtId="3" fontId="0" fillId="0" borderId="0" xfId="0" applyNumberFormat="1" applyBorder="1" applyAlignment="1">
      <alignment horizontal="center" vertical="center"/>
    </xf>
    <xf numFmtId="3" fontId="0" fillId="0" borderId="0" xfId="0" applyNumberFormat="1" applyBorder="1" applyAlignment="1">
      <alignment vertical="center"/>
    </xf>
    <xf numFmtId="4" fontId="25" fillId="0" borderId="0" xfId="0" applyNumberFormat="1" applyFont="1" applyFill="1" applyBorder="1" applyAlignment="1">
      <alignment horizontal="center" vertical="center"/>
    </xf>
    <xf numFmtId="4" fontId="37" fillId="0" borderId="0" xfId="0" applyNumberFormat="1" applyFont="1" applyFill="1" applyBorder="1" applyAlignment="1">
      <alignment horizontal="center" vertical="center"/>
    </xf>
    <xf numFmtId="4" fontId="0" fillId="0" borderId="0" xfId="0" applyNumberFormat="1" applyFill="1" applyBorder="1" applyAlignment="1">
      <alignment vertical="center"/>
    </xf>
    <xf numFmtId="4" fontId="13" fillId="0" borderId="0" xfId="0" applyNumberFormat="1" applyFont="1" applyBorder="1" applyAlignment="1">
      <alignment vertical="center"/>
    </xf>
    <xf numFmtId="4" fontId="13" fillId="0" borderId="0" xfId="0" applyNumberFormat="1" applyFont="1" applyBorder="1" applyAlignment="1">
      <alignment horizontal="center" vertical="center"/>
    </xf>
    <xf numFmtId="4" fontId="0" fillId="0" borderId="0" xfId="0" applyNumberFormat="1" applyBorder="1" applyAlignment="1">
      <alignment horizontal="center" vertical="center"/>
    </xf>
    <xf numFmtId="4" fontId="0" fillId="0" borderId="0" xfId="0" applyNumberFormat="1" applyBorder="1" applyAlignment="1">
      <alignment vertical="center"/>
    </xf>
    <xf numFmtId="4" fontId="39" fillId="0" borderId="0" xfId="0" applyNumberFormat="1" applyFont="1" applyBorder="1" applyAlignment="1">
      <alignment vertical="center"/>
    </xf>
    <xf numFmtId="3" fontId="39" fillId="0" borderId="0" xfId="0" applyNumberFormat="1" applyFont="1" applyBorder="1" applyAlignment="1">
      <alignment vertical="center"/>
    </xf>
    <xf numFmtId="4" fontId="46" fillId="0" borderId="0" xfId="0" applyNumberFormat="1" applyFont="1" applyBorder="1" applyAlignment="1">
      <alignment vertical="center"/>
    </xf>
    <xf numFmtId="3" fontId="46" fillId="0" borderId="0" xfId="0" applyNumberFormat="1" applyFont="1" applyBorder="1" applyAlignment="1">
      <alignment vertical="center"/>
    </xf>
    <xf numFmtId="184" fontId="30" fillId="0" borderId="10" xfId="0" applyNumberFormat="1" applyFont="1" applyFill="1" applyBorder="1" applyAlignment="1">
      <alignment horizontal="center" vertical="center"/>
    </xf>
    <xf numFmtId="184" fontId="30" fillId="0" borderId="10" xfId="0" applyNumberFormat="1" applyFont="1" applyFill="1" applyBorder="1" applyAlignment="1" applyProtection="1">
      <alignment horizontal="center" vertical="center"/>
      <protection locked="0"/>
    </xf>
    <xf numFmtId="197" fontId="30" fillId="0" borderId="10" xfId="0" applyNumberFormat="1" applyFont="1" applyFill="1" applyBorder="1" applyAlignment="1">
      <alignment horizontal="center" vertical="center"/>
    </xf>
    <xf numFmtId="184" fontId="30" fillId="0" borderId="10" xfId="57" applyNumberFormat="1" applyFont="1" applyFill="1" applyBorder="1" applyAlignment="1">
      <alignment horizontal="center" vertical="center"/>
      <protection/>
    </xf>
    <xf numFmtId="184" fontId="30" fillId="0" borderId="10" xfId="0" applyNumberFormat="1" applyFont="1" applyFill="1" applyBorder="1" applyAlignment="1" applyProtection="1">
      <alignment horizontal="center" vertical="center"/>
      <protection/>
    </xf>
    <xf numFmtId="184" fontId="30" fillId="0" borderId="10" xfId="0" applyNumberFormat="1" applyFont="1" applyFill="1" applyBorder="1" applyAlignment="1">
      <alignment horizontal="center"/>
    </xf>
    <xf numFmtId="4" fontId="17" fillId="0" borderId="0" xfId="0" applyNumberFormat="1" applyFont="1" applyFill="1" applyBorder="1" applyAlignment="1">
      <alignment vertical="center"/>
    </xf>
    <xf numFmtId="3" fontId="17" fillId="0" borderId="0" xfId="0" applyNumberFormat="1" applyFont="1" applyFill="1" applyBorder="1" applyAlignment="1">
      <alignment vertical="center"/>
    </xf>
    <xf numFmtId="192" fontId="13" fillId="0" borderId="35" xfId="42" applyNumberFormat="1" applyFont="1" applyFill="1" applyBorder="1" applyAlignment="1" applyProtection="1">
      <alignment vertical="center"/>
      <protection/>
    </xf>
    <xf numFmtId="0" fontId="30" fillId="0" borderId="15" xfId="0" applyFont="1" applyFill="1" applyBorder="1" applyAlignment="1">
      <alignment horizontal="left" vertical="center"/>
    </xf>
    <xf numFmtId="0" fontId="30" fillId="0" borderId="15" xfId="0" applyFont="1" applyFill="1" applyBorder="1" applyAlignment="1" applyProtection="1">
      <alignment horizontal="left" vertical="center"/>
      <protection locked="0"/>
    </xf>
    <xf numFmtId="49" fontId="30" fillId="0" borderId="15" xfId="0" applyNumberFormat="1" applyFont="1" applyFill="1" applyBorder="1" applyAlignment="1" applyProtection="1">
      <alignment horizontal="left" vertical="center"/>
      <protection locked="0"/>
    </xf>
    <xf numFmtId="0" fontId="30" fillId="0" borderId="15" xfId="0" applyFont="1" applyFill="1" applyBorder="1" applyAlignment="1" applyProtection="1">
      <alignment vertical="center"/>
      <protection locked="0"/>
    </xf>
    <xf numFmtId="0" fontId="30" fillId="0" borderId="15" xfId="0" applyNumberFormat="1" applyFont="1" applyFill="1" applyBorder="1" applyAlignment="1">
      <alignment horizontal="left" vertical="center"/>
    </xf>
    <xf numFmtId="49" fontId="30" fillId="0" borderId="15" xfId="0" applyNumberFormat="1" applyFont="1" applyFill="1" applyBorder="1" applyAlignment="1" applyProtection="1">
      <alignment vertical="center"/>
      <protection locked="0"/>
    </xf>
    <xf numFmtId="0" fontId="30" fillId="0" borderId="15" xfId="0" applyFont="1" applyFill="1" applyBorder="1" applyAlignment="1" applyProtection="1">
      <alignment horizontal="left" vertical="center"/>
      <protection/>
    </xf>
    <xf numFmtId="0" fontId="30" fillId="0" borderId="15" xfId="0" applyNumberFormat="1" applyFont="1" applyFill="1" applyBorder="1" applyAlignment="1" applyProtection="1">
      <alignment horizontal="left" vertical="center"/>
      <protection locked="0"/>
    </xf>
    <xf numFmtId="49" fontId="30" fillId="0" borderId="15" xfId="0" applyNumberFormat="1" applyFont="1" applyFill="1" applyBorder="1" applyAlignment="1">
      <alignment vertical="center"/>
    </xf>
    <xf numFmtId="49" fontId="30" fillId="0" borderId="15" xfId="0" applyNumberFormat="1" applyFont="1" applyFill="1" applyBorder="1" applyAlignment="1">
      <alignment horizontal="left" vertical="center"/>
    </xf>
    <xf numFmtId="0" fontId="30" fillId="0" borderId="15" xfId="0" applyFont="1" applyFill="1" applyBorder="1" applyAlignment="1">
      <alignment vertical="center"/>
    </xf>
    <xf numFmtId="0" fontId="30" fillId="0" borderId="15" xfId="57" applyNumberFormat="1" applyFont="1" applyFill="1" applyBorder="1" applyAlignment="1">
      <alignment horizontal="left" vertical="center"/>
      <protection/>
    </xf>
    <xf numFmtId="0" fontId="30" fillId="0" borderId="15" xfId="0" applyFont="1" applyFill="1" applyBorder="1" applyAlignment="1" applyProtection="1">
      <alignment vertical="center"/>
      <protection/>
    </xf>
    <xf numFmtId="0" fontId="30" fillId="0" borderId="15" xfId="0" applyFont="1" applyFill="1" applyBorder="1" applyAlignment="1">
      <alignment horizontal="left"/>
    </xf>
    <xf numFmtId="0" fontId="30" fillId="0" borderId="15" xfId="0" applyNumberFormat="1" applyFont="1" applyFill="1" applyBorder="1" applyAlignment="1" applyProtection="1">
      <alignment horizontal="left" vertical="center"/>
      <protection/>
    </xf>
    <xf numFmtId="200" fontId="10" fillId="0" borderId="0" xfId="0" applyNumberFormat="1" applyFont="1" applyFill="1" applyBorder="1" applyAlignment="1" applyProtection="1">
      <alignment vertical="center"/>
      <protection locked="0"/>
    </xf>
    <xf numFmtId="193" fontId="10" fillId="0" borderId="0" xfId="0" applyNumberFormat="1" applyFont="1" applyFill="1" applyBorder="1" applyAlignment="1" applyProtection="1">
      <alignment vertical="center"/>
      <protection locked="0"/>
    </xf>
    <xf numFmtId="0" fontId="22" fillId="0" borderId="46" xfId="0" applyFont="1" applyFill="1" applyBorder="1" applyAlignment="1" applyProtection="1">
      <alignment horizontal="right" vertical="center"/>
      <protection/>
    </xf>
    <xf numFmtId="0" fontId="22" fillId="0" borderId="42" xfId="0" applyFont="1" applyFill="1" applyBorder="1" applyAlignment="1" applyProtection="1">
      <alignment horizontal="right" vertical="center"/>
      <protection/>
    </xf>
    <xf numFmtId="0" fontId="13" fillId="0" borderId="10" xfId="57" applyNumberFormat="1" applyFont="1" applyFill="1" applyBorder="1" applyAlignment="1" applyProtection="1">
      <alignment horizontal="center" vertical="center"/>
      <protection locked="0"/>
    </xf>
    <xf numFmtId="184" fontId="13" fillId="0" borderId="13" xfId="0" applyNumberFormat="1" applyFont="1" applyFill="1" applyBorder="1" applyAlignment="1">
      <alignment horizontal="center" vertical="center"/>
    </xf>
    <xf numFmtId="192" fontId="13" fillId="0" borderId="11" xfId="0" applyNumberFormat="1" applyFont="1" applyFill="1" applyBorder="1" applyAlignment="1">
      <alignment horizontal="right" vertical="center"/>
    </xf>
    <xf numFmtId="200" fontId="19" fillId="0" borderId="0" xfId="0" applyNumberFormat="1" applyFont="1" applyFill="1" applyBorder="1" applyAlignment="1" applyProtection="1">
      <alignment horizontal="right" vertical="center"/>
      <protection/>
    </xf>
    <xf numFmtId="200" fontId="25" fillId="0" borderId="29" xfId="0" applyNumberFormat="1" applyFont="1" applyFill="1" applyBorder="1" applyAlignment="1" applyProtection="1">
      <alignment horizontal="center" wrapText="1"/>
      <protection/>
    </xf>
    <xf numFmtId="200" fontId="15" fillId="33" borderId="22" xfId="0" applyNumberFormat="1" applyFont="1" applyFill="1" applyBorder="1" applyAlignment="1">
      <alignment horizontal="right" vertical="center"/>
    </xf>
    <xf numFmtId="200" fontId="15" fillId="33" borderId="10" xfId="0" applyNumberFormat="1" applyFont="1" applyFill="1" applyBorder="1" applyAlignment="1">
      <alignment horizontal="right" vertical="center"/>
    </xf>
    <xf numFmtId="200" fontId="20" fillId="0" borderId="0" xfId="0" applyNumberFormat="1" applyFont="1" applyFill="1" applyBorder="1" applyAlignment="1" applyProtection="1">
      <alignment horizontal="right" vertical="center"/>
      <protection locked="0"/>
    </xf>
    <xf numFmtId="200" fontId="11" fillId="0" borderId="0" xfId="0" applyNumberFormat="1" applyFont="1" applyAlignment="1">
      <alignment horizontal="right" vertical="center"/>
    </xf>
    <xf numFmtId="200" fontId="21" fillId="0" borderId="0" xfId="0" applyNumberFormat="1" applyFont="1" applyFill="1" applyBorder="1" applyAlignment="1" applyProtection="1">
      <alignment horizontal="right" vertical="center"/>
      <protection locked="0"/>
    </xf>
    <xf numFmtId="200" fontId="4" fillId="0" borderId="0" xfId="0" applyNumberFormat="1" applyFont="1" applyFill="1" applyBorder="1" applyAlignment="1" applyProtection="1">
      <alignment horizontal="right" vertical="center"/>
      <protection/>
    </xf>
    <xf numFmtId="200" fontId="16" fillId="33" borderId="22" xfId="0" applyNumberFormat="1" applyFont="1" applyFill="1" applyBorder="1" applyAlignment="1">
      <alignment horizontal="right" vertical="center"/>
    </xf>
    <xf numFmtId="200" fontId="16" fillId="33" borderId="10" xfId="0" applyNumberFormat="1" applyFont="1" applyFill="1" applyBorder="1" applyAlignment="1">
      <alignment horizontal="right" vertical="center"/>
    </xf>
    <xf numFmtId="200" fontId="10" fillId="0" borderId="0" xfId="42" applyNumberFormat="1" applyFont="1" applyFill="1" applyBorder="1" applyAlignment="1" applyProtection="1">
      <alignment horizontal="right" vertical="center"/>
      <protection/>
    </xf>
    <xf numFmtId="200" fontId="0" fillId="0" borderId="0" xfId="0" applyNumberFormat="1" applyAlignment="1">
      <alignment horizontal="right" vertical="center"/>
    </xf>
    <xf numFmtId="200" fontId="6" fillId="0" borderId="0" xfId="0" applyNumberFormat="1" applyFont="1" applyFill="1" applyBorder="1" applyAlignment="1" applyProtection="1">
      <alignment horizontal="right" vertical="center"/>
      <protection locked="0"/>
    </xf>
    <xf numFmtId="193" fontId="11" fillId="0" borderId="0" xfId="0" applyNumberFormat="1" applyFont="1" applyAlignment="1">
      <alignment horizontal="right" vertical="center"/>
    </xf>
    <xf numFmtId="193" fontId="0" fillId="0" borderId="0" xfId="0" applyNumberFormat="1" applyAlignment="1">
      <alignment horizontal="right" vertical="center"/>
    </xf>
    <xf numFmtId="192" fontId="30" fillId="0" borderId="11" xfId="0" applyNumberFormat="1" applyFont="1" applyFill="1" applyBorder="1" applyAlignment="1" applyProtection="1">
      <alignment horizontal="center" vertical="center"/>
      <protection locked="0"/>
    </xf>
    <xf numFmtId="192" fontId="30" fillId="0" borderId="35" xfId="0" applyNumberFormat="1" applyFont="1" applyFill="1" applyBorder="1" applyAlignment="1" applyProtection="1">
      <alignment horizontal="center" vertical="center"/>
      <protection locked="0"/>
    </xf>
    <xf numFmtId="0" fontId="0" fillId="0" borderId="0" xfId="0" applyAlignment="1">
      <alignment horizontal="center" vertical="center"/>
    </xf>
    <xf numFmtId="192" fontId="0" fillId="0" borderId="0" xfId="0" applyNumberFormat="1" applyAlignment="1">
      <alignment horizontal="right" vertical="center"/>
    </xf>
    <xf numFmtId="192" fontId="16" fillId="33" borderId="22" xfId="0" applyNumberFormat="1" applyFont="1" applyFill="1" applyBorder="1" applyAlignment="1">
      <alignment horizontal="right" vertical="center"/>
    </xf>
    <xf numFmtId="192" fontId="16" fillId="33" borderId="10" xfId="0" applyNumberFormat="1" applyFont="1" applyFill="1" applyBorder="1" applyAlignment="1">
      <alignment horizontal="right" vertical="center"/>
    </xf>
    <xf numFmtId="0" fontId="41" fillId="0" borderId="0" xfId="0" applyFont="1" applyFill="1" applyBorder="1" applyAlignment="1" applyProtection="1">
      <alignment horizontal="center" vertical="center" wrapText="1"/>
      <protection locked="0"/>
    </xf>
    <xf numFmtId="193" fontId="13" fillId="0" borderId="10" xfId="42" applyNumberFormat="1" applyFont="1" applyFill="1" applyBorder="1" applyAlignment="1" applyProtection="1">
      <alignment vertical="center"/>
      <protection locked="0"/>
    </xf>
    <xf numFmtId="193" fontId="13" fillId="0" borderId="10" xfId="42" applyNumberFormat="1" applyFont="1" applyFill="1" applyBorder="1" applyAlignment="1" applyProtection="1">
      <alignment vertical="center"/>
      <protection/>
    </xf>
    <xf numFmtId="49" fontId="13" fillId="0" borderId="10" xfId="0" applyNumberFormat="1" applyFont="1" applyFill="1" applyBorder="1" applyAlignment="1">
      <alignment horizontal="center" vertical="center"/>
    </xf>
    <xf numFmtId="192" fontId="13" fillId="0" borderId="10" xfId="42" applyNumberFormat="1" applyFont="1" applyFill="1" applyBorder="1" applyAlignment="1" applyProtection="1">
      <alignment vertical="center"/>
      <protection/>
    </xf>
    <xf numFmtId="193" fontId="13" fillId="0" borderId="10" xfId="0" applyNumberFormat="1" applyFont="1" applyFill="1" applyBorder="1" applyAlignment="1">
      <alignment vertical="center"/>
    </xf>
    <xf numFmtId="193" fontId="13" fillId="0" borderId="10" xfId="60" applyNumberFormat="1" applyFont="1" applyFill="1" applyBorder="1" applyAlignment="1" applyProtection="1">
      <alignment vertical="center"/>
      <protection/>
    </xf>
    <xf numFmtId="192" fontId="13" fillId="0" borderId="10" xfId="60" applyNumberFormat="1" applyFont="1" applyFill="1" applyBorder="1" applyAlignment="1" applyProtection="1">
      <alignment vertical="center"/>
      <protection/>
    </xf>
    <xf numFmtId="0" fontId="13" fillId="0" borderId="10" xfId="0" applyFont="1" applyFill="1" applyBorder="1" applyAlignment="1" applyProtection="1">
      <alignment horizontal="center" vertical="center"/>
      <protection/>
    </xf>
    <xf numFmtId="193" fontId="13" fillId="0" borderId="10" xfId="0" applyNumberFormat="1" applyFont="1" applyFill="1" applyBorder="1" applyAlignment="1" applyProtection="1">
      <alignment vertical="center"/>
      <protection/>
    </xf>
    <xf numFmtId="193" fontId="13" fillId="0" borderId="36" xfId="42" applyNumberFormat="1" applyFont="1" applyFill="1" applyBorder="1" applyAlignment="1" applyProtection="1">
      <alignment vertical="center"/>
      <protection/>
    </xf>
    <xf numFmtId="192" fontId="13" fillId="0" borderId="36" xfId="42" applyNumberFormat="1" applyFont="1" applyFill="1" applyBorder="1" applyAlignment="1" applyProtection="1">
      <alignment vertical="center"/>
      <protection/>
    </xf>
    <xf numFmtId="193" fontId="13" fillId="0" borderId="13" xfId="0" applyNumberFormat="1" applyFont="1" applyFill="1" applyBorder="1" applyAlignment="1">
      <alignment vertical="center"/>
    </xf>
    <xf numFmtId="0" fontId="13" fillId="0" borderId="47" xfId="0" applyFont="1" applyFill="1" applyBorder="1" applyAlignment="1" applyProtection="1">
      <alignment horizontal="left" vertical="center"/>
      <protection locked="0"/>
    </xf>
    <xf numFmtId="184" fontId="13" fillId="0" borderId="22" xfId="0" applyNumberFormat="1" applyFont="1" applyFill="1" applyBorder="1" applyAlignment="1" applyProtection="1">
      <alignment horizontal="left" vertical="center"/>
      <protection locked="0"/>
    </xf>
    <xf numFmtId="0" fontId="13" fillId="0" borderId="22" xfId="0" applyFont="1" applyFill="1" applyBorder="1" applyAlignment="1" applyProtection="1">
      <alignment horizontal="left" vertical="center"/>
      <protection locked="0"/>
    </xf>
    <xf numFmtId="0" fontId="13" fillId="0" borderId="22" xfId="0" applyFont="1" applyFill="1" applyBorder="1" applyAlignment="1" applyProtection="1">
      <alignment horizontal="center" vertical="center"/>
      <protection locked="0"/>
    </xf>
    <xf numFmtId="193" fontId="13" fillId="0" borderId="25" xfId="0" applyNumberFormat="1" applyFont="1" applyFill="1" applyBorder="1" applyAlignment="1">
      <alignment vertical="center"/>
    </xf>
    <xf numFmtId="4" fontId="30" fillId="0" borderId="10" xfId="0" applyNumberFormat="1" applyFont="1" applyFill="1" applyBorder="1" applyAlignment="1">
      <alignment horizontal="center" vertical="center"/>
    </xf>
    <xf numFmtId="4" fontId="30" fillId="0" borderId="10" xfId="0" applyNumberFormat="1" applyFont="1" applyFill="1" applyBorder="1" applyAlignment="1" applyProtection="1">
      <alignment horizontal="center" vertical="center"/>
      <protection locked="0"/>
    </xf>
    <xf numFmtId="4" fontId="30" fillId="0" borderId="10" xfId="0" applyNumberFormat="1" applyFont="1" applyFill="1" applyBorder="1" applyAlignment="1" applyProtection="1">
      <alignment horizontal="center" vertical="center"/>
      <protection/>
    </xf>
    <xf numFmtId="4" fontId="30" fillId="0" borderId="10" xfId="57" applyNumberFormat="1" applyFont="1" applyFill="1" applyBorder="1" applyAlignment="1">
      <alignment horizontal="center" vertical="center"/>
      <protection/>
    </xf>
    <xf numFmtId="4" fontId="30" fillId="0" borderId="10" xfId="0" applyNumberFormat="1" applyFont="1" applyFill="1" applyBorder="1" applyAlignment="1">
      <alignment horizontal="center"/>
    </xf>
    <xf numFmtId="4" fontId="13" fillId="0" borderId="0" xfId="0" applyNumberFormat="1" applyFont="1" applyFill="1" applyBorder="1" applyAlignment="1">
      <alignment horizontal="center" vertical="center"/>
    </xf>
    <xf numFmtId="3" fontId="30" fillId="0" borderId="10" xfId="0" applyNumberFormat="1" applyFont="1" applyFill="1" applyBorder="1" applyAlignment="1">
      <alignment horizontal="center" vertical="center"/>
    </xf>
    <xf numFmtId="3" fontId="30" fillId="0" borderId="10" xfId="0" applyNumberFormat="1" applyFont="1" applyFill="1" applyBorder="1" applyAlignment="1" applyProtection="1">
      <alignment horizontal="center" vertical="center"/>
      <protection locked="0"/>
    </xf>
    <xf numFmtId="3" fontId="30" fillId="0" borderId="10" xfId="0" applyNumberFormat="1" applyFont="1" applyFill="1" applyBorder="1" applyAlignment="1" applyProtection="1">
      <alignment horizontal="center" vertical="center"/>
      <protection/>
    </xf>
    <xf numFmtId="3" fontId="30" fillId="0" borderId="10" xfId="57" applyNumberFormat="1" applyFont="1" applyFill="1" applyBorder="1" applyAlignment="1">
      <alignment horizontal="center" vertical="center"/>
      <protection/>
    </xf>
    <xf numFmtId="3" fontId="30" fillId="0" borderId="10" xfId="0" applyNumberFormat="1" applyFont="1" applyFill="1" applyBorder="1" applyAlignment="1">
      <alignment horizontal="center"/>
    </xf>
    <xf numFmtId="3" fontId="13" fillId="0" borderId="0" xfId="0" applyNumberFormat="1" applyFont="1" applyFill="1" applyBorder="1" applyAlignment="1">
      <alignment horizontal="center" vertical="center"/>
    </xf>
    <xf numFmtId="49" fontId="13" fillId="0" borderId="34" xfId="0" applyNumberFormat="1" applyFont="1" applyFill="1" applyBorder="1" applyAlignment="1" applyProtection="1">
      <alignment horizontal="left" vertical="center"/>
      <protection locked="0"/>
    </xf>
    <xf numFmtId="49" fontId="13" fillId="0" borderId="13" xfId="0" applyNumberFormat="1" applyFont="1" applyFill="1" applyBorder="1" applyAlignment="1" applyProtection="1">
      <alignment horizontal="left" vertical="center"/>
      <protection locked="0"/>
    </xf>
    <xf numFmtId="49" fontId="13" fillId="0" borderId="13" xfId="0" applyNumberFormat="1" applyFont="1" applyFill="1" applyBorder="1" applyAlignment="1" applyProtection="1">
      <alignment horizontal="center" vertical="center"/>
      <protection locked="0"/>
    </xf>
    <xf numFmtId="200" fontId="13" fillId="0" borderId="10" xfId="0" applyNumberFormat="1" applyFont="1" applyFill="1" applyBorder="1" applyAlignment="1">
      <alignment vertical="center"/>
    </xf>
    <xf numFmtId="200" fontId="13" fillId="0" borderId="10" xfId="42" applyNumberFormat="1" applyFont="1" applyFill="1" applyBorder="1" applyAlignment="1" applyProtection="1">
      <alignment vertical="center"/>
      <protection locked="0"/>
    </xf>
    <xf numFmtId="200" fontId="13" fillId="0" borderId="10" xfId="42" applyNumberFormat="1" applyFont="1" applyFill="1" applyBorder="1" applyAlignment="1" applyProtection="1">
      <alignment vertical="center"/>
      <protection/>
    </xf>
    <xf numFmtId="200" fontId="13" fillId="0" borderId="10" xfId="0" applyNumberFormat="1" applyFont="1" applyFill="1" applyBorder="1" applyAlignment="1" applyProtection="1">
      <alignment vertical="center"/>
      <protection/>
    </xf>
    <xf numFmtId="200" fontId="13" fillId="0" borderId="10" xfId="57" applyNumberFormat="1" applyFont="1" applyFill="1" applyBorder="1" applyAlignment="1">
      <alignment vertical="center"/>
      <protection/>
    </xf>
    <xf numFmtId="192" fontId="13" fillId="0" borderId="37" xfId="0" applyNumberFormat="1" applyFont="1" applyFill="1" applyBorder="1" applyAlignment="1" applyProtection="1">
      <alignment vertical="center"/>
      <protection/>
    </xf>
    <xf numFmtId="200" fontId="13" fillId="0" borderId="13" xfId="0" applyNumberFormat="1" applyFont="1" applyFill="1" applyBorder="1" applyAlignment="1">
      <alignment vertical="center"/>
    </xf>
    <xf numFmtId="192" fontId="13" fillId="0" borderId="35" xfId="0" applyNumberFormat="1" applyFont="1" applyFill="1" applyBorder="1" applyAlignment="1" applyProtection="1">
      <alignment vertical="center"/>
      <protection/>
    </xf>
    <xf numFmtId="184" fontId="13" fillId="0" borderId="22" xfId="0" applyNumberFormat="1" applyFont="1" applyFill="1" applyBorder="1" applyAlignment="1">
      <alignment horizontal="center" vertical="center"/>
    </xf>
    <xf numFmtId="200" fontId="13" fillId="0" borderId="22" xfId="0" applyNumberFormat="1" applyFont="1" applyFill="1" applyBorder="1" applyAlignment="1">
      <alignment vertical="center"/>
    </xf>
    <xf numFmtId="193" fontId="13" fillId="0" borderId="22" xfId="0" applyNumberFormat="1" applyFont="1" applyFill="1" applyBorder="1" applyAlignment="1">
      <alignment vertical="center"/>
    </xf>
    <xf numFmtId="200" fontId="39" fillId="0" borderId="25" xfId="0" applyNumberFormat="1" applyFont="1" applyFill="1" applyBorder="1" applyAlignment="1">
      <alignment vertical="center"/>
    </xf>
    <xf numFmtId="200" fontId="13" fillId="0" borderId="25" xfId="0" applyNumberFormat="1" applyFont="1" applyFill="1" applyBorder="1" applyAlignment="1">
      <alignment vertical="center"/>
    </xf>
    <xf numFmtId="193" fontId="39" fillId="0" borderId="10" xfId="42" applyNumberFormat="1" applyFont="1" applyFill="1" applyBorder="1" applyAlignment="1" applyProtection="1">
      <alignment horizontal="right" vertical="center"/>
      <protection locked="0"/>
    </xf>
    <xf numFmtId="193" fontId="39" fillId="0" borderId="10" xfId="0" applyNumberFormat="1" applyFont="1" applyFill="1" applyBorder="1" applyAlignment="1" applyProtection="1">
      <alignment horizontal="right" vertical="center"/>
      <protection/>
    </xf>
    <xf numFmtId="193" fontId="39" fillId="0" borderId="13" xfId="42" applyNumberFormat="1" applyFont="1" applyFill="1" applyBorder="1" applyAlignment="1" applyProtection="1">
      <alignment horizontal="right" vertical="center"/>
      <protection locked="0"/>
    </xf>
    <xf numFmtId="193" fontId="39" fillId="0" borderId="22" xfId="42" applyNumberFormat="1" applyFont="1" applyFill="1" applyBorder="1" applyAlignment="1" applyProtection="1">
      <alignment horizontal="right" vertical="center"/>
      <protection locked="0"/>
    </xf>
    <xf numFmtId="193" fontId="13" fillId="0" borderId="10" xfId="57" applyNumberFormat="1" applyFont="1" applyFill="1" applyBorder="1" applyAlignment="1">
      <alignment vertical="center"/>
      <protection/>
    </xf>
    <xf numFmtId="192" fontId="13" fillId="0" borderId="10" xfId="57" applyNumberFormat="1" applyFont="1" applyFill="1" applyBorder="1" applyAlignment="1">
      <alignment vertical="center"/>
      <protection/>
    </xf>
    <xf numFmtId="192" fontId="13" fillId="0" borderId="10" xfId="0" applyNumberFormat="1" applyFont="1" applyFill="1" applyBorder="1" applyAlignment="1">
      <alignment vertical="center"/>
    </xf>
    <xf numFmtId="0" fontId="13" fillId="0" borderId="45" xfId="0" applyNumberFormat="1" applyFont="1" applyFill="1" applyBorder="1" applyAlignment="1" applyProtection="1">
      <alignment horizontal="left" vertical="center"/>
      <protection locked="0"/>
    </xf>
    <xf numFmtId="184" fontId="13" fillId="0" borderId="36" xfId="0" applyNumberFormat="1" applyFont="1" applyFill="1" applyBorder="1" applyAlignment="1" applyProtection="1">
      <alignment horizontal="center" vertical="center"/>
      <protection locked="0"/>
    </xf>
    <xf numFmtId="0" fontId="13" fillId="0" borderId="36" xfId="0" applyNumberFormat="1" applyFont="1" applyFill="1" applyBorder="1" applyAlignment="1" applyProtection="1">
      <alignment horizontal="left" vertical="center"/>
      <protection locked="0"/>
    </xf>
    <xf numFmtId="0" fontId="13" fillId="0" borderId="36" xfId="0" applyNumberFormat="1" applyFont="1" applyFill="1" applyBorder="1" applyAlignment="1" applyProtection="1">
      <alignment horizontal="center" vertical="center"/>
      <protection locked="0"/>
    </xf>
    <xf numFmtId="200" fontId="13" fillId="0" borderId="36" xfId="42" applyNumberFormat="1" applyFont="1" applyFill="1" applyBorder="1" applyAlignment="1" applyProtection="1">
      <alignment vertical="center"/>
      <protection locked="0"/>
    </xf>
    <xf numFmtId="193" fontId="13" fillId="0" borderId="36" xfId="42" applyNumberFormat="1" applyFont="1" applyFill="1" applyBorder="1" applyAlignment="1" applyProtection="1">
      <alignment vertical="center"/>
      <protection locked="0"/>
    </xf>
    <xf numFmtId="0" fontId="13" fillId="0" borderId="34" xfId="0" applyNumberFormat="1" applyFont="1" applyFill="1" applyBorder="1" applyAlignment="1">
      <alignment horizontal="left" vertical="center"/>
    </xf>
    <xf numFmtId="0" fontId="13" fillId="0" borderId="13" xfId="0" applyNumberFormat="1" applyFont="1" applyFill="1" applyBorder="1" applyAlignment="1">
      <alignment horizontal="left" vertical="center"/>
    </xf>
    <xf numFmtId="0" fontId="13" fillId="0" borderId="13" xfId="0" applyNumberFormat="1" applyFont="1" applyFill="1" applyBorder="1" applyAlignment="1">
      <alignment horizontal="center" vertical="center"/>
    </xf>
    <xf numFmtId="0" fontId="13" fillId="0" borderId="47" xfId="0" applyNumberFormat="1" applyFont="1" applyFill="1" applyBorder="1" applyAlignment="1">
      <alignment horizontal="left" vertical="center"/>
    </xf>
    <xf numFmtId="0" fontId="13" fillId="0" borderId="22" xfId="0" applyNumberFormat="1" applyFont="1" applyFill="1" applyBorder="1" applyAlignment="1">
      <alignment horizontal="left" vertical="center"/>
    </xf>
    <xf numFmtId="0" fontId="13" fillId="0" borderId="22" xfId="0" applyNumberFormat="1" applyFont="1" applyFill="1" applyBorder="1" applyAlignment="1">
      <alignment horizontal="center" vertical="center"/>
    </xf>
    <xf numFmtId="0" fontId="13" fillId="0" borderId="48" xfId="0" applyNumberFormat="1" applyFont="1" applyFill="1" applyBorder="1" applyAlignment="1">
      <alignment horizontal="left" vertical="center"/>
    </xf>
    <xf numFmtId="0" fontId="13" fillId="0" borderId="25" xfId="0" applyNumberFormat="1" applyFont="1" applyFill="1" applyBorder="1" applyAlignment="1">
      <alignment horizontal="left" vertical="center"/>
    </xf>
    <xf numFmtId="0" fontId="13" fillId="0" borderId="25" xfId="0" applyNumberFormat="1" applyFont="1" applyFill="1" applyBorder="1" applyAlignment="1">
      <alignment horizontal="center" vertical="center"/>
    </xf>
    <xf numFmtId="184" fontId="13" fillId="0" borderId="0" xfId="0" applyNumberFormat="1" applyFont="1" applyFill="1" applyBorder="1" applyAlignment="1">
      <alignment horizontal="center" vertical="center"/>
    </xf>
    <xf numFmtId="0" fontId="13" fillId="0" borderId="0" xfId="0" applyFont="1" applyFill="1" applyBorder="1" applyAlignment="1">
      <alignment horizontal="left" vertical="center"/>
    </xf>
    <xf numFmtId="193" fontId="39" fillId="0" borderId="49" xfId="0" applyNumberFormat="1" applyFont="1" applyFill="1" applyBorder="1" applyAlignment="1">
      <alignment vertical="center"/>
    </xf>
    <xf numFmtId="0" fontId="13" fillId="0" borderId="45" xfId="0" applyNumberFormat="1" applyFont="1" applyFill="1" applyBorder="1" applyAlignment="1">
      <alignment horizontal="left" vertical="center"/>
    </xf>
    <xf numFmtId="0" fontId="13" fillId="0" borderId="36" xfId="0" applyNumberFormat="1" applyFont="1" applyFill="1" applyBorder="1" applyAlignment="1">
      <alignment horizontal="left" vertical="center"/>
    </xf>
    <xf numFmtId="0" fontId="13" fillId="0" borderId="36" xfId="0" applyNumberFormat="1" applyFont="1" applyFill="1" applyBorder="1" applyAlignment="1">
      <alignment horizontal="center" vertical="center"/>
    </xf>
    <xf numFmtId="200" fontId="39" fillId="0" borderId="36" xfId="0" applyNumberFormat="1" applyFont="1" applyFill="1" applyBorder="1" applyAlignment="1">
      <alignment horizontal="right" vertical="center"/>
    </xf>
    <xf numFmtId="200" fontId="39" fillId="0" borderId="13" xfId="42" applyNumberFormat="1" applyFont="1" applyFill="1" applyBorder="1" applyAlignment="1" applyProtection="1">
      <alignment horizontal="right" vertical="center"/>
      <protection locked="0"/>
    </xf>
    <xf numFmtId="200" fontId="39" fillId="0" borderId="22" xfId="42" applyNumberFormat="1" applyFont="1" applyFill="1" applyBorder="1" applyAlignment="1" applyProtection="1">
      <alignment horizontal="right" vertical="center"/>
      <protection locked="0"/>
    </xf>
    <xf numFmtId="192" fontId="13" fillId="0" borderId="26" xfId="0" applyNumberFormat="1" applyFont="1" applyFill="1" applyBorder="1" applyAlignment="1" applyProtection="1">
      <alignment vertical="center"/>
      <protection/>
    </xf>
    <xf numFmtId="187" fontId="11" fillId="0" borderId="0" xfId="0" applyNumberFormat="1" applyFont="1" applyBorder="1" applyAlignment="1">
      <alignment horizontal="right" vertical="center"/>
    </xf>
    <xf numFmtId="193" fontId="11" fillId="0" borderId="0" xfId="0" applyNumberFormat="1" applyFont="1" applyBorder="1" applyAlignment="1">
      <alignment horizontal="right" vertical="center" indent="1"/>
    </xf>
    <xf numFmtId="0" fontId="11" fillId="0" borderId="0" xfId="0" applyFont="1" applyBorder="1" applyAlignment="1">
      <alignment horizontal="right" vertical="center" wrapText="1"/>
    </xf>
    <xf numFmtId="4" fontId="11" fillId="0" borderId="0" xfId="0" applyNumberFormat="1" applyFont="1" applyBorder="1" applyAlignment="1">
      <alignment horizontal="right" vertical="center"/>
    </xf>
    <xf numFmtId="3" fontId="11" fillId="0" borderId="0" xfId="0" applyNumberFormat="1" applyFont="1" applyBorder="1" applyAlignment="1">
      <alignment horizontal="right" vertical="center" indent="1"/>
    </xf>
    <xf numFmtId="4" fontId="47" fillId="0" borderId="0" xfId="0" applyNumberFormat="1" applyFont="1" applyBorder="1" applyAlignment="1">
      <alignment vertical="center"/>
    </xf>
    <xf numFmtId="3" fontId="47" fillId="0" borderId="0" xfId="0" applyNumberFormat="1" applyFont="1" applyBorder="1" applyAlignment="1">
      <alignment vertical="center"/>
    </xf>
    <xf numFmtId="4" fontId="47" fillId="0" borderId="0" xfId="0" applyNumberFormat="1" applyFont="1" applyBorder="1" applyAlignment="1">
      <alignment horizontal="right" vertical="center"/>
    </xf>
    <xf numFmtId="3" fontId="47" fillId="0" borderId="0" xfId="0" applyNumberFormat="1" applyFont="1" applyBorder="1" applyAlignment="1">
      <alignment horizontal="right" vertical="center" indent="1"/>
    </xf>
    <xf numFmtId="4" fontId="11" fillId="0" borderId="0" xfId="0" applyNumberFormat="1" applyFont="1" applyBorder="1" applyAlignment="1">
      <alignment horizontal="right" vertical="center"/>
    </xf>
    <xf numFmtId="3" fontId="11" fillId="0" borderId="0" xfId="0" applyNumberFormat="1" applyFont="1" applyBorder="1" applyAlignment="1">
      <alignment horizontal="right" vertical="center" indent="1"/>
    </xf>
    <xf numFmtId="187" fontId="11" fillId="0" borderId="0" xfId="0" applyNumberFormat="1" applyFont="1" applyBorder="1" applyAlignment="1">
      <alignment horizontal="right" vertical="center"/>
    </xf>
    <xf numFmtId="193" fontId="11" fillId="0" borderId="0" xfId="0" applyNumberFormat="1" applyFont="1" applyBorder="1" applyAlignment="1">
      <alignment horizontal="right" vertical="center" indent="1"/>
    </xf>
    <xf numFmtId="200" fontId="13" fillId="0" borderId="10" xfId="0" applyNumberFormat="1" applyFont="1" applyFill="1" applyBorder="1" applyAlignment="1" applyProtection="1">
      <alignment vertical="center"/>
      <protection locked="0"/>
    </xf>
    <xf numFmtId="193" fontId="13" fillId="0" borderId="10" xfId="0" applyNumberFormat="1" applyFont="1" applyFill="1" applyBorder="1" applyAlignment="1" applyProtection="1">
      <alignment vertical="center"/>
      <protection locked="0"/>
    </xf>
    <xf numFmtId="193" fontId="13" fillId="0" borderId="13" xfId="42" applyNumberFormat="1" applyFont="1" applyFill="1" applyBorder="1" applyAlignment="1" applyProtection="1">
      <alignment vertical="center"/>
      <protection/>
    </xf>
    <xf numFmtId="192" fontId="13" fillId="0" borderId="13" xfId="42" applyNumberFormat="1" applyFont="1" applyFill="1" applyBorder="1" applyAlignment="1" applyProtection="1">
      <alignment vertical="center"/>
      <protection/>
    </xf>
    <xf numFmtId="193" fontId="13" fillId="0" borderId="22" xfId="42" applyNumberFormat="1" applyFont="1" applyFill="1" applyBorder="1" applyAlignment="1" applyProtection="1">
      <alignment vertical="center"/>
      <protection/>
    </xf>
    <xf numFmtId="192" fontId="13" fillId="0" borderId="22" xfId="42" applyNumberFormat="1" applyFont="1" applyFill="1" applyBorder="1" applyAlignment="1" applyProtection="1">
      <alignment vertical="center"/>
      <protection/>
    </xf>
    <xf numFmtId="192" fontId="13" fillId="0" borderId="32" xfId="0" applyNumberFormat="1" applyFont="1" applyFill="1" applyBorder="1" applyAlignment="1" applyProtection="1">
      <alignment vertical="center"/>
      <protection/>
    </xf>
    <xf numFmtId="193" fontId="13" fillId="0" borderId="25" xfId="42" applyNumberFormat="1" applyFont="1" applyFill="1" applyBorder="1" applyAlignment="1" applyProtection="1">
      <alignment vertical="center"/>
      <protection/>
    </xf>
    <xf numFmtId="192" fontId="13" fillId="0" borderId="25" xfId="42" applyNumberFormat="1" applyFont="1" applyFill="1" applyBorder="1" applyAlignment="1" applyProtection="1">
      <alignment vertical="center"/>
      <protection/>
    </xf>
    <xf numFmtId="0" fontId="0" fillId="0" borderId="0" xfId="0" applyFill="1" applyAlignment="1">
      <alignment/>
    </xf>
    <xf numFmtId="0" fontId="13" fillId="0" borderId="30" xfId="0" applyFont="1" applyFill="1" applyBorder="1" applyAlignment="1">
      <alignment horizontal="left" vertical="center"/>
    </xf>
    <xf numFmtId="200" fontId="39" fillId="0" borderId="0" xfId="0" applyNumberFormat="1" applyFont="1" applyFill="1" applyBorder="1" applyAlignment="1">
      <alignment horizontal="right" vertical="center"/>
    </xf>
    <xf numFmtId="193" fontId="13" fillId="0" borderId="11" xfId="0" applyNumberFormat="1" applyFont="1" applyFill="1" applyBorder="1" applyAlignment="1">
      <alignment vertical="center"/>
    </xf>
    <xf numFmtId="193" fontId="13" fillId="0" borderId="11" xfId="0" applyNumberFormat="1" applyFont="1" applyFill="1" applyBorder="1" applyAlignment="1" applyProtection="1">
      <alignment vertical="center"/>
      <protection locked="0"/>
    </xf>
    <xf numFmtId="193" fontId="13" fillId="0" borderId="11" xfId="42" applyNumberFormat="1" applyFont="1" applyFill="1" applyBorder="1" applyAlignment="1" applyProtection="1">
      <alignment vertical="center"/>
      <protection locked="0"/>
    </xf>
    <xf numFmtId="193" fontId="13" fillId="0" borderId="11" xfId="42"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0" fillId="0" borderId="0" xfId="0" applyFont="1" applyAlignment="1">
      <alignment horizontal="right" vertical="center" wrapText="1"/>
    </xf>
    <xf numFmtId="0" fontId="16" fillId="33" borderId="46" xfId="0" applyFont="1" applyFill="1" applyBorder="1" applyAlignment="1">
      <alignment horizontal="right" vertical="center"/>
    </xf>
    <xf numFmtId="0" fontId="37" fillId="0" borderId="21" xfId="0" applyFont="1" applyBorder="1" applyAlignment="1">
      <alignment horizontal="right" vertical="center"/>
    </xf>
    <xf numFmtId="0" fontId="16" fillId="33" borderId="31" xfId="0" applyFont="1" applyFill="1" applyBorder="1" applyAlignment="1">
      <alignment horizontal="right" vertical="center"/>
    </xf>
    <xf numFmtId="0" fontId="0" fillId="0" borderId="15" xfId="0" applyBorder="1" applyAlignment="1">
      <alignment horizontal="right" vertical="center"/>
    </xf>
    <xf numFmtId="184" fontId="28" fillId="0" borderId="36" xfId="0" applyNumberFormat="1" applyFont="1" applyFill="1" applyBorder="1" applyAlignment="1" applyProtection="1">
      <alignment horizontal="center" vertical="center"/>
      <protection locked="0"/>
    </xf>
    <xf numFmtId="0" fontId="29" fillId="0" borderId="36" xfId="0" applyFont="1" applyBorder="1" applyAlignment="1">
      <alignment horizontal="center"/>
    </xf>
    <xf numFmtId="0" fontId="29" fillId="0" borderId="37" xfId="0" applyFont="1" applyBorder="1" applyAlignment="1">
      <alignment horizontal="center"/>
    </xf>
    <xf numFmtId="0" fontId="18" fillId="0" borderId="0" xfId="0" applyFont="1" applyBorder="1" applyAlignment="1" applyProtection="1">
      <alignment horizontal="right" vertical="center" wrapText="1"/>
      <protection locked="0"/>
    </xf>
    <xf numFmtId="184" fontId="28" fillId="0" borderId="0" xfId="0" applyNumberFormat="1" applyFont="1" applyFill="1" applyBorder="1" applyAlignment="1" applyProtection="1">
      <alignment horizontal="center" vertical="center"/>
      <protection locked="0"/>
    </xf>
    <xf numFmtId="0" fontId="34" fillId="0" borderId="0" xfId="0" applyFont="1" applyBorder="1" applyAlignment="1" applyProtection="1">
      <alignment horizontal="right" vertical="center" wrapText="1"/>
      <protection locked="0"/>
    </xf>
    <xf numFmtId="0" fontId="14" fillId="0" borderId="0" xfId="0" applyFont="1" applyBorder="1" applyAlignment="1" applyProtection="1">
      <alignment horizontal="right" vertical="center" wrapText="1"/>
      <protection locked="0"/>
    </xf>
    <xf numFmtId="0" fontId="28" fillId="0" borderId="0" xfId="0" applyFont="1" applyFill="1" applyBorder="1" applyAlignment="1" applyProtection="1">
      <alignment horizontal="center" vertical="center"/>
      <protection locked="0"/>
    </xf>
    <xf numFmtId="0" fontId="40" fillId="33" borderId="0" xfId="0" applyFont="1" applyFill="1" applyBorder="1" applyAlignment="1" applyProtection="1">
      <alignment horizontal="center" vertical="center"/>
      <protection/>
    </xf>
    <xf numFmtId="0" fontId="0" fillId="0" borderId="0" xfId="0" applyAlignment="1">
      <alignment horizontal="center"/>
    </xf>
    <xf numFmtId="181" fontId="25" fillId="0" borderId="12" xfId="0" applyNumberFormat="1" applyFont="1" applyFill="1" applyBorder="1" applyAlignment="1" applyProtection="1">
      <alignment horizontal="center" vertical="center" wrapText="1"/>
      <protection/>
    </xf>
    <xf numFmtId="181" fontId="25" fillId="0" borderId="50"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7" fillId="0" borderId="29" xfId="0" applyFont="1" applyBorder="1" applyAlignment="1">
      <alignment horizontal="center" vertical="center"/>
    </xf>
    <xf numFmtId="171" fontId="25" fillId="0" borderId="12" xfId="42" applyFont="1" applyFill="1" applyBorder="1" applyAlignment="1" applyProtection="1">
      <alignment horizontal="center" vertical="center" wrapText="1"/>
      <protection/>
    </xf>
    <xf numFmtId="0" fontId="25" fillId="0" borderId="12" xfId="0" applyFont="1" applyFill="1" applyBorder="1" applyAlignment="1" applyProtection="1">
      <alignment horizontal="center" vertical="center" wrapText="1"/>
      <protection/>
    </xf>
    <xf numFmtId="0" fontId="25" fillId="0" borderId="51" xfId="0" applyNumberFormat="1" applyFont="1" applyFill="1" applyBorder="1" applyAlignment="1" applyProtection="1">
      <alignment horizontal="center" vertical="center" wrapText="1"/>
      <protection/>
    </xf>
    <xf numFmtId="0" fontId="27" fillId="0" borderId="52" xfId="0" applyFont="1" applyBorder="1" applyAlignment="1">
      <alignment horizontal="center" vertical="center" wrapText="1"/>
    </xf>
    <xf numFmtId="4" fontId="25" fillId="0" borderId="12" xfId="0" applyNumberFormat="1" applyFont="1" applyFill="1" applyBorder="1" applyAlignment="1" applyProtection="1">
      <alignment horizontal="center" vertical="center" wrapText="1"/>
      <protection/>
    </xf>
    <xf numFmtId="184" fontId="25" fillId="0" borderId="12" xfId="0" applyNumberFormat="1" applyFont="1" applyFill="1" applyBorder="1" applyAlignment="1" applyProtection="1">
      <alignment horizontal="center" vertical="center" wrapText="1"/>
      <protection/>
    </xf>
    <xf numFmtId="184" fontId="27" fillId="0" borderId="29" xfId="0" applyNumberFormat="1" applyFont="1" applyBorder="1" applyAlignment="1">
      <alignment horizontal="center" vertical="center"/>
    </xf>
    <xf numFmtId="0" fontId="10" fillId="0" borderId="0" xfId="0" applyFont="1" applyBorder="1" applyAlignment="1">
      <alignment horizontal="right" vertical="center" wrapText="1"/>
    </xf>
    <xf numFmtId="0" fontId="7" fillId="41" borderId="41" xfId="0" applyFont="1" applyFill="1" applyBorder="1" applyAlignment="1">
      <alignment horizontal="center" vertical="center" wrapText="1"/>
    </xf>
    <xf numFmtId="0" fontId="15" fillId="33" borderId="42" xfId="0" applyFont="1" applyFill="1" applyBorder="1" applyAlignment="1">
      <alignment horizontal="center" vertical="center"/>
    </xf>
    <xf numFmtId="0" fontId="15" fillId="33" borderId="21" xfId="0" applyFont="1" applyFill="1" applyBorder="1" applyAlignment="1">
      <alignment horizontal="center" vertical="center"/>
    </xf>
    <xf numFmtId="0" fontId="39" fillId="33" borderId="42" xfId="0" applyFont="1" applyFill="1" applyBorder="1" applyAlignment="1">
      <alignment horizontal="center" vertical="center"/>
    </xf>
    <xf numFmtId="0" fontId="39" fillId="33" borderId="21" xfId="0" applyFont="1" applyFill="1" applyBorder="1" applyAlignment="1">
      <alignment horizontal="center" vertical="center"/>
    </xf>
    <xf numFmtId="0" fontId="25" fillId="0" borderId="51" xfId="0" applyNumberFormat="1" applyFont="1" applyFill="1" applyBorder="1" applyAlignment="1">
      <alignment horizontal="center" vertical="center" wrapText="1"/>
    </xf>
    <xf numFmtId="0" fontId="25" fillId="0" borderId="52" xfId="0" applyNumberFormat="1" applyFont="1" applyFill="1" applyBorder="1" applyAlignment="1">
      <alignment horizontal="center" vertical="center" wrapText="1"/>
    </xf>
    <xf numFmtId="0" fontId="25" fillId="0" borderId="52" xfId="0" applyNumberFormat="1" applyFont="1" applyFill="1" applyBorder="1" applyAlignment="1" applyProtection="1">
      <alignment horizontal="center" vertical="center" wrapText="1"/>
      <protection/>
    </xf>
    <xf numFmtId="0" fontId="25" fillId="0" borderId="53" xfId="0" applyNumberFormat="1" applyFont="1" applyFill="1" applyBorder="1" applyAlignment="1" applyProtection="1">
      <alignment horizontal="center" vertical="center" wrapText="1"/>
      <protection/>
    </xf>
    <xf numFmtId="0" fontId="25" fillId="0" borderId="54" xfId="0" applyNumberFormat="1" applyFont="1" applyFill="1" applyBorder="1" applyAlignment="1" applyProtection="1">
      <alignment horizontal="center" vertical="center" wrapText="1"/>
      <protection/>
    </xf>
    <xf numFmtId="192" fontId="25" fillId="0" borderId="55" xfId="0" applyNumberFormat="1" applyFont="1" applyFill="1" applyBorder="1" applyAlignment="1" applyProtection="1">
      <alignment horizontal="center" vertical="center" wrapText="1"/>
      <protection/>
    </xf>
    <xf numFmtId="192" fontId="25" fillId="0" borderId="56" xfId="0" applyNumberFormat="1" applyFont="1" applyFill="1" applyBorder="1" applyAlignment="1" applyProtection="1">
      <alignment horizontal="center" vertical="center" wrapText="1"/>
      <protection/>
    </xf>
    <xf numFmtId="0" fontId="0" fillId="0" borderId="0" xfId="0" applyBorder="1" applyAlignment="1">
      <alignment horizontal="right" vertical="center" wrapText="1"/>
    </xf>
    <xf numFmtId="0" fontId="10" fillId="0" borderId="0" xfId="0" applyFont="1" applyBorder="1" applyAlignment="1">
      <alignment horizontal="right" vertical="center" wrapText="1"/>
    </xf>
    <xf numFmtId="0" fontId="0" fillId="0" borderId="0" xfId="0" applyBorder="1" applyAlignment="1">
      <alignment vertical="center" wrapText="1"/>
    </xf>
    <xf numFmtId="0" fontId="8" fillId="41" borderId="0" xfId="0" applyFont="1" applyFill="1" applyBorder="1" applyAlignment="1">
      <alignment horizontal="center" vertical="center" wrapText="1"/>
    </xf>
    <xf numFmtId="0" fontId="33" fillId="41" borderId="0" xfId="0" applyFont="1" applyFill="1" applyAlignment="1">
      <alignment vertical="center"/>
    </xf>
    <xf numFmtId="0" fontId="25" fillId="0" borderId="12" xfId="0" applyNumberFormat="1" applyFont="1" applyFill="1" applyBorder="1" applyAlignment="1">
      <alignment horizontal="center" vertical="center" wrapText="1"/>
    </xf>
    <xf numFmtId="0" fontId="25" fillId="0" borderId="29" xfId="0" applyNumberFormat="1" applyFont="1" applyFill="1" applyBorder="1" applyAlignment="1">
      <alignment horizontal="center" vertical="center" wrapText="1"/>
    </xf>
    <xf numFmtId="0" fontId="25" fillId="0" borderId="50" xfId="0" applyNumberFormat="1" applyFont="1" applyFill="1" applyBorder="1" applyAlignment="1" applyProtection="1">
      <alignment horizontal="center" vertical="center" wrapText="1"/>
      <protection/>
    </xf>
    <xf numFmtId="0" fontId="15" fillId="33" borderId="47" xfId="0" applyFont="1" applyFill="1" applyBorder="1" applyAlignment="1">
      <alignment horizontal="center" vertical="center"/>
    </xf>
    <xf numFmtId="0" fontId="37" fillId="0" borderId="22" xfId="0" applyFont="1" applyBorder="1" applyAlignment="1">
      <alignment horizontal="center" vertical="center"/>
    </xf>
    <xf numFmtId="0" fontId="31" fillId="35" borderId="41" xfId="0" applyNumberFormat="1" applyFont="1" applyFill="1" applyBorder="1" applyAlignment="1">
      <alignment horizontal="center" wrapText="1"/>
    </xf>
    <xf numFmtId="0" fontId="0" fillId="0" borderId="41" xfId="0" applyNumberFormat="1" applyBorder="1" applyAlignment="1">
      <alignment horizontal="center" wrapText="1"/>
    </xf>
    <xf numFmtId="0" fontId="43" fillId="35" borderId="41" xfId="0" applyNumberFormat="1" applyFont="1" applyFill="1" applyBorder="1" applyAlignment="1">
      <alignment horizontal="center" wrapText="1"/>
    </xf>
    <xf numFmtId="0" fontId="44" fillId="0" borderId="41" xfId="0" applyNumberFormat="1" applyFont="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ayfa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15</xdr:col>
      <xdr:colOff>0</xdr:colOff>
      <xdr:row>0</xdr:row>
      <xdr:rowOff>1095375</xdr:rowOff>
    </xdr:to>
    <xdr:sp>
      <xdr:nvSpPr>
        <xdr:cNvPr id="1" name="Text Box 1"/>
        <xdr:cNvSpPr txBox="1">
          <a:spLocks noChangeArrowheads="1"/>
        </xdr:cNvSpPr>
      </xdr:nvSpPr>
      <xdr:spPr>
        <a:xfrm>
          <a:off x="19050" y="38100"/>
          <a:ext cx="13573125" cy="1057275"/>
        </a:xfrm>
        <a:prstGeom prst="rect">
          <a:avLst/>
        </a:prstGeom>
        <a:solidFill>
          <a:srgbClr val="006411"/>
        </a:solidFill>
        <a:ln w="38100" cmpd="dbl">
          <a:noFill/>
        </a:ln>
      </xdr:spPr>
      <xdr:txBody>
        <a:bodyPr vertOverflow="clip" wrap="square" lIns="82296" tIns="64008" rIns="82296" bIns="64008"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WEEKLY MARKET DATA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WEEKLY BOX OFFICE &amp; ADMISSION REPORT</a:t>
          </a:r>
        </a:p>
      </xdr:txBody>
    </xdr:sp>
    <xdr:clientData/>
  </xdr:twoCellAnchor>
  <xdr:twoCellAnchor>
    <xdr:from>
      <xdr:col>11</xdr:col>
      <xdr:colOff>104775</xdr:colOff>
      <xdr:row>0</xdr:row>
      <xdr:rowOff>466725</xdr:rowOff>
    </xdr:from>
    <xdr:to>
      <xdr:col>14</xdr:col>
      <xdr:colOff>400050</xdr:colOff>
      <xdr:row>0</xdr:row>
      <xdr:rowOff>1066800</xdr:rowOff>
    </xdr:to>
    <xdr:sp fLocksText="0">
      <xdr:nvSpPr>
        <xdr:cNvPr id="2" name="Text Box 2"/>
        <xdr:cNvSpPr txBox="1">
          <a:spLocks noChangeArrowheads="1"/>
        </xdr:cNvSpPr>
      </xdr:nvSpPr>
      <xdr:spPr>
        <a:xfrm>
          <a:off x="11049000" y="466725"/>
          <a:ext cx="2457450" cy="600075"/>
        </a:xfrm>
        <a:prstGeom prst="rect">
          <a:avLst/>
        </a:prstGeom>
        <a:solidFill>
          <a:srgbClr val="006411"/>
        </a:solidFill>
        <a:ln w="9525" cmpd="sng">
          <a:noFill/>
        </a:ln>
      </xdr:spPr>
      <xdr:txBody>
        <a:bodyPr vertOverflow="clip" wrap="square" lIns="0" tIns="41148" rIns="45720" bIns="0"/>
        <a:p>
          <a:pPr algn="r">
            <a:defRPr/>
          </a:pPr>
          <a:r>
            <a:rPr lang="en-US" cap="none" sz="2000" b="0" i="0" u="none" baseline="0">
              <a:solidFill>
                <a:srgbClr val="FFFFFF"/>
              </a:solidFill>
              <a:latin typeface="Impact"/>
              <a:ea typeface="Impact"/>
              <a:cs typeface="Impact"/>
            </a:rPr>
            <a:t>WEEK: 34
</a:t>
          </a:r>
          <a:r>
            <a:rPr lang="en-US" cap="none" sz="1600" b="0" i="0" u="none" baseline="0">
              <a:solidFill>
                <a:srgbClr val="FFFFFF"/>
              </a:solidFill>
              <a:latin typeface="Impact"/>
              <a:ea typeface="Impact"/>
              <a:cs typeface="Impact"/>
            </a:rPr>
            <a:t>17 - 23 August 2007</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35</xdr:row>
      <xdr:rowOff>57150</xdr:rowOff>
    </xdr:from>
    <xdr:to>
      <xdr:col>22</xdr:col>
      <xdr:colOff>209550</xdr:colOff>
      <xdr:row>75</xdr:row>
      <xdr:rowOff>66675</xdr:rowOff>
    </xdr:to>
    <xdr:sp>
      <xdr:nvSpPr>
        <xdr:cNvPr id="1" name="Text Box 1"/>
        <xdr:cNvSpPr txBox="1">
          <a:spLocks noChangeArrowheads="1"/>
        </xdr:cNvSpPr>
      </xdr:nvSpPr>
      <xdr:spPr>
        <a:xfrm>
          <a:off x="57150" y="6391275"/>
          <a:ext cx="10887075" cy="1095375"/>
        </a:xfrm>
        <a:prstGeom prst="rect">
          <a:avLst/>
        </a:prstGeom>
        <a:solidFill>
          <a:srgbClr val="C8E0D8"/>
        </a:solidFill>
        <a:ln w="9525" cmpd="sng">
          <a:solidFill>
            <a:srgbClr val="000000"/>
          </a:solidFill>
          <a:headEnd type="none"/>
          <a:tailEnd type="none"/>
        </a:ln>
      </xdr:spPr>
      <xdr:txBody>
        <a:bodyPr vertOverflow="clip" wrap="square" lIns="27432" tIns="22860" rIns="27432" bIns="0"/>
        <a:p>
          <a:pPr algn="ctr">
            <a:defRPr/>
          </a:pPr>
          <a:r>
            <a:rPr lang="en-US" cap="none" sz="1000" b="1" i="0" u="sng"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a:</a:t>
          </a:r>
          <a:r>
            <a:rPr lang="en-US" cap="none" sz="1000" b="0" i="0" u="none" baseline="0">
              <a:solidFill>
                <a:srgbClr val="000000"/>
              </a:solidFill>
              <a:latin typeface="Arial"/>
              <a:ea typeface="Arial"/>
              <a:cs typeface="Arial"/>
            </a:rPr>
            <a:t> hafta numarasını, </a:t>
          </a:r>
          <a:r>
            <a:rPr lang="en-US" cap="none" sz="1000" b="1" i="0" u="sng" baseline="0">
              <a:solidFill>
                <a:srgbClr val="000000"/>
              </a:solidFill>
              <a:latin typeface="Arial"/>
              <a:ea typeface="Arial"/>
              <a:cs typeface="Arial"/>
            </a:rPr>
            <a:t>b:</a:t>
          </a:r>
          <a:r>
            <a:rPr lang="en-US" cap="none" sz="1000" b="0" i="0" u="none" baseline="0">
              <a:solidFill>
                <a:srgbClr val="000000"/>
              </a:solidFill>
              <a:latin typeface="Arial"/>
              <a:ea typeface="Arial"/>
              <a:cs typeface="Arial"/>
            </a:rPr>
            <a:t> tarih aralığını,</a:t>
          </a:r>
          <a:r>
            <a:rPr lang="en-US" cap="none" sz="1000" b="1"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c:</a:t>
          </a:r>
          <a:r>
            <a:rPr lang="en-US" cap="none" sz="1000" b="0" i="0" u="none" baseline="0">
              <a:solidFill>
                <a:srgbClr val="000000"/>
              </a:solidFill>
              <a:latin typeface="Arial"/>
              <a:ea typeface="Arial"/>
              <a:cs typeface="Arial"/>
            </a:rPr>
            <a:t> ayı, </a:t>
          </a:r>
          <a:r>
            <a:rPr lang="en-US" cap="none" sz="1000" b="1" i="0" u="sng" baseline="0">
              <a:solidFill>
                <a:srgbClr val="000000"/>
              </a:solidFill>
              <a:latin typeface="Arial"/>
              <a:ea typeface="Arial"/>
              <a:cs typeface="Arial"/>
            </a:rPr>
            <a:t>d:</a:t>
          </a:r>
          <a:r>
            <a:rPr lang="en-US" cap="none" sz="1000" b="0" i="0" u="none" baseline="0">
              <a:solidFill>
                <a:srgbClr val="000000"/>
              </a:solidFill>
              <a:latin typeface="Arial"/>
              <a:ea typeface="Arial"/>
              <a:cs typeface="Arial"/>
            </a:rPr>
            <a:t> o hafta dağıtım yapan firma sayısını, </a:t>
          </a:r>
          <a:r>
            <a:rPr lang="en-US" cap="none" sz="1000" b="1" i="0" u="sng" baseline="0">
              <a:solidFill>
                <a:srgbClr val="000000"/>
              </a:solidFill>
              <a:latin typeface="Arial"/>
              <a:ea typeface="Arial"/>
              <a:cs typeface="Arial"/>
            </a:rPr>
            <a:t>e:</a:t>
          </a:r>
          <a:r>
            <a:rPr lang="en-US" cap="none" sz="1000" b="0" i="0" u="none" baseline="0">
              <a:solidFill>
                <a:srgbClr val="000000"/>
              </a:solidFill>
              <a:latin typeface="Arial"/>
              <a:ea typeface="Arial"/>
              <a:cs typeface="Arial"/>
            </a:rPr>
            <a:t> o hafta dağıtım yapmayan firma sayısını, </a:t>
          </a:r>
          <a:r>
            <a:rPr lang="en-US" cap="none" sz="1000" b="1" i="0" u="sng" baseline="0">
              <a:solidFill>
                <a:srgbClr val="000000"/>
              </a:solidFill>
              <a:latin typeface="Arial"/>
              <a:ea typeface="Arial"/>
              <a:cs typeface="Arial"/>
            </a:rPr>
            <a:t>f:</a:t>
          </a:r>
          <a:r>
            <a:rPr lang="en-US" cap="none" sz="1000" b="0" i="0" u="none" baseline="0">
              <a:solidFill>
                <a:srgbClr val="000000"/>
              </a:solidFill>
              <a:latin typeface="Arial"/>
              <a:ea typeface="Arial"/>
              <a:cs typeface="Arial"/>
            </a:rPr>
            <a:t> o hafta sinemalarda gösterilen film sayısını, </a:t>
          </a:r>
          <a:r>
            <a:rPr lang="en-US" cap="none" sz="1000" b="1" i="0" u="sng" baseline="0">
              <a:solidFill>
                <a:srgbClr val="000000"/>
              </a:solidFill>
              <a:latin typeface="Arial"/>
              <a:ea typeface="Arial"/>
              <a:cs typeface="Arial"/>
            </a:rPr>
            <a:t>g:</a:t>
          </a:r>
          <a:r>
            <a:rPr lang="en-US" cap="none" sz="1000" b="0" i="0" u="none" baseline="0">
              <a:solidFill>
                <a:srgbClr val="000000"/>
              </a:solidFill>
              <a:latin typeface="Arial"/>
              <a:ea typeface="Arial"/>
              <a:cs typeface="Arial"/>
            </a:rPr>
            <a:t> toplam hasılatı, </a:t>
          </a:r>
          <a:r>
            <a:rPr lang="en-US" cap="none" sz="1000" b="1" i="0" u="sng" baseline="0">
              <a:solidFill>
                <a:srgbClr val="000000"/>
              </a:solidFill>
              <a:latin typeface="Arial"/>
              <a:ea typeface="Arial"/>
              <a:cs typeface="Arial"/>
            </a:rPr>
            <a:t>h:</a:t>
          </a:r>
          <a:r>
            <a:rPr lang="en-US" cap="none" sz="1000" b="0" i="0" u="none" baseline="0">
              <a:solidFill>
                <a:srgbClr val="000000"/>
              </a:solidFill>
              <a:latin typeface="Arial"/>
              <a:ea typeface="Arial"/>
              <a:cs typeface="Arial"/>
            </a:rPr>
            <a:t> toplam seyirci sayısını, </a:t>
          </a:r>
          <a:r>
            <a:rPr lang="en-US" cap="none" sz="1000" b="1" i="0" u="none" baseline="0">
              <a:solidFill>
                <a:srgbClr val="000000"/>
              </a:solidFill>
              <a:latin typeface="Arial"/>
              <a:ea typeface="Arial"/>
              <a:cs typeface="Arial"/>
            </a:rPr>
            <a:t>ı:</a:t>
          </a:r>
          <a:r>
            <a:rPr lang="en-US" cap="none" sz="1000" b="0" i="0" u="none" baseline="0">
              <a:solidFill>
                <a:srgbClr val="000000"/>
              </a:solidFill>
              <a:latin typeface="Arial"/>
              <a:ea typeface="Arial"/>
              <a:cs typeface="Arial"/>
            </a:rPr>
            <a:t> en fazla hasılat yapan dağıtımcı firmayı,</a:t>
          </a:r>
          <a:r>
            <a:rPr lang="en-US" cap="none" sz="1000" b="1"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j:</a:t>
          </a:r>
          <a:r>
            <a:rPr lang="en-US" cap="none" sz="1000" b="0" i="0" u="none" baseline="0">
              <a:solidFill>
                <a:srgbClr val="000000"/>
              </a:solidFill>
              <a:latin typeface="Arial"/>
              <a:ea typeface="Arial"/>
              <a:cs typeface="Arial"/>
            </a:rPr>
            <a:t> hafta birincisi firmanın toplam hasılatını, </a:t>
          </a:r>
          <a:r>
            <a:rPr lang="en-US" cap="none" sz="1000" b="1" i="0" u="sng" baseline="0">
              <a:solidFill>
                <a:srgbClr val="000000"/>
              </a:solidFill>
              <a:latin typeface="Arial"/>
              <a:ea typeface="Arial"/>
              <a:cs typeface="Arial"/>
            </a:rPr>
            <a:t>k:</a:t>
          </a:r>
          <a:r>
            <a:rPr lang="en-US" cap="none" sz="1000" b="0" i="0" u="none" baseline="0">
              <a:solidFill>
                <a:srgbClr val="000000"/>
              </a:solidFill>
              <a:latin typeface="Arial"/>
              <a:ea typeface="Arial"/>
              <a:cs typeface="Arial"/>
            </a:rPr>
            <a:t> aynı firmanın toplam ulaştığı seyirci sayısını, </a:t>
          </a:r>
          <a:r>
            <a:rPr lang="en-US" cap="none" sz="1000" b="1" i="0" u="sng" baseline="0">
              <a:solidFill>
                <a:srgbClr val="000000"/>
              </a:solidFill>
              <a:latin typeface="Arial"/>
              <a:ea typeface="Arial"/>
              <a:cs typeface="Arial"/>
            </a:rPr>
            <a:t>l:</a:t>
          </a:r>
          <a:r>
            <a:rPr lang="en-US" cap="none" sz="1000" b="0" i="0" u="none" baseline="0">
              <a:solidFill>
                <a:srgbClr val="000000"/>
              </a:solidFill>
              <a:latin typeface="Arial"/>
              <a:ea typeface="Arial"/>
              <a:cs typeface="Arial"/>
            </a:rPr>
            <a:t> birinci firmanın toplam seyirci üzerindeki yüzdesini, </a:t>
          </a:r>
          <a:r>
            <a:rPr lang="en-US" cap="none" sz="1000" b="1" i="0" u="sng" baseline="0">
              <a:solidFill>
                <a:srgbClr val="000000"/>
              </a:solidFill>
              <a:latin typeface="Arial"/>
              <a:ea typeface="Arial"/>
              <a:cs typeface="Arial"/>
            </a:rPr>
            <a:t>m:</a:t>
          </a:r>
          <a:r>
            <a:rPr lang="en-US" cap="none" sz="1000" b="0" i="0" u="none" baseline="0">
              <a:solidFill>
                <a:srgbClr val="000000"/>
              </a:solidFill>
              <a:latin typeface="Arial"/>
              <a:ea typeface="Arial"/>
              <a:cs typeface="Arial"/>
            </a:rPr>
            <a:t> o hafta ilk kez gösterilen film sayısını, </a:t>
          </a:r>
          <a:r>
            <a:rPr lang="en-US" cap="none" sz="1000" b="1" i="0" u="sng" baseline="0">
              <a:solidFill>
                <a:srgbClr val="000000"/>
              </a:solidFill>
              <a:latin typeface="Arial"/>
              <a:ea typeface="Arial"/>
              <a:cs typeface="Arial"/>
            </a:rPr>
            <a:t>n:</a:t>
          </a:r>
          <a:r>
            <a:rPr lang="en-US" cap="none" sz="1000" b="0" i="0" u="none" baseline="0">
              <a:solidFill>
                <a:srgbClr val="000000"/>
              </a:solidFill>
              <a:latin typeface="Arial"/>
              <a:ea typeface="Arial"/>
              <a:cs typeface="Arial"/>
            </a:rPr>
            <a:t> bu yeni filmlerin toplam hasılatını, </a:t>
          </a:r>
          <a:r>
            <a:rPr lang="en-US" cap="none" sz="1000" b="1" i="0" u="sng" baseline="0">
              <a:solidFill>
                <a:srgbClr val="000000"/>
              </a:solidFill>
              <a:latin typeface="Arial"/>
              <a:ea typeface="Arial"/>
              <a:cs typeface="Arial"/>
            </a:rPr>
            <a:t>o:</a:t>
          </a:r>
          <a:r>
            <a:rPr lang="en-US" cap="none" sz="1000" b="0" i="0" u="none" baseline="0">
              <a:solidFill>
                <a:srgbClr val="000000"/>
              </a:solidFill>
              <a:latin typeface="Arial"/>
              <a:ea typeface="Arial"/>
              <a:cs typeface="Arial"/>
            </a:rPr>
            <a:t> aynı filmlerin seyirci sayısını, </a:t>
          </a:r>
          <a:r>
            <a:rPr lang="en-US" cap="none" sz="1000" b="1" i="0" u="sng" baseline="0">
              <a:solidFill>
                <a:srgbClr val="000000"/>
              </a:solidFill>
              <a:latin typeface="Arial"/>
              <a:ea typeface="Arial"/>
              <a:cs typeface="Arial"/>
            </a:rPr>
            <a:t>p:</a:t>
          </a:r>
          <a:r>
            <a:rPr lang="en-US" cap="none" sz="1000" b="0" i="0" u="none" baseline="0">
              <a:solidFill>
                <a:srgbClr val="000000"/>
              </a:solidFill>
              <a:latin typeface="Arial"/>
              <a:ea typeface="Arial"/>
              <a:cs typeface="Arial"/>
            </a:rPr>
            <a:t> yeni filmlerin toplam seyirci sayısı üzerindeki yüzdesini, </a:t>
          </a:r>
          <a:r>
            <a:rPr lang="en-US" cap="none" sz="1000" b="1" i="0" u="sng" baseline="0">
              <a:solidFill>
                <a:srgbClr val="000000"/>
              </a:solidFill>
              <a:latin typeface="Arial"/>
              <a:ea typeface="Arial"/>
              <a:cs typeface="Arial"/>
            </a:rPr>
            <a:t>q:</a:t>
          </a:r>
          <a:r>
            <a:rPr lang="en-US" cap="none" sz="1000" b="0" i="0" u="none" baseline="0">
              <a:solidFill>
                <a:srgbClr val="000000"/>
              </a:solidFill>
              <a:latin typeface="Arial"/>
              <a:ea typeface="Arial"/>
              <a:cs typeface="Arial"/>
            </a:rPr>
            <a:t> o hafta gösterilen yerli film sayısını, </a:t>
          </a:r>
          <a:r>
            <a:rPr lang="en-US" cap="none" sz="1000" b="1" i="0" u="sng" baseline="0">
              <a:solidFill>
                <a:srgbClr val="000000"/>
              </a:solidFill>
              <a:latin typeface="Arial"/>
              <a:ea typeface="Arial"/>
              <a:cs typeface="Arial"/>
            </a:rPr>
            <a:t>r:</a:t>
          </a:r>
          <a:r>
            <a:rPr lang="en-US" cap="none" sz="1000" b="0" i="0" u="none" baseline="0">
              <a:solidFill>
                <a:srgbClr val="000000"/>
              </a:solidFill>
              <a:latin typeface="Arial"/>
              <a:ea typeface="Arial"/>
              <a:cs typeface="Arial"/>
            </a:rPr>
            <a:t> bu filmlerin toplam hasılatını, </a:t>
          </a:r>
          <a:r>
            <a:rPr lang="en-US" cap="none" sz="1000" b="1" i="0" u="sng" baseline="0">
              <a:solidFill>
                <a:srgbClr val="000000"/>
              </a:solidFill>
              <a:latin typeface="Arial"/>
              <a:ea typeface="Arial"/>
              <a:cs typeface="Arial"/>
            </a:rPr>
            <a:t>s:</a:t>
          </a:r>
          <a:r>
            <a:rPr lang="en-US" cap="none" sz="1000" b="0" i="0" u="none" baseline="0">
              <a:solidFill>
                <a:srgbClr val="000000"/>
              </a:solidFill>
              <a:latin typeface="Arial"/>
              <a:ea typeface="Arial"/>
              <a:cs typeface="Arial"/>
            </a:rPr>
            <a:t> aynı filmlerin toplam seyirci sayısını, </a:t>
          </a:r>
          <a:r>
            <a:rPr lang="en-US" cap="none" sz="1000" b="1" i="0" u="sng" baseline="0">
              <a:solidFill>
                <a:srgbClr val="000000"/>
              </a:solidFill>
              <a:latin typeface="Arial"/>
              <a:ea typeface="Arial"/>
              <a:cs typeface="Arial"/>
            </a:rPr>
            <a:t>t:</a:t>
          </a:r>
          <a:r>
            <a:rPr lang="en-US" cap="none" sz="1000" b="0" i="0" u="none" baseline="0">
              <a:solidFill>
                <a:srgbClr val="000000"/>
              </a:solidFill>
              <a:latin typeface="Arial"/>
              <a:ea typeface="Arial"/>
              <a:cs typeface="Arial"/>
            </a:rPr>
            <a:t> yerli filmlerin toplam seyirci sayısı üzerindeki yüzdesini, </a:t>
          </a:r>
          <a:r>
            <a:rPr lang="en-US" cap="none" sz="1000" b="1" i="0" u="sng" baseline="0">
              <a:solidFill>
                <a:srgbClr val="000000"/>
              </a:solidFill>
              <a:latin typeface="Arial"/>
              <a:ea typeface="Arial"/>
              <a:cs typeface="Arial"/>
            </a:rPr>
            <a:t>u:</a:t>
          </a:r>
          <a:r>
            <a:rPr lang="en-US" cap="none" sz="1000" b="0" i="0" u="none" baseline="0">
              <a:solidFill>
                <a:srgbClr val="000000"/>
              </a:solidFill>
              <a:latin typeface="Arial"/>
              <a:ea typeface="Arial"/>
              <a:cs typeface="Arial"/>
            </a:rPr>
            <a:t> o hafta en fazla seyircinin izlediği filmi, </a:t>
          </a:r>
          <a:r>
            <a:rPr lang="en-US" cap="none" sz="1000" b="1" i="0" u="sng" baseline="0">
              <a:solidFill>
                <a:srgbClr val="000000"/>
              </a:solidFill>
              <a:latin typeface="Arial"/>
              <a:ea typeface="Arial"/>
              <a:cs typeface="Arial"/>
            </a:rPr>
            <a:t>v:</a:t>
          </a:r>
          <a:r>
            <a:rPr lang="en-US" cap="none" sz="1000" b="0" i="0" u="none" baseline="0">
              <a:solidFill>
                <a:srgbClr val="000000"/>
              </a:solidFill>
              <a:latin typeface="Arial"/>
              <a:ea typeface="Arial"/>
              <a:cs typeface="Arial"/>
            </a:rPr>
            <a:t> bu filmin ulaştığı seyirci sayısını ve </a:t>
          </a:r>
          <a:r>
            <a:rPr lang="en-US" cap="none" sz="1000" b="1" i="0" u="sng" baseline="0">
              <a:solidFill>
                <a:srgbClr val="000000"/>
              </a:solidFill>
              <a:latin typeface="Arial"/>
              <a:ea typeface="Arial"/>
              <a:cs typeface="Arial"/>
            </a:rPr>
            <a:t>w:</a:t>
          </a:r>
          <a:r>
            <a:rPr lang="en-US" cap="none" sz="1000" b="0" i="0" u="none" baseline="0">
              <a:solidFill>
                <a:srgbClr val="000000"/>
              </a:solidFill>
              <a:latin typeface="Arial"/>
              <a:ea typeface="Arial"/>
              <a:cs typeface="Arial"/>
            </a:rPr>
            <a:t> aynı filmin toplam seyirci sayısı üzerindeki yüzdesini göstermektedir.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R136"/>
  <sheetViews>
    <sheetView showGridLines="0" tabSelected="1" zoomScale="80" zoomScaleNormal="80" zoomScalePageLayoutView="0" workbookViewId="0" topLeftCell="A1">
      <pane xSplit="2" ySplit="4" topLeftCell="C5" activePane="bottomRight" state="frozen"/>
      <selection pane="topLeft" activeCell="A1" sqref="A1"/>
      <selection pane="topRight" activeCell="D1" sqref="D1"/>
      <selection pane="bottomLeft" activeCell="A5" sqref="A5"/>
      <selection pane="bottomRight" activeCell="B3" sqref="B3:B4"/>
    </sheetView>
  </sheetViews>
  <sheetFormatPr defaultColWidth="9.140625" defaultRowHeight="12.75"/>
  <cols>
    <col min="1" max="1" width="4.00390625" style="40" bestFit="1" customWidth="1"/>
    <col min="2" max="2" width="45.28125" style="4" bestFit="1" customWidth="1"/>
    <col min="3" max="3" width="9.8515625" style="12" bestFit="1" customWidth="1"/>
    <col min="4" max="4" width="17.140625" style="16" bestFit="1" customWidth="1"/>
    <col min="5" max="5" width="21.28125" style="16" bestFit="1" customWidth="1"/>
    <col min="6" max="6" width="11.00390625" style="6" bestFit="1" customWidth="1"/>
    <col min="7" max="7" width="8.57421875" style="6" bestFit="1" customWidth="1"/>
    <col min="8" max="8" width="9.140625" style="6" customWidth="1"/>
    <col min="9" max="9" width="14.421875" style="394" bestFit="1" customWidth="1"/>
    <col min="10" max="10" width="9.28125" style="80" bestFit="1" customWidth="1"/>
    <col min="11" max="11" width="14.140625" style="30" customWidth="1"/>
    <col min="12" max="12" width="7.140625" style="35" bestFit="1" customWidth="1"/>
    <col min="13" max="13" width="14.7109375" style="400" bestFit="1" customWidth="1"/>
    <col min="14" max="14" width="10.57421875" style="30" bestFit="1" customWidth="1"/>
    <col min="15" max="15" width="7.28125" style="35" bestFit="1" customWidth="1"/>
    <col min="16" max="16" width="3.140625" style="215" bestFit="1" customWidth="1"/>
    <col min="17" max="16384" width="9.140625" style="4" customWidth="1"/>
  </cols>
  <sheetData>
    <row r="1" spans="1:16" s="2" customFormat="1" ht="90.75" customHeight="1">
      <c r="A1" s="39"/>
      <c r="B1" s="1"/>
      <c r="C1" s="10"/>
      <c r="D1" s="14"/>
      <c r="E1" s="14"/>
      <c r="F1" s="5"/>
      <c r="G1" s="5"/>
      <c r="H1" s="5"/>
      <c r="I1" s="388"/>
      <c r="J1" s="78"/>
      <c r="K1" s="28"/>
      <c r="L1" s="32"/>
      <c r="M1" s="395"/>
      <c r="N1" s="17"/>
      <c r="O1" s="32"/>
      <c r="P1" s="215"/>
    </row>
    <row r="2" spans="1:16" s="9" customFormat="1" ht="27.75" thickBot="1">
      <c r="A2" s="531" t="s">
        <v>188</v>
      </c>
      <c r="B2" s="532"/>
      <c r="C2" s="532"/>
      <c r="D2" s="532"/>
      <c r="E2" s="532"/>
      <c r="F2" s="532"/>
      <c r="G2" s="532"/>
      <c r="H2" s="532"/>
      <c r="I2" s="532"/>
      <c r="J2" s="532"/>
      <c r="K2" s="532"/>
      <c r="L2" s="532"/>
      <c r="M2" s="532"/>
      <c r="N2" s="532"/>
      <c r="O2" s="532"/>
      <c r="P2" s="215"/>
    </row>
    <row r="3" spans="1:16" s="31" customFormat="1" ht="16.5">
      <c r="A3" s="62"/>
      <c r="B3" s="537" t="s">
        <v>70</v>
      </c>
      <c r="C3" s="542" t="s">
        <v>71</v>
      </c>
      <c r="D3" s="538" t="s">
        <v>170</v>
      </c>
      <c r="E3" s="538" t="s">
        <v>169</v>
      </c>
      <c r="F3" s="535" t="s">
        <v>72</v>
      </c>
      <c r="G3" s="535" t="s">
        <v>79</v>
      </c>
      <c r="H3" s="539" t="s">
        <v>87</v>
      </c>
      <c r="I3" s="541" t="s">
        <v>73</v>
      </c>
      <c r="J3" s="541"/>
      <c r="K3" s="541"/>
      <c r="L3" s="541"/>
      <c r="M3" s="533" t="s">
        <v>74</v>
      </c>
      <c r="N3" s="533"/>
      <c r="O3" s="534"/>
      <c r="P3" s="409"/>
    </row>
    <row r="4" spans="1:16" s="31" customFormat="1" ht="29.25" thickBot="1">
      <c r="A4" s="63"/>
      <c r="B4" s="536"/>
      <c r="C4" s="543"/>
      <c r="D4" s="536"/>
      <c r="E4" s="536"/>
      <c r="F4" s="536"/>
      <c r="G4" s="536"/>
      <c r="H4" s="540"/>
      <c r="I4" s="389" t="s">
        <v>75</v>
      </c>
      <c r="J4" s="267" t="s">
        <v>76</v>
      </c>
      <c r="K4" s="267" t="s">
        <v>52</v>
      </c>
      <c r="L4" s="268" t="s">
        <v>77</v>
      </c>
      <c r="M4" s="389" t="s">
        <v>75</v>
      </c>
      <c r="N4" s="267" t="s">
        <v>76</v>
      </c>
      <c r="O4" s="269" t="s">
        <v>78</v>
      </c>
      <c r="P4" s="409"/>
    </row>
    <row r="5" spans="1:16" s="3" customFormat="1" ht="15">
      <c r="A5" s="240">
        <v>1</v>
      </c>
      <c r="B5" s="462" t="s">
        <v>539</v>
      </c>
      <c r="C5" s="463">
        <v>39304</v>
      </c>
      <c r="D5" s="464" t="s">
        <v>172</v>
      </c>
      <c r="E5" s="464" t="s">
        <v>80</v>
      </c>
      <c r="F5" s="465">
        <v>165</v>
      </c>
      <c r="G5" s="465">
        <v>275</v>
      </c>
      <c r="H5" s="465">
        <v>2</v>
      </c>
      <c r="I5" s="466">
        <v>1103806</v>
      </c>
      <c r="J5" s="467">
        <v>141879</v>
      </c>
      <c r="K5" s="419">
        <f>J5/G5</f>
        <v>515.9236363636363</v>
      </c>
      <c r="L5" s="420">
        <f aca="true" t="shared" si="0" ref="L5:L10">I5/J5</f>
        <v>7.779911050965964</v>
      </c>
      <c r="M5" s="466">
        <f>2632960+1103806</f>
        <v>3736766</v>
      </c>
      <c r="N5" s="467">
        <f>336483+141879</f>
        <v>478362</v>
      </c>
      <c r="O5" s="447">
        <f aca="true" t="shared" si="1" ref="O5:O36">M5/N5</f>
        <v>7.81158620458983</v>
      </c>
      <c r="P5" s="215"/>
    </row>
    <row r="6" spans="1:16" s="3" customFormat="1" ht="15">
      <c r="A6" s="87">
        <v>2</v>
      </c>
      <c r="B6" s="302" t="s">
        <v>556</v>
      </c>
      <c r="C6" s="98">
        <v>39311</v>
      </c>
      <c r="D6" s="152" t="s">
        <v>173</v>
      </c>
      <c r="E6" s="152" t="s">
        <v>179</v>
      </c>
      <c r="F6" s="295">
        <v>84</v>
      </c>
      <c r="G6" s="295">
        <v>85</v>
      </c>
      <c r="H6" s="295">
        <v>1</v>
      </c>
      <c r="I6" s="442">
        <v>362248</v>
      </c>
      <c r="J6" s="414">
        <v>40503</v>
      </c>
      <c r="K6" s="411">
        <f>+J6/G6</f>
        <v>476.50588235294117</v>
      </c>
      <c r="L6" s="413">
        <f t="shared" si="0"/>
        <v>8.943732563020022</v>
      </c>
      <c r="M6" s="442">
        <v>362248</v>
      </c>
      <c r="N6" s="414">
        <v>40503</v>
      </c>
      <c r="O6" s="310">
        <f t="shared" si="1"/>
        <v>8.943732563020022</v>
      </c>
      <c r="P6" s="215"/>
    </row>
    <row r="7" spans="1:16" s="3" customFormat="1" ht="15">
      <c r="A7" s="241">
        <v>3</v>
      </c>
      <c r="B7" s="474" t="s">
        <v>557</v>
      </c>
      <c r="C7" s="334">
        <v>39311</v>
      </c>
      <c r="D7" s="475" t="s">
        <v>174</v>
      </c>
      <c r="E7" s="475" t="s">
        <v>175</v>
      </c>
      <c r="F7" s="476">
        <v>51</v>
      </c>
      <c r="G7" s="476">
        <v>51</v>
      </c>
      <c r="H7" s="476">
        <v>1</v>
      </c>
      <c r="I7" s="454">
        <v>307706</v>
      </c>
      <c r="J7" s="426">
        <v>37496</v>
      </c>
      <c r="K7" s="507">
        <f>J7/G7</f>
        <v>735.2156862745098</v>
      </c>
      <c r="L7" s="508">
        <f t="shared" si="0"/>
        <v>8.206368679325795</v>
      </c>
      <c r="M7" s="454">
        <f>307706</f>
        <v>307706</v>
      </c>
      <c r="N7" s="426">
        <f>37496</f>
        <v>37496</v>
      </c>
      <c r="O7" s="486">
        <f t="shared" si="1"/>
        <v>8.206368679325795</v>
      </c>
      <c r="P7" s="215"/>
    </row>
    <row r="8" spans="1:16" s="3" customFormat="1" ht="15">
      <c r="A8" s="240">
        <v>4</v>
      </c>
      <c r="B8" s="471" t="s">
        <v>29</v>
      </c>
      <c r="C8" s="450">
        <v>39297</v>
      </c>
      <c r="D8" s="472" t="s">
        <v>173</v>
      </c>
      <c r="E8" s="472" t="s">
        <v>181</v>
      </c>
      <c r="F8" s="473">
        <v>62</v>
      </c>
      <c r="G8" s="473">
        <v>62</v>
      </c>
      <c r="H8" s="473">
        <v>3</v>
      </c>
      <c r="I8" s="451">
        <v>142900</v>
      </c>
      <c r="J8" s="452">
        <v>16271</v>
      </c>
      <c r="K8" s="504">
        <f>J8/G8</f>
        <v>262.43548387096774</v>
      </c>
      <c r="L8" s="505">
        <f t="shared" si="0"/>
        <v>8.782496466105341</v>
      </c>
      <c r="M8" s="451">
        <v>546546</v>
      </c>
      <c r="N8" s="452">
        <v>62245</v>
      </c>
      <c r="O8" s="506">
        <f t="shared" si="1"/>
        <v>8.78056068760543</v>
      </c>
      <c r="P8" s="215"/>
    </row>
    <row r="9" spans="1:16" s="7" customFormat="1" ht="15">
      <c r="A9" s="87">
        <v>5</v>
      </c>
      <c r="B9" s="301" t="s">
        <v>28</v>
      </c>
      <c r="C9" s="97">
        <v>39297</v>
      </c>
      <c r="D9" s="153" t="s">
        <v>172</v>
      </c>
      <c r="E9" s="153" t="s">
        <v>177</v>
      </c>
      <c r="F9" s="248">
        <v>51</v>
      </c>
      <c r="G9" s="248">
        <v>49</v>
      </c>
      <c r="H9" s="248">
        <v>3</v>
      </c>
      <c r="I9" s="443">
        <v>123214</v>
      </c>
      <c r="J9" s="410">
        <v>14754</v>
      </c>
      <c r="K9" s="411">
        <f>J9/G9</f>
        <v>301.1020408163265</v>
      </c>
      <c r="L9" s="413">
        <f t="shared" si="0"/>
        <v>8.351226785956351</v>
      </c>
      <c r="M9" s="443">
        <f>281080+182131+123214</f>
        <v>586425</v>
      </c>
      <c r="N9" s="410">
        <f>31883+21094+14754</f>
        <v>67731</v>
      </c>
      <c r="O9" s="310">
        <f t="shared" si="1"/>
        <v>8.658147672409974</v>
      </c>
      <c r="P9" s="215"/>
    </row>
    <row r="10" spans="1:16" s="7" customFormat="1" ht="15">
      <c r="A10" s="87">
        <v>6</v>
      </c>
      <c r="B10" s="302" t="s">
        <v>474</v>
      </c>
      <c r="C10" s="98">
        <v>39290</v>
      </c>
      <c r="D10" s="152" t="s">
        <v>174</v>
      </c>
      <c r="E10" s="152" t="s">
        <v>175</v>
      </c>
      <c r="F10" s="295">
        <v>80</v>
      </c>
      <c r="G10" s="295">
        <v>78</v>
      </c>
      <c r="H10" s="295">
        <v>4</v>
      </c>
      <c r="I10" s="442">
        <v>88992</v>
      </c>
      <c r="J10" s="414">
        <v>12756</v>
      </c>
      <c r="K10" s="411">
        <f>J10/G10</f>
        <v>163.53846153846155</v>
      </c>
      <c r="L10" s="413">
        <f t="shared" si="0"/>
        <v>6.9764816556914395</v>
      </c>
      <c r="M10" s="442">
        <f>506041+306658.5+167559.5+88992</f>
        <v>1069251</v>
      </c>
      <c r="N10" s="414">
        <f>62247+38008+20766+12756</f>
        <v>133777</v>
      </c>
      <c r="O10" s="310">
        <f t="shared" si="1"/>
        <v>7.992786502911562</v>
      </c>
      <c r="P10" s="215"/>
    </row>
    <row r="11" spans="1:16" s="7" customFormat="1" ht="15">
      <c r="A11" s="87">
        <v>7</v>
      </c>
      <c r="B11" s="301" t="s">
        <v>30</v>
      </c>
      <c r="C11" s="97">
        <v>39297</v>
      </c>
      <c r="D11" s="153" t="s">
        <v>164</v>
      </c>
      <c r="E11" s="153" t="s">
        <v>31</v>
      </c>
      <c r="F11" s="248">
        <v>40</v>
      </c>
      <c r="G11" s="248">
        <v>40</v>
      </c>
      <c r="H11" s="248">
        <v>3</v>
      </c>
      <c r="I11" s="444">
        <v>57038.5</v>
      </c>
      <c r="J11" s="411">
        <v>7841</v>
      </c>
      <c r="K11" s="415">
        <f>IF(I11&lt;&gt;0,J11/G11,"")</f>
        <v>196.025</v>
      </c>
      <c r="L11" s="416">
        <f>IF(I11&lt;&gt;0,I11/J11,"")</f>
        <v>7.274391021553373</v>
      </c>
      <c r="M11" s="444">
        <f>157880+96709+57038.5</f>
        <v>311627.5</v>
      </c>
      <c r="N11" s="414">
        <f>18304+11544+7841</f>
        <v>37689</v>
      </c>
      <c r="O11" s="310">
        <f t="shared" si="1"/>
        <v>8.268393961102708</v>
      </c>
      <c r="P11" s="215"/>
    </row>
    <row r="12" spans="1:16" s="7" customFormat="1" ht="15">
      <c r="A12" s="87">
        <v>8</v>
      </c>
      <c r="B12" s="301" t="s">
        <v>32</v>
      </c>
      <c r="C12" s="97">
        <v>39297</v>
      </c>
      <c r="D12" s="153" t="s">
        <v>171</v>
      </c>
      <c r="E12" s="153" t="s">
        <v>179</v>
      </c>
      <c r="F12" s="248">
        <v>25</v>
      </c>
      <c r="G12" s="248">
        <v>25</v>
      </c>
      <c r="H12" s="248">
        <v>3</v>
      </c>
      <c r="I12" s="443">
        <v>35116</v>
      </c>
      <c r="J12" s="410">
        <v>3843</v>
      </c>
      <c r="K12" s="411">
        <f>J12/G12</f>
        <v>153.72</v>
      </c>
      <c r="L12" s="413">
        <f>I12/J12</f>
        <v>9.137652875357793</v>
      </c>
      <c r="M12" s="443">
        <v>222641</v>
      </c>
      <c r="N12" s="410">
        <v>21109</v>
      </c>
      <c r="O12" s="310">
        <f t="shared" si="1"/>
        <v>10.547207352314178</v>
      </c>
      <c r="P12" s="215"/>
    </row>
    <row r="13" spans="1:16" s="7" customFormat="1" ht="15">
      <c r="A13" s="87">
        <v>9</v>
      </c>
      <c r="B13" s="302" t="s">
        <v>389</v>
      </c>
      <c r="C13" s="98">
        <v>39262</v>
      </c>
      <c r="D13" s="152" t="s">
        <v>174</v>
      </c>
      <c r="E13" s="152" t="s">
        <v>175</v>
      </c>
      <c r="F13" s="295">
        <v>78</v>
      </c>
      <c r="G13" s="295">
        <v>27</v>
      </c>
      <c r="H13" s="295">
        <v>8</v>
      </c>
      <c r="I13" s="442">
        <v>31663.5</v>
      </c>
      <c r="J13" s="414">
        <v>7064</v>
      </c>
      <c r="K13" s="411">
        <f>+J13/G13</f>
        <v>261.6296296296296</v>
      </c>
      <c r="L13" s="413">
        <f>I13/J13</f>
        <v>4.482375424688562</v>
      </c>
      <c r="M13" s="442">
        <f>739051+347868+263605+177344.5+97146+68797+30662+31663.5</f>
        <v>1756137</v>
      </c>
      <c r="N13" s="414">
        <f>88667+41947+31866+21736+14597+11279+5210+7064</f>
        <v>222366</v>
      </c>
      <c r="O13" s="310">
        <f t="shared" si="1"/>
        <v>7.89750681309193</v>
      </c>
      <c r="P13" s="215"/>
    </row>
    <row r="14" spans="1:16" s="7" customFormat="1" ht="15">
      <c r="A14" s="87">
        <v>10</v>
      </c>
      <c r="B14" s="302" t="s">
        <v>453</v>
      </c>
      <c r="C14" s="98">
        <v>39276</v>
      </c>
      <c r="D14" s="152" t="s">
        <v>174</v>
      </c>
      <c r="E14" s="152" t="s">
        <v>175</v>
      </c>
      <c r="F14" s="295">
        <v>40</v>
      </c>
      <c r="G14" s="295">
        <v>39</v>
      </c>
      <c r="H14" s="295">
        <v>6</v>
      </c>
      <c r="I14" s="442">
        <v>30897</v>
      </c>
      <c r="J14" s="414">
        <v>5346</v>
      </c>
      <c r="K14" s="411">
        <f>J14/G14</f>
        <v>137.07692307692307</v>
      </c>
      <c r="L14" s="413">
        <f>I14/J14</f>
        <v>5.779461279461279</v>
      </c>
      <c r="M14" s="442">
        <f>242653.5+193762+151495+83180.5+49854.5+30897</f>
        <v>751842.5</v>
      </c>
      <c r="N14" s="414">
        <f>27897+22449+16491+10278+7875+5346</f>
        <v>90336</v>
      </c>
      <c r="O14" s="310">
        <f t="shared" si="1"/>
        <v>8.322734015232022</v>
      </c>
      <c r="P14" s="215"/>
    </row>
    <row r="15" spans="1:16" s="7" customFormat="1" ht="15">
      <c r="A15" s="87">
        <v>11</v>
      </c>
      <c r="B15" s="302" t="s">
        <v>558</v>
      </c>
      <c r="C15" s="98">
        <v>39311</v>
      </c>
      <c r="D15" s="152" t="s">
        <v>5</v>
      </c>
      <c r="E15" s="152" t="s">
        <v>185</v>
      </c>
      <c r="F15" s="295">
        <v>10</v>
      </c>
      <c r="G15" s="295">
        <v>10</v>
      </c>
      <c r="H15" s="295">
        <v>1</v>
      </c>
      <c r="I15" s="442">
        <v>23228.5</v>
      </c>
      <c r="J15" s="414">
        <v>2020</v>
      </c>
      <c r="K15" s="411">
        <f>+J15/G15</f>
        <v>202</v>
      </c>
      <c r="L15" s="413">
        <f>+I15/J15</f>
        <v>11.499257425742574</v>
      </c>
      <c r="M15" s="442">
        <v>23228.5</v>
      </c>
      <c r="N15" s="414">
        <v>2020</v>
      </c>
      <c r="O15" s="310">
        <f t="shared" si="1"/>
        <v>11.499257425742574</v>
      </c>
      <c r="P15" s="215"/>
    </row>
    <row r="16" spans="1:16" s="7" customFormat="1" ht="15">
      <c r="A16" s="87">
        <v>12</v>
      </c>
      <c r="B16" s="301" t="s">
        <v>33</v>
      </c>
      <c r="C16" s="97">
        <v>39297</v>
      </c>
      <c r="D16" s="153" t="s">
        <v>189</v>
      </c>
      <c r="E16" s="153" t="s">
        <v>301</v>
      </c>
      <c r="F16" s="248" t="s">
        <v>227</v>
      </c>
      <c r="G16" s="248" t="s">
        <v>227</v>
      </c>
      <c r="H16" s="248" t="s">
        <v>279</v>
      </c>
      <c r="I16" s="443">
        <v>21591</v>
      </c>
      <c r="J16" s="410">
        <v>2043</v>
      </c>
      <c r="K16" s="411">
        <f aca="true" t="shared" si="2" ref="K16:K28">J16/G16</f>
        <v>408.6</v>
      </c>
      <c r="L16" s="413">
        <f aca="true" t="shared" si="3" ref="L16:L47">I16/J16</f>
        <v>10.568281938325992</v>
      </c>
      <c r="M16" s="443">
        <v>103767.47</v>
      </c>
      <c r="N16" s="410">
        <v>10171</v>
      </c>
      <c r="O16" s="310">
        <f t="shared" si="1"/>
        <v>10.2022878772982</v>
      </c>
      <c r="P16" s="215"/>
    </row>
    <row r="17" spans="1:16" s="7" customFormat="1" ht="15">
      <c r="A17" s="87">
        <v>13</v>
      </c>
      <c r="B17" s="302" t="s">
        <v>400</v>
      </c>
      <c r="C17" s="98">
        <v>39269</v>
      </c>
      <c r="D17" s="152" t="s">
        <v>173</v>
      </c>
      <c r="E17" s="152" t="s">
        <v>181</v>
      </c>
      <c r="F17" s="295">
        <v>156</v>
      </c>
      <c r="G17" s="295">
        <v>46</v>
      </c>
      <c r="H17" s="295">
        <v>7</v>
      </c>
      <c r="I17" s="442">
        <v>19924</v>
      </c>
      <c r="J17" s="414">
        <v>3729</v>
      </c>
      <c r="K17" s="411">
        <f t="shared" si="2"/>
        <v>81.06521739130434</v>
      </c>
      <c r="L17" s="413">
        <f t="shared" si="3"/>
        <v>5.342987396084741</v>
      </c>
      <c r="M17" s="442">
        <v>3201795</v>
      </c>
      <c r="N17" s="414">
        <v>403902</v>
      </c>
      <c r="O17" s="310">
        <f t="shared" si="1"/>
        <v>7.927158072997906</v>
      </c>
      <c r="P17" s="215"/>
    </row>
    <row r="18" spans="1:16" s="7" customFormat="1" ht="15">
      <c r="A18" s="87">
        <v>14</v>
      </c>
      <c r="B18" s="301" t="s">
        <v>402</v>
      </c>
      <c r="C18" s="97">
        <v>39269</v>
      </c>
      <c r="D18" s="153" t="s">
        <v>189</v>
      </c>
      <c r="E18" s="153" t="s">
        <v>189</v>
      </c>
      <c r="F18" s="248" t="s">
        <v>230</v>
      </c>
      <c r="G18" s="248" t="s">
        <v>230</v>
      </c>
      <c r="H18" s="248" t="s">
        <v>478</v>
      </c>
      <c r="I18" s="443">
        <v>18000.5</v>
      </c>
      <c r="J18" s="410">
        <v>2790</v>
      </c>
      <c r="K18" s="411">
        <f t="shared" si="2"/>
        <v>279</v>
      </c>
      <c r="L18" s="413">
        <f t="shared" si="3"/>
        <v>6.4517921146953405</v>
      </c>
      <c r="M18" s="443">
        <v>132986.5</v>
      </c>
      <c r="N18" s="410">
        <v>17636</v>
      </c>
      <c r="O18" s="310">
        <f t="shared" si="1"/>
        <v>7.5406271263325015</v>
      </c>
      <c r="P18" s="215"/>
    </row>
    <row r="19" spans="1:16" s="7" customFormat="1" ht="15">
      <c r="A19" s="87">
        <v>15</v>
      </c>
      <c r="B19" s="302" t="s">
        <v>559</v>
      </c>
      <c r="C19" s="98">
        <v>39248</v>
      </c>
      <c r="D19" s="152" t="s">
        <v>173</v>
      </c>
      <c r="E19" s="152" t="s">
        <v>181</v>
      </c>
      <c r="F19" s="295">
        <v>160</v>
      </c>
      <c r="G19" s="295">
        <v>35</v>
      </c>
      <c r="H19" s="295">
        <v>10</v>
      </c>
      <c r="I19" s="442">
        <v>17543</v>
      </c>
      <c r="J19" s="414">
        <v>2741</v>
      </c>
      <c r="K19" s="411">
        <f t="shared" si="2"/>
        <v>78.31428571428572</v>
      </c>
      <c r="L19" s="413">
        <f t="shared" si="3"/>
        <v>6.400218898212331</v>
      </c>
      <c r="M19" s="442">
        <v>4834088</v>
      </c>
      <c r="N19" s="414">
        <v>650927</v>
      </c>
      <c r="O19" s="310">
        <f t="shared" si="1"/>
        <v>7.426467176810918</v>
      </c>
      <c r="P19" s="215"/>
    </row>
    <row r="20" spans="1:16" s="7" customFormat="1" ht="15">
      <c r="A20" s="87">
        <v>16</v>
      </c>
      <c r="B20" s="301" t="s">
        <v>454</v>
      </c>
      <c r="C20" s="97">
        <v>39276</v>
      </c>
      <c r="D20" s="153" t="s">
        <v>189</v>
      </c>
      <c r="E20" s="153" t="s">
        <v>301</v>
      </c>
      <c r="F20" s="248" t="s">
        <v>511</v>
      </c>
      <c r="G20" s="248" t="s">
        <v>541</v>
      </c>
      <c r="H20" s="248" t="s">
        <v>501</v>
      </c>
      <c r="I20" s="443">
        <v>16477</v>
      </c>
      <c r="J20" s="410">
        <v>2811</v>
      </c>
      <c r="K20" s="411">
        <f t="shared" si="2"/>
        <v>100.39285714285714</v>
      </c>
      <c r="L20" s="413">
        <f t="shared" si="3"/>
        <v>5.861615083600142</v>
      </c>
      <c r="M20" s="443">
        <v>459133</v>
      </c>
      <c r="N20" s="410">
        <v>56454</v>
      </c>
      <c r="O20" s="310">
        <f t="shared" si="1"/>
        <v>8.132869238672193</v>
      </c>
      <c r="P20" s="215"/>
    </row>
    <row r="21" spans="1:16" s="7" customFormat="1" ht="15">
      <c r="A21" s="87">
        <v>17</v>
      </c>
      <c r="B21" s="301" t="s">
        <v>470</v>
      </c>
      <c r="C21" s="98">
        <v>39283</v>
      </c>
      <c r="D21" s="153" t="s">
        <v>5</v>
      </c>
      <c r="E21" s="153" t="s">
        <v>47</v>
      </c>
      <c r="F21" s="248">
        <v>30</v>
      </c>
      <c r="G21" s="248">
        <v>24</v>
      </c>
      <c r="H21" s="248">
        <v>5</v>
      </c>
      <c r="I21" s="443">
        <v>13680.5</v>
      </c>
      <c r="J21" s="410">
        <v>2377</v>
      </c>
      <c r="K21" s="411">
        <f t="shared" si="2"/>
        <v>99.04166666666667</v>
      </c>
      <c r="L21" s="413">
        <f t="shared" si="3"/>
        <v>5.755363904080774</v>
      </c>
      <c r="M21" s="443">
        <v>88004.5</v>
      </c>
      <c r="N21" s="410">
        <v>12134</v>
      </c>
      <c r="O21" s="310">
        <f t="shared" si="1"/>
        <v>7.252719630789517</v>
      </c>
      <c r="P21" s="215"/>
    </row>
    <row r="22" spans="1:16" s="7" customFormat="1" ht="15">
      <c r="A22" s="87">
        <v>18</v>
      </c>
      <c r="B22" s="302" t="s">
        <v>476</v>
      </c>
      <c r="C22" s="98">
        <v>39290</v>
      </c>
      <c r="D22" s="152" t="s">
        <v>173</v>
      </c>
      <c r="E22" s="152" t="s">
        <v>181</v>
      </c>
      <c r="F22" s="295">
        <v>20</v>
      </c>
      <c r="G22" s="295">
        <v>19</v>
      </c>
      <c r="H22" s="295">
        <v>4</v>
      </c>
      <c r="I22" s="442">
        <v>12130</v>
      </c>
      <c r="J22" s="414">
        <v>1743</v>
      </c>
      <c r="K22" s="411">
        <f t="shared" si="2"/>
        <v>91.73684210526316</v>
      </c>
      <c r="L22" s="413">
        <f t="shared" si="3"/>
        <v>6.959265633964429</v>
      </c>
      <c r="M22" s="442">
        <v>84546</v>
      </c>
      <c r="N22" s="414">
        <v>9188</v>
      </c>
      <c r="O22" s="310">
        <f t="shared" si="1"/>
        <v>9.201784936874184</v>
      </c>
      <c r="P22" s="215"/>
    </row>
    <row r="23" spans="1:16" s="7" customFormat="1" ht="15">
      <c r="A23" s="87">
        <v>19</v>
      </c>
      <c r="B23" s="301" t="s">
        <v>392</v>
      </c>
      <c r="C23" s="98">
        <v>39262</v>
      </c>
      <c r="D23" s="153" t="s">
        <v>5</v>
      </c>
      <c r="E23" s="153" t="s">
        <v>393</v>
      </c>
      <c r="F23" s="248">
        <v>21</v>
      </c>
      <c r="G23" s="248" t="s">
        <v>469</v>
      </c>
      <c r="H23" s="248">
        <v>8</v>
      </c>
      <c r="I23" s="443">
        <v>11528</v>
      </c>
      <c r="J23" s="410">
        <v>2137</v>
      </c>
      <c r="K23" s="411">
        <f t="shared" si="2"/>
        <v>106.85</v>
      </c>
      <c r="L23" s="413">
        <f t="shared" si="3"/>
        <v>5.3944782405241</v>
      </c>
      <c r="M23" s="443">
        <v>172272.5</v>
      </c>
      <c r="N23" s="410">
        <v>25028</v>
      </c>
      <c r="O23" s="310">
        <f t="shared" si="1"/>
        <v>6.883190826274572</v>
      </c>
      <c r="P23" s="215"/>
    </row>
    <row r="24" spans="1:16" s="7" customFormat="1" ht="15">
      <c r="A24" s="87">
        <v>20</v>
      </c>
      <c r="B24" s="303" t="s">
        <v>461</v>
      </c>
      <c r="C24" s="293">
        <v>39283</v>
      </c>
      <c r="D24" s="292" t="s">
        <v>515</v>
      </c>
      <c r="E24" s="292" t="s">
        <v>244</v>
      </c>
      <c r="F24" s="294">
        <v>27</v>
      </c>
      <c r="G24" s="294">
        <v>27</v>
      </c>
      <c r="H24" s="294">
        <v>5</v>
      </c>
      <c r="I24" s="446">
        <v>9162</v>
      </c>
      <c r="J24" s="459">
        <v>1801</v>
      </c>
      <c r="K24" s="459">
        <f t="shared" si="2"/>
        <v>66.70370370370371</v>
      </c>
      <c r="L24" s="460">
        <f t="shared" si="3"/>
        <v>5.08717379233759</v>
      </c>
      <c r="M24" s="446">
        <v>167667.5</v>
      </c>
      <c r="N24" s="411">
        <v>22047</v>
      </c>
      <c r="O24" s="310">
        <f t="shared" si="1"/>
        <v>7.605002948246927</v>
      </c>
      <c r="P24" s="215"/>
    </row>
    <row r="25" spans="1:16" s="7" customFormat="1" ht="15">
      <c r="A25" s="87">
        <v>21</v>
      </c>
      <c r="B25" s="301" t="s">
        <v>477</v>
      </c>
      <c r="C25" s="98">
        <v>39290</v>
      </c>
      <c r="D25" s="153" t="s">
        <v>5</v>
      </c>
      <c r="E25" s="153" t="s">
        <v>393</v>
      </c>
      <c r="F25" s="248">
        <v>10</v>
      </c>
      <c r="G25" s="248">
        <v>9</v>
      </c>
      <c r="H25" s="248">
        <v>4</v>
      </c>
      <c r="I25" s="443">
        <v>7718</v>
      </c>
      <c r="J25" s="410">
        <v>844</v>
      </c>
      <c r="K25" s="411">
        <f t="shared" si="2"/>
        <v>93.77777777777777</v>
      </c>
      <c r="L25" s="413">
        <f t="shared" si="3"/>
        <v>9.144549763033176</v>
      </c>
      <c r="M25" s="443">
        <v>49148</v>
      </c>
      <c r="N25" s="410">
        <v>4814</v>
      </c>
      <c r="O25" s="310">
        <f t="shared" si="1"/>
        <v>10.209389281262983</v>
      </c>
      <c r="P25" s="215"/>
    </row>
    <row r="26" spans="1:16" s="7" customFormat="1" ht="15">
      <c r="A26" s="87">
        <v>22</v>
      </c>
      <c r="B26" s="301" t="s">
        <v>475</v>
      </c>
      <c r="C26" s="97">
        <v>39260</v>
      </c>
      <c r="D26" s="153" t="s">
        <v>172</v>
      </c>
      <c r="E26" s="153" t="s">
        <v>310</v>
      </c>
      <c r="F26" s="248">
        <v>40</v>
      </c>
      <c r="G26" s="248">
        <v>16</v>
      </c>
      <c r="H26" s="248">
        <v>4</v>
      </c>
      <c r="I26" s="443">
        <v>7709</v>
      </c>
      <c r="J26" s="410">
        <v>1337</v>
      </c>
      <c r="K26" s="411">
        <f t="shared" si="2"/>
        <v>83.5625</v>
      </c>
      <c r="L26" s="413">
        <f t="shared" si="3"/>
        <v>5.765893792071803</v>
      </c>
      <c r="M26" s="443">
        <f>117385+70420+26501+7709</f>
        <v>222015</v>
      </c>
      <c r="N26" s="410">
        <f>12724+7654+2879+1337</f>
        <v>24594</v>
      </c>
      <c r="O26" s="310">
        <f t="shared" si="1"/>
        <v>9.027201756525981</v>
      </c>
      <c r="P26" s="215"/>
    </row>
    <row r="27" spans="1:16" s="7" customFormat="1" ht="15">
      <c r="A27" s="87">
        <v>23</v>
      </c>
      <c r="B27" s="301" t="s">
        <v>390</v>
      </c>
      <c r="C27" s="98">
        <v>39262</v>
      </c>
      <c r="D27" s="153" t="s">
        <v>5</v>
      </c>
      <c r="E27" s="153" t="s">
        <v>391</v>
      </c>
      <c r="F27" s="248">
        <v>15</v>
      </c>
      <c r="G27" s="248">
        <v>11</v>
      </c>
      <c r="H27" s="248">
        <v>8</v>
      </c>
      <c r="I27" s="443">
        <v>6775</v>
      </c>
      <c r="J27" s="410">
        <v>1026</v>
      </c>
      <c r="K27" s="411">
        <f t="shared" si="2"/>
        <v>93.27272727272727</v>
      </c>
      <c r="L27" s="413">
        <f t="shared" si="3"/>
        <v>6.603313840155946</v>
      </c>
      <c r="M27" s="443">
        <v>179340</v>
      </c>
      <c r="N27" s="410">
        <v>19829</v>
      </c>
      <c r="O27" s="310">
        <f t="shared" si="1"/>
        <v>9.044329013061677</v>
      </c>
      <c r="P27" s="215"/>
    </row>
    <row r="28" spans="1:16" s="7" customFormat="1" ht="15">
      <c r="A28" s="87">
        <v>24</v>
      </c>
      <c r="B28" s="301" t="s">
        <v>365</v>
      </c>
      <c r="C28" s="97">
        <v>39241</v>
      </c>
      <c r="D28" s="153" t="s">
        <v>172</v>
      </c>
      <c r="E28" s="153" t="s">
        <v>80</v>
      </c>
      <c r="F28" s="248">
        <v>114</v>
      </c>
      <c r="G28" s="248">
        <v>6</v>
      </c>
      <c r="H28" s="248">
        <v>11</v>
      </c>
      <c r="I28" s="443">
        <v>6656</v>
      </c>
      <c r="J28" s="410">
        <v>1137</v>
      </c>
      <c r="K28" s="411">
        <f t="shared" si="2"/>
        <v>189.5</v>
      </c>
      <c r="L28" s="413">
        <f t="shared" si="3"/>
        <v>5.854001759014952</v>
      </c>
      <c r="M28" s="443">
        <f>1424760+644906+381265+231148+102150+55281+27155+11304+8097+4112+6656</f>
        <v>2896834</v>
      </c>
      <c r="N28" s="410">
        <f>161361+74014+43430+27827+13281+9202+4917+1839+1628+687+1137</f>
        <v>339323</v>
      </c>
      <c r="O28" s="310">
        <f t="shared" si="1"/>
        <v>8.537098870397822</v>
      </c>
      <c r="P28" s="215"/>
    </row>
    <row r="29" spans="1:16" s="7" customFormat="1" ht="15">
      <c r="A29" s="87">
        <v>25</v>
      </c>
      <c r="B29" s="309" t="s">
        <v>34</v>
      </c>
      <c r="C29" s="100">
        <v>39297</v>
      </c>
      <c r="D29" s="154" t="s">
        <v>180</v>
      </c>
      <c r="E29" s="154" t="s">
        <v>432</v>
      </c>
      <c r="F29" s="308">
        <v>10</v>
      </c>
      <c r="G29" s="308">
        <v>9</v>
      </c>
      <c r="H29" s="308">
        <v>3</v>
      </c>
      <c r="I29" s="445">
        <v>6244</v>
      </c>
      <c r="J29" s="418">
        <v>711</v>
      </c>
      <c r="K29" s="411">
        <f>+J29/G29</f>
        <v>79</v>
      </c>
      <c r="L29" s="413">
        <f t="shared" si="3"/>
        <v>8.781997187060478</v>
      </c>
      <c r="M29" s="445">
        <v>53874</v>
      </c>
      <c r="N29" s="418">
        <v>5125</v>
      </c>
      <c r="O29" s="310">
        <f t="shared" si="1"/>
        <v>10.512</v>
      </c>
      <c r="P29" s="215"/>
    </row>
    <row r="30" spans="1:16" s="7" customFormat="1" ht="15">
      <c r="A30" s="87">
        <v>26</v>
      </c>
      <c r="B30" s="302" t="s">
        <v>455</v>
      </c>
      <c r="C30" s="98">
        <v>39276</v>
      </c>
      <c r="D30" s="152" t="s">
        <v>173</v>
      </c>
      <c r="E30" s="152" t="s">
        <v>179</v>
      </c>
      <c r="F30" s="295">
        <v>20</v>
      </c>
      <c r="G30" s="295">
        <v>20</v>
      </c>
      <c r="H30" s="295">
        <v>6</v>
      </c>
      <c r="I30" s="442">
        <v>6178</v>
      </c>
      <c r="J30" s="414">
        <v>1331</v>
      </c>
      <c r="K30" s="411">
        <f>J30/G30</f>
        <v>66.55</v>
      </c>
      <c r="L30" s="413">
        <f t="shared" si="3"/>
        <v>4.641622839969948</v>
      </c>
      <c r="M30" s="442">
        <v>103239</v>
      </c>
      <c r="N30" s="414">
        <v>12626</v>
      </c>
      <c r="O30" s="310">
        <f t="shared" si="1"/>
        <v>8.176698875336607</v>
      </c>
      <c r="P30" s="215"/>
    </row>
    <row r="31" spans="1:16" s="7" customFormat="1" ht="15">
      <c r="A31" s="87">
        <v>27</v>
      </c>
      <c r="B31" s="301" t="s">
        <v>289</v>
      </c>
      <c r="C31" s="97">
        <v>39080</v>
      </c>
      <c r="D31" s="153" t="s">
        <v>27</v>
      </c>
      <c r="E31" s="153" t="s">
        <v>43</v>
      </c>
      <c r="F31" s="248" t="s">
        <v>290</v>
      </c>
      <c r="G31" s="248" t="s">
        <v>2</v>
      </c>
      <c r="H31" s="248" t="s">
        <v>560</v>
      </c>
      <c r="I31" s="443">
        <v>5940</v>
      </c>
      <c r="J31" s="410">
        <v>1188</v>
      </c>
      <c r="K31" s="411">
        <f>J31/G31</f>
        <v>1188</v>
      </c>
      <c r="L31" s="413">
        <f t="shared" si="3"/>
        <v>5</v>
      </c>
      <c r="M31" s="443">
        <v>3120873.5</v>
      </c>
      <c r="N31" s="410">
        <v>427199</v>
      </c>
      <c r="O31" s="310">
        <f t="shared" si="1"/>
        <v>7.3054325969864164</v>
      </c>
      <c r="P31" s="215"/>
    </row>
    <row r="32" spans="1:16" s="7" customFormat="1" ht="15">
      <c r="A32" s="87">
        <v>28</v>
      </c>
      <c r="B32" s="301" t="s">
        <v>462</v>
      </c>
      <c r="C32" s="97">
        <v>39283</v>
      </c>
      <c r="D32" s="153" t="s">
        <v>171</v>
      </c>
      <c r="E32" s="153" t="s">
        <v>301</v>
      </c>
      <c r="F32" s="248">
        <v>20</v>
      </c>
      <c r="G32" s="248">
        <v>20</v>
      </c>
      <c r="H32" s="248">
        <v>5</v>
      </c>
      <c r="I32" s="443">
        <v>5702</v>
      </c>
      <c r="J32" s="410">
        <v>961</v>
      </c>
      <c r="K32" s="411">
        <f>J32/G32</f>
        <v>48.05</v>
      </c>
      <c r="L32" s="413">
        <f t="shared" si="3"/>
        <v>5.933402705515088</v>
      </c>
      <c r="M32" s="443">
        <v>146278</v>
      </c>
      <c r="N32" s="410">
        <v>14862</v>
      </c>
      <c r="O32" s="310">
        <f t="shared" si="1"/>
        <v>9.8424169021666</v>
      </c>
      <c r="P32" s="215"/>
    </row>
    <row r="33" spans="1:16" s="7" customFormat="1" ht="15">
      <c r="A33" s="87">
        <v>29</v>
      </c>
      <c r="B33" s="301" t="s">
        <v>401</v>
      </c>
      <c r="C33" s="97">
        <v>39269</v>
      </c>
      <c r="D33" s="153" t="s">
        <v>172</v>
      </c>
      <c r="E33" s="153" t="s">
        <v>187</v>
      </c>
      <c r="F33" s="248">
        <v>56</v>
      </c>
      <c r="G33" s="248">
        <v>12</v>
      </c>
      <c r="H33" s="248">
        <v>7</v>
      </c>
      <c r="I33" s="443">
        <v>5664</v>
      </c>
      <c r="J33" s="410">
        <v>1143</v>
      </c>
      <c r="K33" s="411">
        <f>J33/G33</f>
        <v>95.25</v>
      </c>
      <c r="L33" s="413">
        <f t="shared" si="3"/>
        <v>4.955380577427822</v>
      </c>
      <c r="M33" s="443">
        <f>134837+97635+42479+18441+18948+8209+5664</f>
        <v>326213</v>
      </c>
      <c r="N33" s="410">
        <f>16076+11892+5691+3289+3420+1591+1143</f>
        <v>43102</v>
      </c>
      <c r="O33" s="310">
        <f t="shared" si="1"/>
        <v>7.568395898102176</v>
      </c>
      <c r="P33" s="215"/>
    </row>
    <row r="34" spans="1:16" s="7" customFormat="1" ht="15">
      <c r="A34" s="87">
        <v>30</v>
      </c>
      <c r="B34" s="302" t="s">
        <v>526</v>
      </c>
      <c r="C34" s="98">
        <v>39227</v>
      </c>
      <c r="D34" s="152" t="s">
        <v>173</v>
      </c>
      <c r="E34" s="152" t="s">
        <v>176</v>
      </c>
      <c r="F34" s="295">
        <v>216</v>
      </c>
      <c r="G34" s="295">
        <v>6</v>
      </c>
      <c r="H34" s="295">
        <v>13</v>
      </c>
      <c r="I34" s="442">
        <v>4705</v>
      </c>
      <c r="J34" s="414">
        <v>1461</v>
      </c>
      <c r="K34" s="411">
        <f>J34/G34</f>
        <v>243.5</v>
      </c>
      <c r="L34" s="413">
        <f t="shared" si="3"/>
        <v>3.220396988364134</v>
      </c>
      <c r="M34" s="442">
        <v>7384180</v>
      </c>
      <c r="N34" s="414">
        <v>965771</v>
      </c>
      <c r="O34" s="310">
        <f t="shared" si="1"/>
        <v>7.645891210235138</v>
      </c>
      <c r="P34" s="215"/>
    </row>
    <row r="35" spans="1:16" s="7" customFormat="1" ht="15">
      <c r="A35" s="87">
        <v>31</v>
      </c>
      <c r="B35" s="301" t="s">
        <v>246</v>
      </c>
      <c r="C35" s="97">
        <v>39171</v>
      </c>
      <c r="D35" s="153" t="s">
        <v>99</v>
      </c>
      <c r="E35" s="153" t="s">
        <v>99</v>
      </c>
      <c r="F35" s="248">
        <v>20</v>
      </c>
      <c r="G35" s="248">
        <v>3</v>
      </c>
      <c r="H35" s="248">
        <v>17</v>
      </c>
      <c r="I35" s="443">
        <v>3617</v>
      </c>
      <c r="J35" s="410">
        <v>799</v>
      </c>
      <c r="K35" s="411">
        <f>+J35/G35</f>
        <v>266.3333333333333</v>
      </c>
      <c r="L35" s="413">
        <f t="shared" si="3"/>
        <v>4.526908635794744</v>
      </c>
      <c r="M35" s="442">
        <v>250099</v>
      </c>
      <c r="N35" s="414">
        <v>27010</v>
      </c>
      <c r="O35" s="310">
        <f t="shared" si="1"/>
        <v>9.259496482784154</v>
      </c>
      <c r="P35" s="215"/>
    </row>
    <row r="36" spans="1:16" s="7" customFormat="1" ht="15">
      <c r="A36" s="87">
        <v>32</v>
      </c>
      <c r="B36" s="301" t="s">
        <v>414</v>
      </c>
      <c r="C36" s="97">
        <v>39129</v>
      </c>
      <c r="D36" s="153" t="s">
        <v>172</v>
      </c>
      <c r="E36" s="153" t="s">
        <v>177</v>
      </c>
      <c r="F36" s="248">
        <v>72</v>
      </c>
      <c r="G36" s="248">
        <v>2</v>
      </c>
      <c r="H36" s="248">
        <v>12</v>
      </c>
      <c r="I36" s="443">
        <v>3564</v>
      </c>
      <c r="J36" s="410">
        <v>1020</v>
      </c>
      <c r="K36" s="411">
        <f aca="true" t="shared" si="4" ref="K36:K59">J36/G36</f>
        <v>510</v>
      </c>
      <c r="L36" s="413">
        <f t="shared" si="3"/>
        <v>3.4941176470588236</v>
      </c>
      <c r="M36" s="443">
        <f>1024988+679541+410193+207911+76405+45780+25921+20590+1599+1014+626+993+3564</f>
        <v>2499125</v>
      </c>
      <c r="N36" s="410">
        <f>121457+81309+49212+25967+12824+9651+5051+4320+382+310+180+1020</f>
        <v>311683</v>
      </c>
      <c r="O36" s="310">
        <f t="shared" si="1"/>
        <v>8.018162684522416</v>
      </c>
      <c r="P36" s="215"/>
    </row>
    <row r="37" spans="1:16" s="7" customFormat="1" ht="15">
      <c r="A37" s="87">
        <v>33</v>
      </c>
      <c r="B37" s="302" t="s">
        <v>159</v>
      </c>
      <c r="C37" s="98">
        <v>38674</v>
      </c>
      <c r="D37" s="152" t="s">
        <v>174</v>
      </c>
      <c r="E37" s="152" t="s">
        <v>450</v>
      </c>
      <c r="F37" s="295">
        <v>135</v>
      </c>
      <c r="G37" s="295">
        <v>1</v>
      </c>
      <c r="H37" s="295">
        <v>59</v>
      </c>
      <c r="I37" s="442">
        <v>3564</v>
      </c>
      <c r="J37" s="414">
        <v>891</v>
      </c>
      <c r="K37" s="411">
        <f t="shared" si="4"/>
        <v>891</v>
      </c>
      <c r="L37" s="413">
        <f t="shared" si="3"/>
        <v>4</v>
      </c>
      <c r="M37" s="442">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+2013.5+1188+3565+3564</f>
        <v>25429577</v>
      </c>
      <c r="N37" s="414">
        <f>74406+182802+367017+453161+369242+239307+216443+244832+235512+212084+230729+167361+134787+155924+132040+97910+71996+60438+31787+16691+9973+5959+2986+3569+5752+1319+6383+116+74+2435+21718+7677+8998+2322+3842+5954+1789+5799+2025+141+20137+7199+1304+37+1142+84+717+103+476+105+238+96+1007+806+357+503+297+891+891</f>
        <v>3829690</v>
      </c>
      <c r="O37" s="310">
        <f aca="true" t="shared" si="5" ref="O37:O68">M37/N37</f>
        <v>6.640113690664258</v>
      </c>
      <c r="P37" s="215"/>
    </row>
    <row r="38" spans="1:16" s="7" customFormat="1" ht="15">
      <c r="A38" s="87">
        <v>34</v>
      </c>
      <c r="B38" s="302" t="s">
        <v>198</v>
      </c>
      <c r="C38" s="98">
        <v>39010</v>
      </c>
      <c r="D38" s="152" t="s">
        <v>174</v>
      </c>
      <c r="E38" s="152" t="s">
        <v>187</v>
      </c>
      <c r="F38" s="295">
        <v>249</v>
      </c>
      <c r="G38" s="295">
        <v>1</v>
      </c>
      <c r="H38" s="295">
        <v>28</v>
      </c>
      <c r="I38" s="442">
        <v>3564</v>
      </c>
      <c r="J38" s="414">
        <v>891</v>
      </c>
      <c r="K38" s="411">
        <f t="shared" si="4"/>
        <v>891</v>
      </c>
      <c r="L38" s="413">
        <f t="shared" si="3"/>
        <v>4</v>
      </c>
      <c r="M38" s="442">
        <f>2091324+1603944+1186300.5+991717.5+717901+573177.5+337639.5+220215+96901+28369.5+13340+3471+3453+2097+5274.5+130+2629+49+347+318+369+3021+100+180+2013.5-3+1782+11619+2376+3564</f>
        <v>7903619.5</v>
      </c>
      <c r="N38" s="414">
        <f>295082+234355+172754+142027+106368+86447+53316+35787+14919+3959+1914+491+674+307+1016+18+519+7+123+128+113+604+12+60+503-1+446+2905+594+891</f>
        <v>1156338</v>
      </c>
      <c r="O38" s="310">
        <f t="shared" si="5"/>
        <v>6.835042608649029</v>
      </c>
      <c r="P38" s="215"/>
    </row>
    <row r="39" spans="1:16" s="7" customFormat="1" ht="15">
      <c r="A39" s="87">
        <v>35</v>
      </c>
      <c r="B39" s="301" t="s">
        <v>368</v>
      </c>
      <c r="C39" s="97">
        <v>39248</v>
      </c>
      <c r="D39" s="153" t="s">
        <v>172</v>
      </c>
      <c r="E39" s="153" t="s">
        <v>310</v>
      </c>
      <c r="F39" s="248">
        <v>40</v>
      </c>
      <c r="G39" s="248">
        <v>7</v>
      </c>
      <c r="H39" s="248">
        <v>10</v>
      </c>
      <c r="I39" s="443">
        <v>3332</v>
      </c>
      <c r="J39" s="410">
        <v>408</v>
      </c>
      <c r="K39" s="411">
        <f t="shared" si="4"/>
        <v>58.285714285714285</v>
      </c>
      <c r="L39" s="413">
        <f t="shared" si="3"/>
        <v>8.166666666666666</v>
      </c>
      <c r="M39" s="443">
        <f>212978+130834+73437+13970+25870+15895+17337+3720+965+3332</f>
        <v>498338</v>
      </c>
      <c r="N39" s="410">
        <f>23206+14008+7879+2315+4428+2673+2724+635+130+408</f>
        <v>58406</v>
      </c>
      <c r="O39" s="310">
        <f t="shared" si="5"/>
        <v>8.53230832448721</v>
      </c>
      <c r="P39" s="215"/>
    </row>
    <row r="40" spans="1:16" s="7" customFormat="1" ht="15">
      <c r="A40" s="87">
        <v>36</v>
      </c>
      <c r="B40" s="301" t="s">
        <v>443</v>
      </c>
      <c r="C40" s="97">
        <v>39157</v>
      </c>
      <c r="D40" s="153" t="s">
        <v>27</v>
      </c>
      <c r="E40" s="153" t="s">
        <v>245</v>
      </c>
      <c r="F40" s="248" t="s">
        <v>442</v>
      </c>
      <c r="G40" s="248" t="s">
        <v>478</v>
      </c>
      <c r="H40" s="248" t="s">
        <v>554</v>
      </c>
      <c r="I40" s="443">
        <v>3272.5</v>
      </c>
      <c r="J40" s="410">
        <v>548</v>
      </c>
      <c r="K40" s="411">
        <f t="shared" si="4"/>
        <v>78.28571428571429</v>
      </c>
      <c r="L40" s="413">
        <f t="shared" si="3"/>
        <v>5.971715328467154</v>
      </c>
      <c r="M40" s="443">
        <v>2055739</v>
      </c>
      <c r="N40" s="410">
        <v>275034</v>
      </c>
      <c r="O40" s="310">
        <f t="shared" si="5"/>
        <v>7.474490426638161</v>
      </c>
      <c r="P40" s="215"/>
    </row>
    <row r="41" spans="1:16" s="7" customFormat="1" ht="15">
      <c r="A41" s="87">
        <v>37</v>
      </c>
      <c r="B41" s="302" t="s">
        <v>295</v>
      </c>
      <c r="C41" s="98">
        <v>39059</v>
      </c>
      <c r="D41" s="152" t="s">
        <v>174</v>
      </c>
      <c r="E41" s="152" t="s">
        <v>296</v>
      </c>
      <c r="F41" s="295">
        <v>50</v>
      </c>
      <c r="G41" s="295">
        <v>2</v>
      </c>
      <c r="H41" s="295">
        <v>11</v>
      </c>
      <c r="I41" s="442">
        <v>3202</v>
      </c>
      <c r="J41" s="414">
        <v>801</v>
      </c>
      <c r="K41" s="411">
        <f t="shared" si="4"/>
        <v>400.5</v>
      </c>
      <c r="L41" s="413">
        <f t="shared" si="3"/>
        <v>3.9975031210986267</v>
      </c>
      <c r="M41" s="442">
        <f>95976+27053.5+1651.5+10528+5178+408+2645+2752.5+299+297+3202</f>
        <v>149990.5</v>
      </c>
      <c r="N41" s="414">
        <f>13133+4039+338+2058+1187+60+552+997+67+64+801</f>
        <v>23296</v>
      </c>
      <c r="O41" s="310">
        <f t="shared" si="5"/>
        <v>6.438465831043956</v>
      </c>
      <c r="P41" s="215"/>
    </row>
    <row r="42" spans="1:16" s="7" customFormat="1" ht="15">
      <c r="A42" s="87">
        <v>38</v>
      </c>
      <c r="B42" s="302" t="s">
        <v>491</v>
      </c>
      <c r="C42" s="98">
        <v>39199</v>
      </c>
      <c r="D42" s="152" t="s">
        <v>174</v>
      </c>
      <c r="E42" s="152" t="s">
        <v>175</v>
      </c>
      <c r="F42" s="295">
        <v>12</v>
      </c>
      <c r="G42" s="295">
        <v>1</v>
      </c>
      <c r="H42" s="295">
        <v>15</v>
      </c>
      <c r="I42" s="442">
        <v>3021</v>
      </c>
      <c r="J42" s="414">
        <v>755</v>
      </c>
      <c r="K42" s="411">
        <f t="shared" si="4"/>
        <v>755</v>
      </c>
      <c r="L42" s="413">
        <f t="shared" si="3"/>
        <v>4.001324503311258</v>
      </c>
      <c r="M42" s="442">
        <f>65278+43624+18025+11913.5+8482+5984+2783+1516+591+802+176+51+185+155+1007+3021</f>
        <v>163593.5</v>
      </c>
      <c r="N42" s="414">
        <f>6781+4516+2043+1620+1413+932+527+294+132+80+21+9+37+31+252+755</f>
        <v>19443</v>
      </c>
      <c r="O42" s="310">
        <f t="shared" si="5"/>
        <v>8.414005040374429</v>
      </c>
      <c r="P42" s="215"/>
    </row>
    <row r="43" spans="1:16" s="7" customFormat="1" ht="15">
      <c r="A43" s="87">
        <v>39</v>
      </c>
      <c r="B43" s="301" t="s">
        <v>351</v>
      </c>
      <c r="C43" s="98">
        <v>39178</v>
      </c>
      <c r="D43" s="153" t="s">
        <v>5</v>
      </c>
      <c r="E43" s="153" t="s">
        <v>9</v>
      </c>
      <c r="F43" s="248">
        <v>43</v>
      </c>
      <c r="G43" s="248">
        <v>7</v>
      </c>
      <c r="H43" s="248">
        <v>19</v>
      </c>
      <c r="I43" s="443">
        <v>2779</v>
      </c>
      <c r="J43" s="410">
        <v>470</v>
      </c>
      <c r="K43" s="411">
        <f t="shared" si="4"/>
        <v>67.14285714285714</v>
      </c>
      <c r="L43" s="413">
        <f t="shared" si="3"/>
        <v>5.912765957446808</v>
      </c>
      <c r="M43" s="443">
        <v>832501.1</v>
      </c>
      <c r="N43" s="410">
        <v>109510</v>
      </c>
      <c r="O43" s="310">
        <f t="shared" si="5"/>
        <v>7.602055520043831</v>
      </c>
      <c r="P43" s="215"/>
    </row>
    <row r="44" spans="1:16" s="7" customFormat="1" ht="15">
      <c r="A44" s="87">
        <v>40</v>
      </c>
      <c r="B44" s="302" t="s">
        <v>215</v>
      </c>
      <c r="C44" s="98">
        <v>39157</v>
      </c>
      <c r="D44" s="152" t="s">
        <v>174</v>
      </c>
      <c r="E44" s="152" t="s">
        <v>175</v>
      </c>
      <c r="F44" s="295">
        <v>40</v>
      </c>
      <c r="G44" s="295">
        <v>1</v>
      </c>
      <c r="H44" s="295">
        <v>16</v>
      </c>
      <c r="I44" s="442">
        <v>2376</v>
      </c>
      <c r="J44" s="414">
        <v>594</v>
      </c>
      <c r="K44" s="411">
        <f t="shared" si="4"/>
        <v>594</v>
      </c>
      <c r="L44" s="413">
        <f t="shared" si="3"/>
        <v>4</v>
      </c>
      <c r="M44" s="442">
        <f>145121+79532.5+31459-84.5+26093+10059+2699+4061.5+425+625+303+43+10+400.5+3564+2376</f>
        <v>306687</v>
      </c>
      <c r="N44" s="414">
        <f>16974+9206+3759-9+4636+1902+531+800+88+129+84+6+1+74+891+594</f>
        <v>39666</v>
      </c>
      <c r="O44" s="310">
        <f t="shared" si="5"/>
        <v>7.731734987142641</v>
      </c>
      <c r="P44" s="215"/>
    </row>
    <row r="45" spans="1:16" s="7" customFormat="1" ht="15">
      <c r="A45" s="87">
        <v>41</v>
      </c>
      <c r="B45" s="309" t="s">
        <v>460</v>
      </c>
      <c r="C45" s="100">
        <v>39276</v>
      </c>
      <c r="D45" s="154" t="s">
        <v>180</v>
      </c>
      <c r="E45" s="154" t="s">
        <v>9</v>
      </c>
      <c r="F45" s="308">
        <v>26</v>
      </c>
      <c r="G45" s="308">
        <v>9</v>
      </c>
      <c r="H45" s="308">
        <v>6</v>
      </c>
      <c r="I45" s="445">
        <v>2353</v>
      </c>
      <c r="J45" s="418">
        <v>434</v>
      </c>
      <c r="K45" s="411">
        <f t="shared" si="4"/>
        <v>48.22222222222222</v>
      </c>
      <c r="L45" s="413">
        <f t="shared" si="3"/>
        <v>5.421658986175115</v>
      </c>
      <c r="M45" s="445">
        <v>312167</v>
      </c>
      <c r="N45" s="418">
        <v>31343</v>
      </c>
      <c r="O45" s="310">
        <f t="shared" si="5"/>
        <v>9.959703921130714</v>
      </c>
      <c r="P45" s="215"/>
    </row>
    <row r="46" spans="1:16" s="7" customFormat="1" ht="15">
      <c r="A46" s="87">
        <v>42</v>
      </c>
      <c r="B46" s="301" t="s">
        <v>495</v>
      </c>
      <c r="C46" s="97">
        <v>39206</v>
      </c>
      <c r="D46" s="153" t="s">
        <v>172</v>
      </c>
      <c r="E46" s="153" t="s">
        <v>177</v>
      </c>
      <c r="F46" s="248">
        <v>163</v>
      </c>
      <c r="G46" s="248">
        <v>4</v>
      </c>
      <c r="H46" s="248">
        <v>16</v>
      </c>
      <c r="I46" s="443">
        <v>2302</v>
      </c>
      <c r="J46" s="410">
        <v>320</v>
      </c>
      <c r="K46" s="411">
        <f t="shared" si="4"/>
        <v>80</v>
      </c>
      <c r="L46" s="413">
        <f t="shared" si="3"/>
        <v>7.19375</v>
      </c>
      <c r="M46" s="443">
        <f>2739132+1415220+863921+292563+163748+73051+52236+22471+12322+7793+3792+3061+6867+1708+8702+2302</f>
        <v>5668889</v>
      </c>
      <c r="N46" s="410">
        <f>347281+180161+109405+38153+22549+13412+12422+3817+2194+1661+709+551+1810+183+2155+320</f>
        <v>736783</v>
      </c>
      <c r="O46" s="310">
        <f t="shared" si="5"/>
        <v>7.694109391774783</v>
      </c>
      <c r="P46" s="215"/>
    </row>
    <row r="47" spans="1:16" s="7" customFormat="1" ht="15">
      <c r="A47" s="87">
        <v>43</v>
      </c>
      <c r="B47" s="301" t="s">
        <v>373</v>
      </c>
      <c r="C47" s="97">
        <v>39255</v>
      </c>
      <c r="D47" s="153" t="s">
        <v>172</v>
      </c>
      <c r="E47" s="153" t="s">
        <v>177</v>
      </c>
      <c r="F47" s="248">
        <v>55</v>
      </c>
      <c r="G47" s="248">
        <v>5</v>
      </c>
      <c r="H47" s="248">
        <v>9</v>
      </c>
      <c r="I47" s="443">
        <v>2257</v>
      </c>
      <c r="J47" s="410">
        <v>390</v>
      </c>
      <c r="K47" s="411">
        <f t="shared" si="4"/>
        <v>78</v>
      </c>
      <c r="L47" s="413">
        <f t="shared" si="3"/>
        <v>5.787179487179487</v>
      </c>
      <c r="M47" s="443">
        <f>260034+143561+70552+30948+36753+23464+6132+1505+2257</f>
        <v>575206</v>
      </c>
      <c r="N47" s="410">
        <f>29412+16993+8626+5233+6470+4052+961+328+390</f>
        <v>72465</v>
      </c>
      <c r="O47" s="310">
        <f t="shared" si="5"/>
        <v>7.937707858966397</v>
      </c>
      <c r="P47" s="215"/>
    </row>
    <row r="48" spans="1:16" s="7" customFormat="1" ht="15">
      <c r="A48" s="87">
        <v>44</v>
      </c>
      <c r="B48" s="302" t="s">
        <v>195</v>
      </c>
      <c r="C48" s="98">
        <v>39052</v>
      </c>
      <c r="D48" s="152" t="s">
        <v>174</v>
      </c>
      <c r="E48" s="152" t="s">
        <v>83</v>
      </c>
      <c r="F48" s="295">
        <v>90</v>
      </c>
      <c r="G48" s="295">
        <v>1</v>
      </c>
      <c r="H48" s="295">
        <v>25</v>
      </c>
      <c r="I48" s="442">
        <v>2164.5</v>
      </c>
      <c r="J48" s="414">
        <v>487</v>
      </c>
      <c r="K48" s="411">
        <f t="shared" si="4"/>
        <v>487</v>
      </c>
      <c r="L48" s="413">
        <f aca="true" t="shared" si="6" ref="L48:L72">I48/J48</f>
        <v>4.444558521560575</v>
      </c>
      <c r="M48" s="442">
        <f>806671+699007+428408.5+133320+137891.5+96374+73504+30884+17454.5+10984.5+8264+17976+5607+2782+4629+1262+1637+2202+2376+352+98+1901+1188+7+2164.5</f>
        <v>2486944.5</v>
      </c>
      <c r="N48" s="414">
        <f>108387+92156+56693+19301+21080+15913+13224+6184+3648+2101+1405+3081+939+414+964+287+585+531+475+88+12+475+297+1+487</f>
        <v>348728</v>
      </c>
      <c r="O48" s="310">
        <f t="shared" si="5"/>
        <v>7.131473526645409</v>
      </c>
      <c r="P48" s="215"/>
    </row>
    <row r="49" spans="1:16" s="7" customFormat="1" ht="15">
      <c r="A49" s="87">
        <v>45</v>
      </c>
      <c r="B49" s="302" t="s">
        <v>410</v>
      </c>
      <c r="C49" s="98">
        <v>39129</v>
      </c>
      <c r="D49" s="152" t="s">
        <v>173</v>
      </c>
      <c r="E49" s="152" t="s">
        <v>561</v>
      </c>
      <c r="F49" s="295">
        <v>77</v>
      </c>
      <c r="G49" s="295">
        <v>3</v>
      </c>
      <c r="H49" s="295">
        <v>27</v>
      </c>
      <c r="I49" s="442">
        <v>2120</v>
      </c>
      <c r="J49" s="414">
        <v>296</v>
      </c>
      <c r="K49" s="411">
        <f t="shared" si="4"/>
        <v>98.66666666666667</v>
      </c>
      <c r="L49" s="413">
        <f t="shared" si="6"/>
        <v>7.162162162162162</v>
      </c>
      <c r="M49" s="442">
        <v>1556768</v>
      </c>
      <c r="N49" s="414">
        <v>199689</v>
      </c>
      <c r="O49" s="310">
        <f t="shared" si="5"/>
        <v>7.795962722032761</v>
      </c>
      <c r="P49" s="215"/>
    </row>
    <row r="50" spans="1:16" s="7" customFormat="1" ht="15">
      <c r="A50" s="87">
        <v>46</v>
      </c>
      <c r="B50" s="302" t="s">
        <v>562</v>
      </c>
      <c r="C50" s="98">
        <v>38660</v>
      </c>
      <c r="D50" s="152" t="s">
        <v>174</v>
      </c>
      <c r="E50" s="152" t="s">
        <v>563</v>
      </c>
      <c r="F50" s="295">
        <v>50</v>
      </c>
      <c r="G50" s="295">
        <v>1</v>
      </c>
      <c r="H50" s="295">
        <v>15</v>
      </c>
      <c r="I50" s="442">
        <v>2014</v>
      </c>
      <c r="J50" s="414">
        <v>504</v>
      </c>
      <c r="K50" s="411">
        <f t="shared" si="4"/>
        <v>504</v>
      </c>
      <c r="L50" s="413">
        <f t="shared" si="6"/>
        <v>3.996031746031746</v>
      </c>
      <c r="M50" s="442">
        <f>269702+101504+60027+19588+27775.5+12144.5+7585.5+330+4+1421+1006+761+293+6+14-6+14+2014</f>
        <v>504183.5</v>
      </c>
      <c r="N50" s="414">
        <f>35425+13799+8593+3695+6440+2685+1581+82+279+217+102+37+2+2+504</f>
        <v>73443</v>
      </c>
      <c r="O50" s="310">
        <f t="shared" si="5"/>
        <v>6.86496330487589</v>
      </c>
      <c r="P50" s="215"/>
    </row>
    <row r="51" spans="1:16" s="7" customFormat="1" ht="15">
      <c r="A51" s="87">
        <v>47</v>
      </c>
      <c r="B51" s="309" t="s">
        <v>287</v>
      </c>
      <c r="C51" s="100">
        <v>39199</v>
      </c>
      <c r="D51" s="154" t="s">
        <v>180</v>
      </c>
      <c r="E51" s="154" t="s">
        <v>181</v>
      </c>
      <c r="F51" s="308">
        <v>82</v>
      </c>
      <c r="G51" s="308">
        <v>3</v>
      </c>
      <c r="H51" s="308">
        <v>17</v>
      </c>
      <c r="I51" s="445">
        <v>1883</v>
      </c>
      <c r="J51" s="418">
        <v>368</v>
      </c>
      <c r="K51" s="411">
        <f t="shared" si="4"/>
        <v>122.66666666666667</v>
      </c>
      <c r="L51" s="413">
        <f t="shared" si="6"/>
        <v>5.116847826086956</v>
      </c>
      <c r="M51" s="445">
        <v>1340076</v>
      </c>
      <c r="N51" s="414">
        <v>163305</v>
      </c>
      <c r="O51" s="310">
        <f t="shared" si="5"/>
        <v>8.205970423440801</v>
      </c>
      <c r="P51" s="215"/>
    </row>
    <row r="52" spans="1:16" s="7" customFormat="1" ht="15">
      <c r="A52" s="87">
        <v>48</v>
      </c>
      <c r="B52" s="302" t="s">
        <v>199</v>
      </c>
      <c r="C52" s="98">
        <v>38877</v>
      </c>
      <c r="D52" s="152" t="s">
        <v>5</v>
      </c>
      <c r="E52" s="152" t="s">
        <v>9</v>
      </c>
      <c r="F52" s="295">
        <v>64</v>
      </c>
      <c r="G52" s="295">
        <v>2</v>
      </c>
      <c r="H52" s="295">
        <v>48</v>
      </c>
      <c r="I52" s="442">
        <v>1830</v>
      </c>
      <c r="J52" s="414">
        <v>268</v>
      </c>
      <c r="K52" s="414">
        <f t="shared" si="4"/>
        <v>134</v>
      </c>
      <c r="L52" s="461">
        <f t="shared" si="6"/>
        <v>6.8283582089552235</v>
      </c>
      <c r="M52" s="442">
        <v>281614</v>
      </c>
      <c r="N52" s="414">
        <v>49283</v>
      </c>
      <c r="O52" s="310">
        <f t="shared" si="5"/>
        <v>5.714221942657711</v>
      </c>
      <c r="P52" s="215"/>
    </row>
    <row r="53" spans="1:16" s="7" customFormat="1" ht="15">
      <c r="A53" s="87">
        <v>49</v>
      </c>
      <c r="B53" s="301" t="s">
        <v>139</v>
      </c>
      <c r="C53" s="97">
        <v>39115</v>
      </c>
      <c r="D53" s="153" t="s">
        <v>172</v>
      </c>
      <c r="E53" s="153" t="s">
        <v>80</v>
      </c>
      <c r="F53" s="248">
        <v>81</v>
      </c>
      <c r="G53" s="248">
        <v>1</v>
      </c>
      <c r="H53" s="248">
        <v>18</v>
      </c>
      <c r="I53" s="443">
        <v>1782</v>
      </c>
      <c r="J53" s="410">
        <v>594</v>
      </c>
      <c r="K53" s="411">
        <f t="shared" si="4"/>
        <v>594</v>
      </c>
      <c r="L53" s="413">
        <f t="shared" si="6"/>
        <v>3</v>
      </c>
      <c r="M53" s="443">
        <f>3091+1174032+810484+561094+347033+135358+88526+33166+9630+2505+2639+286+251+1782+152+910+672+1782+832+1782</f>
        <v>3176007</v>
      </c>
      <c r="N53" s="410">
        <f>289+128246+92369+63358+42093+20318+16522+7468+2207+501+1112+39+34+509+36+158+509+83+594</f>
        <v>376445</v>
      </c>
      <c r="O53" s="310">
        <f t="shared" si="5"/>
        <v>8.43684203535709</v>
      </c>
      <c r="P53" s="215"/>
    </row>
    <row r="54" spans="1:16" s="7" customFormat="1" ht="15">
      <c r="A54" s="87">
        <v>50</v>
      </c>
      <c r="B54" s="301" t="s">
        <v>433</v>
      </c>
      <c r="C54" s="97">
        <v>39048</v>
      </c>
      <c r="D54" s="153" t="s">
        <v>172</v>
      </c>
      <c r="E54" s="153" t="s">
        <v>80</v>
      </c>
      <c r="F54" s="248">
        <v>69</v>
      </c>
      <c r="G54" s="248">
        <v>1</v>
      </c>
      <c r="H54" s="248">
        <v>19</v>
      </c>
      <c r="I54" s="443">
        <v>1782</v>
      </c>
      <c r="J54" s="410">
        <v>510</v>
      </c>
      <c r="K54" s="411">
        <f t="shared" si="4"/>
        <v>510</v>
      </c>
      <c r="L54" s="413">
        <f t="shared" si="6"/>
        <v>3.4941176470588236</v>
      </c>
      <c r="M54" s="443">
        <f>1784+717+847980+543938+437343+283662.5-1.5+63775-9+23989+24707+13479+875+2752+191667+99293+3660+6621+3414+1721+1782+2014+1782</f>
        <v>2556945</v>
      </c>
      <c r="N54" s="410">
        <f>159+58+95070+64015+51768+33156+9566-1+4418+4942+2620+136+553+20779+11789+633+1562+960+460+297+202+510</f>
        <v>303652</v>
      </c>
      <c r="O54" s="310">
        <f t="shared" si="5"/>
        <v>8.42064270941736</v>
      </c>
      <c r="P54" s="215"/>
    </row>
    <row r="55" spans="1:16" s="7" customFormat="1" ht="15">
      <c r="A55" s="87">
        <v>51</v>
      </c>
      <c r="B55" s="301" t="s">
        <v>564</v>
      </c>
      <c r="C55" s="97">
        <v>39192</v>
      </c>
      <c r="D55" s="153" t="s">
        <v>172</v>
      </c>
      <c r="E55" s="153" t="s">
        <v>177</v>
      </c>
      <c r="F55" s="248">
        <v>71</v>
      </c>
      <c r="G55" s="248">
        <v>1</v>
      </c>
      <c r="H55" s="248">
        <v>14</v>
      </c>
      <c r="I55" s="443">
        <v>1782</v>
      </c>
      <c r="J55" s="410">
        <v>142</v>
      </c>
      <c r="K55" s="411">
        <f t="shared" si="4"/>
        <v>142</v>
      </c>
      <c r="L55" s="413">
        <f t="shared" si="6"/>
        <v>12.549295774647888</v>
      </c>
      <c r="M55" s="443">
        <f>650722+343253+182218+69965+35143+7805+4837+1724+2475+104+228+64+2609+1495+1782</f>
        <v>1304424</v>
      </c>
      <c r="N55" s="410">
        <f>69605+37920+20625+11182+6173+1433+1126+350+432+13+8+439+270+142</f>
        <v>149718</v>
      </c>
      <c r="O55" s="310">
        <f t="shared" si="5"/>
        <v>8.712539574399871</v>
      </c>
      <c r="P55" s="215"/>
    </row>
    <row r="56" spans="1:16" s="7" customFormat="1" ht="15">
      <c r="A56" s="87">
        <v>52</v>
      </c>
      <c r="B56" s="301" t="s">
        <v>403</v>
      </c>
      <c r="C56" s="97">
        <v>39269</v>
      </c>
      <c r="D56" s="153" t="s">
        <v>189</v>
      </c>
      <c r="E56" s="153" t="s">
        <v>301</v>
      </c>
      <c r="F56" s="248" t="s">
        <v>2</v>
      </c>
      <c r="G56" s="248" t="s">
        <v>2</v>
      </c>
      <c r="H56" s="248" t="s">
        <v>478</v>
      </c>
      <c r="I56" s="443">
        <v>1587</v>
      </c>
      <c r="J56" s="410">
        <v>211</v>
      </c>
      <c r="K56" s="411">
        <f t="shared" si="4"/>
        <v>211</v>
      </c>
      <c r="L56" s="413">
        <f t="shared" si="6"/>
        <v>7.521327014218009</v>
      </c>
      <c r="M56" s="443">
        <v>20676.88</v>
      </c>
      <c r="N56" s="410">
        <v>3401</v>
      </c>
      <c r="O56" s="310">
        <f t="shared" si="5"/>
        <v>6.079647162599236</v>
      </c>
      <c r="P56" s="215"/>
    </row>
    <row r="57" spans="1:16" s="7" customFormat="1" ht="15">
      <c r="A57" s="87">
        <v>53</v>
      </c>
      <c r="B57" s="301" t="s">
        <v>251</v>
      </c>
      <c r="C57" s="97">
        <v>39178</v>
      </c>
      <c r="D57" s="153" t="s">
        <v>172</v>
      </c>
      <c r="E57" s="153" t="s">
        <v>252</v>
      </c>
      <c r="F57" s="248">
        <v>34</v>
      </c>
      <c r="G57" s="248">
        <v>2</v>
      </c>
      <c r="H57" s="248">
        <v>15</v>
      </c>
      <c r="I57" s="443">
        <v>1576</v>
      </c>
      <c r="J57" s="410">
        <v>375</v>
      </c>
      <c r="K57" s="411">
        <f t="shared" si="4"/>
        <v>187.5</v>
      </c>
      <c r="L57" s="413">
        <f t="shared" si="6"/>
        <v>4.2026666666666666</v>
      </c>
      <c r="M57" s="443">
        <f>223196+134862+40207+12529+4197+8039+12995+1857+190+734+546+105+305+290+1576</f>
        <v>441628</v>
      </c>
      <c r="N57" s="410">
        <f>21768+13324+4159+1744+536+1050+1869+290+19+151+118+21+57+45+375</f>
        <v>45526</v>
      </c>
      <c r="O57" s="310">
        <f t="shared" si="5"/>
        <v>9.700566709133243</v>
      </c>
      <c r="P57" s="215"/>
    </row>
    <row r="58" spans="1:16" s="7" customFormat="1" ht="15">
      <c r="A58" s="87">
        <v>54</v>
      </c>
      <c r="B58" s="302" t="s">
        <v>319</v>
      </c>
      <c r="C58" s="98">
        <v>39038</v>
      </c>
      <c r="D58" s="152" t="s">
        <v>174</v>
      </c>
      <c r="E58" s="152" t="s">
        <v>320</v>
      </c>
      <c r="F58" s="295">
        <v>40</v>
      </c>
      <c r="G58" s="295">
        <v>1</v>
      </c>
      <c r="H58" s="295">
        <v>24</v>
      </c>
      <c r="I58" s="442">
        <v>1510.5</v>
      </c>
      <c r="J58" s="414">
        <v>378</v>
      </c>
      <c r="K58" s="411">
        <f t="shared" si="4"/>
        <v>378</v>
      </c>
      <c r="L58" s="413">
        <f t="shared" si="6"/>
        <v>3.996031746031746</v>
      </c>
      <c r="M58" s="442">
        <f>85423.5+40609.5+16428+10894.5+3106.5+2427+2630+460+1511+1189+1802+286+188+1782+2376+2230+1880+1432+216+1901+710+24+29+1510.5</f>
        <v>181045.5</v>
      </c>
      <c r="N58" s="414">
        <f>10842+5203+2181+1838+640+457+494+92+303+238+212+63+42+446+475+446+376+205+25+475+4+142+5+378</f>
        <v>25582</v>
      </c>
      <c r="O58" s="310">
        <f t="shared" si="5"/>
        <v>7.077065905714956</v>
      </c>
      <c r="P58" s="215"/>
    </row>
    <row r="59" spans="1:16" s="7" customFormat="1" ht="15">
      <c r="A59" s="87">
        <v>55</v>
      </c>
      <c r="B59" s="301" t="s">
        <v>41</v>
      </c>
      <c r="C59" s="97">
        <v>39010</v>
      </c>
      <c r="D59" s="153" t="s">
        <v>184</v>
      </c>
      <c r="E59" s="153" t="s">
        <v>22</v>
      </c>
      <c r="F59" s="248">
        <v>1</v>
      </c>
      <c r="G59" s="248">
        <v>1</v>
      </c>
      <c r="H59" s="248">
        <v>12</v>
      </c>
      <c r="I59" s="500">
        <v>1403</v>
      </c>
      <c r="J59" s="501">
        <v>216</v>
      </c>
      <c r="K59" s="411">
        <f t="shared" si="4"/>
        <v>216</v>
      </c>
      <c r="L59" s="413">
        <f t="shared" si="6"/>
        <v>6.49537037037037</v>
      </c>
      <c r="M59" s="500">
        <v>30303</v>
      </c>
      <c r="N59" s="501">
        <v>5026</v>
      </c>
      <c r="O59" s="310">
        <f t="shared" si="5"/>
        <v>6.02924791086351</v>
      </c>
      <c r="P59" s="215"/>
    </row>
    <row r="60" spans="1:16" s="7" customFormat="1" ht="15">
      <c r="A60" s="87">
        <v>56</v>
      </c>
      <c r="B60" s="302" t="s">
        <v>463</v>
      </c>
      <c r="C60" s="98">
        <v>38947</v>
      </c>
      <c r="D60" s="152" t="s">
        <v>174</v>
      </c>
      <c r="E60" s="152" t="s">
        <v>175</v>
      </c>
      <c r="F60" s="295">
        <v>106</v>
      </c>
      <c r="G60" s="295">
        <v>1</v>
      </c>
      <c r="H60" s="295">
        <v>29</v>
      </c>
      <c r="I60" s="442">
        <v>1128</v>
      </c>
      <c r="J60" s="414">
        <v>188</v>
      </c>
      <c r="K60" s="411">
        <f>+J60/G60</f>
        <v>188</v>
      </c>
      <c r="L60" s="413">
        <f t="shared" si="6"/>
        <v>6</v>
      </c>
      <c r="M60" s="442">
        <f>851045+613251.5+405140+216081+124391+88721.5+33772.5+20268.5+9628+2255.5+1314.5+2611.5+726.5+537.5+1115+625.5+6606+1330.5+1386+-611+1222+4532+530+28400+130+4027.5+416+3201.5+838+1128</f>
        <v>2424621.5</v>
      </c>
      <c r="N60" s="414">
        <f>116878+84823+56865+31359+21609+17621+6633+4111+1582+390+233+473+110+78+157+95+2946+355+318+132+906+105+5667+18+806+100+801+209+188</f>
        <v>355568</v>
      </c>
      <c r="O60" s="310">
        <f t="shared" si="5"/>
        <v>6.81900930342438</v>
      </c>
      <c r="P60" s="215"/>
    </row>
    <row r="61" spans="1:16" s="7" customFormat="1" ht="15">
      <c r="A61" s="87">
        <v>57</v>
      </c>
      <c r="B61" s="302" t="s">
        <v>191</v>
      </c>
      <c r="C61" s="98">
        <v>39045</v>
      </c>
      <c r="D61" s="152" t="s">
        <v>174</v>
      </c>
      <c r="E61" s="152" t="s">
        <v>192</v>
      </c>
      <c r="F61" s="295">
        <v>59</v>
      </c>
      <c r="G61" s="295">
        <v>1</v>
      </c>
      <c r="H61" s="295">
        <v>27</v>
      </c>
      <c r="I61" s="442">
        <v>972</v>
      </c>
      <c r="J61" s="414">
        <v>162</v>
      </c>
      <c r="K61" s="411">
        <f aca="true" t="shared" si="7" ref="K61:K72">J61/G61</f>
        <v>162</v>
      </c>
      <c r="L61" s="413">
        <f t="shared" si="6"/>
        <v>6</v>
      </c>
      <c r="M61" s="442">
        <f>923228.5+937012.5+950194+628448.5+336851+386155+185586+7528+78557+38487.5+19951.5+79+2267.5-1008+9203+2435+1210+836+3795.5+1284+1033+2376+108+8910+3564+10330+5034+2376+2376+972</f>
        <v>4549180.5</v>
      </c>
      <c r="N61" s="414">
        <f>117837+123027+120667+81172+47916+61261+32646+795+14471+9345+4644+35+561-336+1591+487+300+161+1018+303+241+475+13+2228+891+2583+1259+594+594+162</f>
        <v>626941</v>
      </c>
      <c r="O61" s="310">
        <f t="shared" si="5"/>
        <v>7.2561540878647275</v>
      </c>
      <c r="P61" s="215"/>
    </row>
    <row r="62" spans="1:16" s="7" customFormat="1" ht="15">
      <c r="A62" s="87">
        <v>58</v>
      </c>
      <c r="B62" s="302" t="s">
        <v>484</v>
      </c>
      <c r="C62" s="98">
        <v>39213</v>
      </c>
      <c r="D62" s="152" t="s">
        <v>174</v>
      </c>
      <c r="E62" s="152" t="s">
        <v>175</v>
      </c>
      <c r="F62" s="295">
        <v>1</v>
      </c>
      <c r="G62" s="295">
        <v>1</v>
      </c>
      <c r="H62" s="295">
        <v>15</v>
      </c>
      <c r="I62" s="442">
        <v>917</v>
      </c>
      <c r="J62" s="414">
        <v>121</v>
      </c>
      <c r="K62" s="411">
        <f t="shared" si="7"/>
        <v>121</v>
      </c>
      <c r="L62" s="413">
        <f t="shared" si="6"/>
        <v>7.578512396694215</v>
      </c>
      <c r="M62" s="442">
        <f>23022+3295+935+946+734+524+260+264+324+228+783+301+702+1006+917</f>
        <v>34241</v>
      </c>
      <c r="N62" s="414">
        <f>3601+659+187+99+75+55+28+30+35+44+117+60+110+134+121</f>
        <v>5355</v>
      </c>
      <c r="O62" s="310">
        <f t="shared" si="5"/>
        <v>6.39421101774043</v>
      </c>
      <c r="P62" s="215"/>
    </row>
    <row r="63" spans="1:16" s="7" customFormat="1" ht="15">
      <c r="A63" s="87">
        <v>59</v>
      </c>
      <c r="B63" s="301" t="s">
        <v>272</v>
      </c>
      <c r="C63" s="97">
        <v>39185</v>
      </c>
      <c r="D63" s="153" t="s">
        <v>172</v>
      </c>
      <c r="E63" s="153" t="s">
        <v>37</v>
      </c>
      <c r="F63" s="248">
        <v>18</v>
      </c>
      <c r="G63" s="248">
        <v>2</v>
      </c>
      <c r="H63" s="248">
        <v>13</v>
      </c>
      <c r="I63" s="443">
        <v>867</v>
      </c>
      <c r="J63" s="410">
        <v>161</v>
      </c>
      <c r="K63" s="411">
        <f t="shared" si="7"/>
        <v>80.5</v>
      </c>
      <c r="L63" s="413">
        <f t="shared" si="6"/>
        <v>5.385093167701863</v>
      </c>
      <c r="M63" s="443">
        <f>30174+1530+1183+615+267+1789+987+401+549+1013+1120+376+867</f>
        <v>40871</v>
      </c>
      <c r="N63" s="410">
        <f>3096+224+261+123+52+470+182+51+89+211+227+77+161</f>
        <v>5224</v>
      </c>
      <c r="O63" s="310">
        <f t="shared" si="5"/>
        <v>7.823698315467075</v>
      </c>
      <c r="P63" s="215"/>
    </row>
    <row r="64" spans="1:16" s="7" customFormat="1" ht="15">
      <c r="A64" s="87">
        <v>60</v>
      </c>
      <c r="B64" s="302" t="s">
        <v>135</v>
      </c>
      <c r="C64" s="98">
        <v>38849</v>
      </c>
      <c r="D64" s="153" t="s">
        <v>99</v>
      </c>
      <c r="E64" s="153" t="s">
        <v>99</v>
      </c>
      <c r="F64" s="295">
        <v>21</v>
      </c>
      <c r="G64" s="248">
        <v>1</v>
      </c>
      <c r="H64" s="295">
        <v>19</v>
      </c>
      <c r="I64" s="443">
        <v>758</v>
      </c>
      <c r="J64" s="410">
        <v>131</v>
      </c>
      <c r="K64" s="411">
        <f t="shared" si="7"/>
        <v>131</v>
      </c>
      <c r="L64" s="413">
        <f t="shared" si="6"/>
        <v>5.786259541984733</v>
      </c>
      <c r="M64" s="443">
        <v>231128.79</v>
      </c>
      <c r="N64" s="410">
        <v>30422</v>
      </c>
      <c r="O64" s="310">
        <f t="shared" si="5"/>
        <v>7.597422588915917</v>
      </c>
      <c r="P64" s="215"/>
    </row>
    <row r="65" spans="1:16" s="7" customFormat="1" ht="15">
      <c r="A65" s="87">
        <v>61</v>
      </c>
      <c r="B65" s="302" t="s">
        <v>342</v>
      </c>
      <c r="C65" s="98">
        <v>39241</v>
      </c>
      <c r="D65" s="152" t="s">
        <v>182</v>
      </c>
      <c r="E65" s="152" t="s">
        <v>182</v>
      </c>
      <c r="F65" s="295">
        <v>50</v>
      </c>
      <c r="G65" s="295">
        <v>1</v>
      </c>
      <c r="H65" s="295">
        <v>11</v>
      </c>
      <c r="I65" s="442">
        <v>672</v>
      </c>
      <c r="J65" s="414">
        <v>112</v>
      </c>
      <c r="K65" s="411">
        <f t="shared" si="7"/>
        <v>112</v>
      </c>
      <c r="L65" s="413">
        <f t="shared" si="6"/>
        <v>6</v>
      </c>
      <c r="M65" s="442">
        <f>129364.5+92376+23571+24305+14210+3366+2760.5+1254+392+236+672</f>
        <v>292507</v>
      </c>
      <c r="N65" s="414">
        <f>16515+11732+3415+4308+2607+643+742+197+68+51+112</f>
        <v>40390</v>
      </c>
      <c r="O65" s="310">
        <f t="shared" si="5"/>
        <v>7.242064867541471</v>
      </c>
      <c r="P65" s="215"/>
    </row>
    <row r="66" spans="1:16" s="7" customFormat="1" ht="15">
      <c r="A66" s="87">
        <v>62</v>
      </c>
      <c r="B66" s="302" t="s">
        <v>518</v>
      </c>
      <c r="C66" s="98">
        <v>38828</v>
      </c>
      <c r="D66" s="152" t="s">
        <v>182</v>
      </c>
      <c r="E66" s="152" t="s">
        <v>182</v>
      </c>
      <c r="F66" s="295">
        <v>43</v>
      </c>
      <c r="G66" s="295">
        <v>1</v>
      </c>
      <c r="H66" s="295">
        <v>26</v>
      </c>
      <c r="I66" s="442">
        <v>672</v>
      </c>
      <c r="J66" s="414">
        <v>110</v>
      </c>
      <c r="K66" s="411">
        <f t="shared" si="7"/>
        <v>110</v>
      </c>
      <c r="L66" s="413">
        <f t="shared" si="6"/>
        <v>6.109090909090909</v>
      </c>
      <c r="M66" s="442">
        <f>221837.5+151726+100334.5+58293.5+26175.5+11161+17463.5+3291+21578+7312+4262.5+2303+855+1116+823+670+220+160+110+100+718+440+614+612+1246+672</f>
        <v>634094</v>
      </c>
      <c r="N66" s="414">
        <f>31465+21243+15047+11409+5192+2380+3862+919+4153+1349+750+401+171+250+160+133+44+32+22+20+179+110+87+102+220+110</f>
        <v>99810</v>
      </c>
      <c r="O66" s="310">
        <f t="shared" si="5"/>
        <v>6.353010720368701</v>
      </c>
      <c r="P66" s="215"/>
    </row>
    <row r="67" spans="1:16" s="7" customFormat="1" ht="15">
      <c r="A67" s="87">
        <v>63</v>
      </c>
      <c r="B67" s="301" t="s">
        <v>413</v>
      </c>
      <c r="C67" s="98">
        <v>39136</v>
      </c>
      <c r="D67" s="153" t="s">
        <v>5</v>
      </c>
      <c r="E67" s="153" t="s">
        <v>185</v>
      </c>
      <c r="F67" s="248">
        <v>24</v>
      </c>
      <c r="G67" s="248">
        <v>1</v>
      </c>
      <c r="H67" s="248">
        <v>17</v>
      </c>
      <c r="I67" s="443">
        <v>624</v>
      </c>
      <c r="J67" s="410">
        <v>78</v>
      </c>
      <c r="K67" s="411">
        <f t="shared" si="7"/>
        <v>78</v>
      </c>
      <c r="L67" s="413">
        <f t="shared" si="6"/>
        <v>8</v>
      </c>
      <c r="M67" s="443">
        <v>567169.5</v>
      </c>
      <c r="N67" s="410">
        <v>58925</v>
      </c>
      <c r="O67" s="310">
        <f t="shared" si="5"/>
        <v>9.625277895630038</v>
      </c>
      <c r="P67" s="215"/>
    </row>
    <row r="68" spans="1:16" s="7" customFormat="1" ht="15">
      <c r="A68" s="87">
        <v>64</v>
      </c>
      <c r="B68" s="301" t="s">
        <v>212</v>
      </c>
      <c r="C68" s="97">
        <v>39157</v>
      </c>
      <c r="D68" s="153" t="s">
        <v>27</v>
      </c>
      <c r="E68" s="153" t="s">
        <v>213</v>
      </c>
      <c r="F68" s="248" t="s">
        <v>250</v>
      </c>
      <c r="G68" s="248" t="s">
        <v>19</v>
      </c>
      <c r="H68" s="248" t="s">
        <v>554</v>
      </c>
      <c r="I68" s="443">
        <v>620</v>
      </c>
      <c r="J68" s="410">
        <v>130</v>
      </c>
      <c r="K68" s="411">
        <f t="shared" si="7"/>
        <v>65</v>
      </c>
      <c r="L68" s="413">
        <f t="shared" si="6"/>
        <v>4.769230769230769</v>
      </c>
      <c r="M68" s="443">
        <v>4174334</v>
      </c>
      <c r="N68" s="410">
        <v>542296</v>
      </c>
      <c r="O68" s="310">
        <f t="shared" si="5"/>
        <v>7.697519435880036</v>
      </c>
      <c r="P68" s="215"/>
    </row>
    <row r="69" spans="1:16" s="7" customFormat="1" ht="15">
      <c r="A69" s="87">
        <v>65</v>
      </c>
      <c r="B69" s="301" t="s">
        <v>343</v>
      </c>
      <c r="C69" s="98">
        <v>39241</v>
      </c>
      <c r="D69" s="153" t="s">
        <v>5</v>
      </c>
      <c r="E69" s="153" t="s">
        <v>314</v>
      </c>
      <c r="F69" s="248">
        <v>20</v>
      </c>
      <c r="G69" s="248">
        <v>2</v>
      </c>
      <c r="H69" s="248">
        <v>11</v>
      </c>
      <c r="I69" s="443">
        <v>556</v>
      </c>
      <c r="J69" s="410">
        <v>114</v>
      </c>
      <c r="K69" s="411">
        <f t="shared" si="7"/>
        <v>57</v>
      </c>
      <c r="L69" s="413">
        <f t="shared" si="6"/>
        <v>4.87719298245614</v>
      </c>
      <c r="M69" s="443">
        <v>123722.7</v>
      </c>
      <c r="N69" s="410">
        <v>16676</v>
      </c>
      <c r="O69" s="310">
        <f aca="true" t="shared" si="8" ref="O69:O100">M69/N69</f>
        <v>7.419207243943392</v>
      </c>
      <c r="P69" s="215"/>
    </row>
    <row r="70" spans="1:16" s="7" customFormat="1" ht="15">
      <c r="A70" s="87">
        <v>66</v>
      </c>
      <c r="B70" s="301" t="s">
        <v>513</v>
      </c>
      <c r="C70" s="98">
        <v>39220</v>
      </c>
      <c r="D70" s="153" t="s">
        <v>5</v>
      </c>
      <c r="E70" s="153" t="s">
        <v>185</v>
      </c>
      <c r="F70" s="248">
        <v>88</v>
      </c>
      <c r="G70" s="248">
        <v>1</v>
      </c>
      <c r="H70" s="248">
        <v>14</v>
      </c>
      <c r="I70" s="443">
        <v>492</v>
      </c>
      <c r="J70" s="410">
        <v>76</v>
      </c>
      <c r="K70" s="411">
        <f t="shared" si="7"/>
        <v>76</v>
      </c>
      <c r="L70" s="413">
        <f t="shared" si="6"/>
        <v>6.473684210526316</v>
      </c>
      <c r="M70" s="443">
        <v>566580.5</v>
      </c>
      <c r="N70" s="410">
        <v>81853</v>
      </c>
      <c r="O70" s="310">
        <f t="shared" si="8"/>
        <v>6.921927113239588</v>
      </c>
      <c r="P70" s="215"/>
    </row>
    <row r="71" spans="1:16" s="7" customFormat="1" ht="15">
      <c r="A71" s="87">
        <v>67</v>
      </c>
      <c r="B71" s="301" t="s">
        <v>527</v>
      </c>
      <c r="C71" s="98">
        <v>39227</v>
      </c>
      <c r="D71" s="153" t="s">
        <v>5</v>
      </c>
      <c r="E71" s="153" t="s">
        <v>257</v>
      </c>
      <c r="F71" s="248">
        <v>5</v>
      </c>
      <c r="G71" s="248">
        <v>1</v>
      </c>
      <c r="H71" s="248">
        <v>13</v>
      </c>
      <c r="I71" s="443">
        <v>444</v>
      </c>
      <c r="J71" s="410">
        <v>88</v>
      </c>
      <c r="K71" s="411">
        <f t="shared" si="7"/>
        <v>88</v>
      </c>
      <c r="L71" s="413">
        <f t="shared" si="6"/>
        <v>5.045454545454546</v>
      </c>
      <c r="M71" s="443">
        <v>62263</v>
      </c>
      <c r="N71" s="410">
        <v>7859</v>
      </c>
      <c r="O71" s="310">
        <f t="shared" si="8"/>
        <v>7.922509225092251</v>
      </c>
      <c r="P71" s="215"/>
    </row>
    <row r="72" spans="1:16" s="7" customFormat="1" ht="15">
      <c r="A72" s="87">
        <v>68</v>
      </c>
      <c r="B72" s="299" t="s">
        <v>496</v>
      </c>
      <c r="C72" s="293">
        <v>39206</v>
      </c>
      <c r="D72" s="292" t="s">
        <v>515</v>
      </c>
      <c r="E72" s="292" t="s">
        <v>516</v>
      </c>
      <c r="F72" s="385">
        <v>80</v>
      </c>
      <c r="G72" s="294">
        <v>2</v>
      </c>
      <c r="H72" s="294">
        <v>16</v>
      </c>
      <c r="I72" s="446">
        <v>416</v>
      </c>
      <c r="J72" s="459">
        <v>76</v>
      </c>
      <c r="K72" s="459">
        <f t="shared" si="7"/>
        <v>38</v>
      </c>
      <c r="L72" s="460">
        <f t="shared" si="6"/>
        <v>5.473684210526316</v>
      </c>
      <c r="M72" s="446">
        <v>302550.5</v>
      </c>
      <c r="N72" s="411">
        <v>49404</v>
      </c>
      <c r="O72" s="310">
        <f t="shared" si="8"/>
        <v>6.124008177475508</v>
      </c>
      <c r="P72" s="215"/>
    </row>
    <row r="73" spans="1:16" s="7" customFormat="1" ht="15">
      <c r="A73" s="87">
        <v>69</v>
      </c>
      <c r="B73" s="301" t="s">
        <v>231</v>
      </c>
      <c r="C73" s="97">
        <v>38968</v>
      </c>
      <c r="D73" s="153" t="s">
        <v>164</v>
      </c>
      <c r="E73" s="153" t="s">
        <v>186</v>
      </c>
      <c r="F73" s="248">
        <v>56</v>
      </c>
      <c r="G73" s="248">
        <v>1</v>
      </c>
      <c r="H73" s="248">
        <v>17</v>
      </c>
      <c r="I73" s="444">
        <v>360</v>
      </c>
      <c r="J73" s="411">
        <v>53</v>
      </c>
      <c r="K73" s="415">
        <f>IF(I73&lt;&gt;0,J73/G73,"")</f>
        <v>53</v>
      </c>
      <c r="L73" s="416">
        <f>IF(I73&lt;&gt;0,I73/J73,"")</f>
        <v>6.7924528301886795</v>
      </c>
      <c r="M73" s="444">
        <f>564418+0+308+352+360</f>
        <v>565438</v>
      </c>
      <c r="N73" s="414">
        <f>80899+46+52+53</f>
        <v>81050</v>
      </c>
      <c r="O73" s="310">
        <f t="shared" si="8"/>
        <v>6.976409623689081</v>
      </c>
      <c r="P73" s="215"/>
    </row>
    <row r="74" spans="1:16" s="7" customFormat="1" ht="15">
      <c r="A74" s="87">
        <v>70</v>
      </c>
      <c r="B74" s="301" t="s">
        <v>136</v>
      </c>
      <c r="C74" s="97">
        <v>39108</v>
      </c>
      <c r="D74" s="153" t="s">
        <v>27</v>
      </c>
      <c r="E74" s="153" t="s">
        <v>137</v>
      </c>
      <c r="F74" s="248" t="s">
        <v>138</v>
      </c>
      <c r="G74" s="248" t="s">
        <v>19</v>
      </c>
      <c r="H74" s="248" t="s">
        <v>565</v>
      </c>
      <c r="I74" s="443">
        <v>357</v>
      </c>
      <c r="J74" s="410">
        <v>119</v>
      </c>
      <c r="K74" s="411">
        <f>J74/G74</f>
        <v>59.5</v>
      </c>
      <c r="L74" s="413">
        <f aca="true" t="shared" si="9" ref="L74:L79">I74/J74</f>
        <v>3</v>
      </c>
      <c r="M74" s="443">
        <v>2824770.5</v>
      </c>
      <c r="N74" s="410">
        <v>379700</v>
      </c>
      <c r="O74" s="310">
        <f t="shared" si="8"/>
        <v>7.439479852515143</v>
      </c>
      <c r="P74" s="215"/>
    </row>
    <row r="75" spans="1:16" s="7" customFormat="1" ht="15">
      <c r="A75" s="87">
        <v>71</v>
      </c>
      <c r="B75" s="301" t="s">
        <v>369</v>
      </c>
      <c r="C75" s="97">
        <v>39248</v>
      </c>
      <c r="D75" s="153" t="s">
        <v>172</v>
      </c>
      <c r="E75" s="153" t="s">
        <v>187</v>
      </c>
      <c r="F75" s="248">
        <v>43</v>
      </c>
      <c r="G75" s="248">
        <v>1</v>
      </c>
      <c r="H75" s="248">
        <v>10</v>
      </c>
      <c r="I75" s="443">
        <v>298</v>
      </c>
      <c r="J75" s="410">
        <v>65</v>
      </c>
      <c r="K75" s="411">
        <f>J75/G75</f>
        <v>65</v>
      </c>
      <c r="L75" s="413">
        <f t="shared" si="9"/>
        <v>4.584615384615384</v>
      </c>
      <c r="M75" s="443">
        <f>42123+14013+3348+3474+2860+1453+1145+277+347+298</f>
        <v>69338</v>
      </c>
      <c r="N75" s="410">
        <f>5045+1702+479+644+570+297+204+89+71+65</f>
        <v>9166</v>
      </c>
      <c r="O75" s="310">
        <f t="shared" si="8"/>
        <v>7.56469561422649</v>
      </c>
      <c r="P75" s="215"/>
    </row>
    <row r="76" spans="1:16" s="7" customFormat="1" ht="15">
      <c r="A76" s="87">
        <v>72</v>
      </c>
      <c r="B76" s="302" t="s">
        <v>350</v>
      </c>
      <c r="C76" s="98">
        <v>39192</v>
      </c>
      <c r="D76" s="152" t="s">
        <v>182</v>
      </c>
      <c r="E76" s="152" t="s">
        <v>182</v>
      </c>
      <c r="F76" s="295">
        <v>79</v>
      </c>
      <c r="G76" s="295">
        <v>1</v>
      </c>
      <c r="H76" s="295">
        <v>14</v>
      </c>
      <c r="I76" s="442">
        <v>264</v>
      </c>
      <c r="J76" s="414">
        <v>88</v>
      </c>
      <c r="K76" s="411">
        <f>J76/G76</f>
        <v>88</v>
      </c>
      <c r="L76" s="413">
        <f t="shared" si="9"/>
        <v>3</v>
      </c>
      <c r="M76" s="442">
        <f>407730+156171.5+87089+48964+29084+13173.5+8330+7579.5+805.5+1100+1464+3021+264</f>
        <v>764776</v>
      </c>
      <c r="N76" s="414">
        <f>48903+19527+11239+7709+5693+3389+1770+1751+250+248+325+755+88</f>
        <v>101647</v>
      </c>
      <c r="O76" s="310">
        <f t="shared" si="8"/>
        <v>7.523842317038378</v>
      </c>
      <c r="P76" s="215"/>
    </row>
    <row r="77" spans="1:16" s="7" customFormat="1" ht="15">
      <c r="A77" s="87">
        <v>73</v>
      </c>
      <c r="B77" s="302" t="s">
        <v>480</v>
      </c>
      <c r="C77" s="98">
        <v>39220</v>
      </c>
      <c r="D77" s="152" t="s">
        <v>174</v>
      </c>
      <c r="E77" s="152" t="s">
        <v>175</v>
      </c>
      <c r="F77" s="295">
        <v>40</v>
      </c>
      <c r="G77" s="295">
        <v>1</v>
      </c>
      <c r="H77" s="295">
        <v>14</v>
      </c>
      <c r="I77" s="442">
        <v>230</v>
      </c>
      <c r="J77" s="414">
        <v>51</v>
      </c>
      <c r="K77" s="411">
        <f>J77/G77</f>
        <v>51</v>
      </c>
      <c r="L77" s="413">
        <f t="shared" si="9"/>
        <v>4.509803921568627</v>
      </c>
      <c r="M77" s="442">
        <f>217267.5+100292+49077.5+44685+35150+18710.5+12899+5642+272+1169+980+531+744+567+230</f>
        <v>488216.5</v>
      </c>
      <c r="N77" s="414">
        <f>28138+13039+7060+8163+6959+3799+2408+1118+91+214+194+106+141+122+51</f>
        <v>71603</v>
      </c>
      <c r="O77" s="310">
        <f t="shared" si="8"/>
        <v>6.8183805147829</v>
      </c>
      <c r="P77" s="215"/>
    </row>
    <row r="78" spans="1:16" s="7" customFormat="1" ht="15">
      <c r="A78" s="87">
        <v>74</v>
      </c>
      <c r="B78" s="302" t="s">
        <v>217</v>
      </c>
      <c r="C78" s="98">
        <v>39157</v>
      </c>
      <c r="D78" s="152" t="s">
        <v>174</v>
      </c>
      <c r="E78" s="152" t="s">
        <v>218</v>
      </c>
      <c r="F78" s="295">
        <v>56</v>
      </c>
      <c r="G78" s="295">
        <v>1</v>
      </c>
      <c r="H78" s="295">
        <v>13</v>
      </c>
      <c r="I78" s="442">
        <v>221</v>
      </c>
      <c r="J78" s="414">
        <v>50</v>
      </c>
      <c r="K78" s="411">
        <f>+J78/G78</f>
        <v>50</v>
      </c>
      <c r="L78" s="413">
        <f t="shared" si="9"/>
        <v>4.42</v>
      </c>
      <c r="M78" s="442">
        <f>58610+26460.5+16261.5+6759+4608+1822+1190+451+98+184+371+221</f>
        <v>117036</v>
      </c>
      <c r="N78" s="414">
        <f>8805+4170+2948+1373+809+330+236+64+14+44+84+50</f>
        <v>18927</v>
      </c>
      <c r="O78" s="310">
        <f t="shared" si="8"/>
        <v>6.183547313361864</v>
      </c>
      <c r="P78" s="215"/>
    </row>
    <row r="79" spans="1:16" s="7" customFormat="1" ht="15">
      <c r="A79" s="87">
        <v>75</v>
      </c>
      <c r="B79" s="301" t="s">
        <v>394</v>
      </c>
      <c r="C79" s="97">
        <v>39262</v>
      </c>
      <c r="D79" s="153" t="s">
        <v>450</v>
      </c>
      <c r="E79" s="153" t="s">
        <v>395</v>
      </c>
      <c r="F79" s="248" t="s">
        <v>19</v>
      </c>
      <c r="G79" s="248" t="s">
        <v>19</v>
      </c>
      <c r="H79" s="248" t="s">
        <v>338</v>
      </c>
      <c r="I79" s="443">
        <v>221</v>
      </c>
      <c r="J79" s="410">
        <v>41</v>
      </c>
      <c r="K79" s="411">
        <f>J79/G79</f>
        <v>20.5</v>
      </c>
      <c r="L79" s="413">
        <f t="shared" si="9"/>
        <v>5.390243902439025</v>
      </c>
      <c r="M79" s="443">
        <v>8564</v>
      </c>
      <c r="N79" s="410">
        <v>1087</v>
      </c>
      <c r="O79" s="310">
        <f t="shared" si="8"/>
        <v>7.878564857405704</v>
      </c>
      <c r="P79" s="215"/>
    </row>
    <row r="80" spans="1:18" s="7" customFormat="1" ht="15">
      <c r="A80" s="87">
        <v>76</v>
      </c>
      <c r="B80" s="301" t="s">
        <v>547</v>
      </c>
      <c r="C80" s="97">
        <v>39234</v>
      </c>
      <c r="D80" s="153" t="s">
        <v>164</v>
      </c>
      <c r="E80" s="153" t="s">
        <v>316</v>
      </c>
      <c r="F80" s="248">
        <v>27</v>
      </c>
      <c r="G80" s="248">
        <v>2</v>
      </c>
      <c r="H80" s="248">
        <v>12</v>
      </c>
      <c r="I80" s="444">
        <v>213</v>
      </c>
      <c r="J80" s="411">
        <v>39</v>
      </c>
      <c r="K80" s="415">
        <f>IF(I80&lt;&gt;0,J80/G80,"")</f>
        <v>19.5</v>
      </c>
      <c r="L80" s="416">
        <f>IF(I80&lt;&gt;0,I80/J80,"")</f>
        <v>5.461538461538462</v>
      </c>
      <c r="M80" s="444">
        <f>27092.5+18038+5217+3320.5+3937+2784+1710+1168+1343.5+947+150+213</f>
        <v>65920.5</v>
      </c>
      <c r="N80" s="414">
        <f>3028+2165+821+570+765+513+286+200+227+163+30+39</f>
        <v>8807</v>
      </c>
      <c r="O80" s="310">
        <f t="shared" si="8"/>
        <v>7.485011922334507</v>
      </c>
      <c r="P80" s="215"/>
      <c r="Q80" s="381"/>
      <c r="R80" s="382"/>
    </row>
    <row r="81" spans="1:16" s="7" customFormat="1" ht="15">
      <c r="A81" s="87">
        <v>77</v>
      </c>
      <c r="B81" s="301" t="s">
        <v>311</v>
      </c>
      <c r="C81" s="97">
        <v>39087</v>
      </c>
      <c r="D81" s="153" t="s">
        <v>99</v>
      </c>
      <c r="E81" s="153" t="s">
        <v>99</v>
      </c>
      <c r="F81" s="248">
        <v>11</v>
      </c>
      <c r="G81" s="295">
        <v>1</v>
      </c>
      <c r="H81" s="295">
        <v>13</v>
      </c>
      <c r="I81" s="443">
        <v>180</v>
      </c>
      <c r="J81" s="410">
        <v>36</v>
      </c>
      <c r="K81" s="411">
        <f>J81/G81</f>
        <v>36</v>
      </c>
      <c r="L81" s="413">
        <f>I81/J81</f>
        <v>5</v>
      </c>
      <c r="M81" s="442">
        <v>108797.79</v>
      </c>
      <c r="N81" s="414">
        <v>11442</v>
      </c>
      <c r="O81" s="310">
        <f t="shared" si="8"/>
        <v>9.508633980073412</v>
      </c>
      <c r="P81" s="215"/>
    </row>
    <row r="82" spans="1:16" s="7" customFormat="1" ht="15">
      <c r="A82" s="87">
        <v>78</v>
      </c>
      <c r="B82" s="302" t="s">
        <v>487</v>
      </c>
      <c r="C82" s="98">
        <v>39187</v>
      </c>
      <c r="D82" s="152" t="s">
        <v>174</v>
      </c>
      <c r="E82" s="152" t="s">
        <v>175</v>
      </c>
      <c r="F82" s="295">
        <v>1</v>
      </c>
      <c r="G82" s="295">
        <v>1</v>
      </c>
      <c r="H82" s="295">
        <v>13</v>
      </c>
      <c r="I82" s="442">
        <v>165</v>
      </c>
      <c r="J82" s="414">
        <v>32</v>
      </c>
      <c r="K82" s="411">
        <f>J82/G82</f>
        <v>32</v>
      </c>
      <c r="L82" s="413">
        <f>I82/J82</f>
        <v>5.15625</v>
      </c>
      <c r="M82" s="442">
        <f>11158+1340+625+166+94+174+151+140+120+76+150+37+129+165</f>
        <v>14525</v>
      </c>
      <c r="N82" s="414">
        <f>1408+268+125+19+11+20+28+15+13+9+30+7+22+32</f>
        <v>2007</v>
      </c>
      <c r="O82" s="310">
        <f t="shared" si="8"/>
        <v>7.23716990533134</v>
      </c>
      <c r="P82" s="215"/>
    </row>
    <row r="83" spans="1:16" s="7" customFormat="1" ht="15">
      <c r="A83" s="87">
        <v>79</v>
      </c>
      <c r="B83" s="301" t="s">
        <v>507</v>
      </c>
      <c r="C83" s="98">
        <v>39213</v>
      </c>
      <c r="D83" s="153" t="s">
        <v>5</v>
      </c>
      <c r="E83" s="153" t="s">
        <v>109</v>
      </c>
      <c r="F83" s="248">
        <v>4</v>
      </c>
      <c r="G83" s="248">
        <v>2</v>
      </c>
      <c r="H83" s="248">
        <v>14</v>
      </c>
      <c r="I83" s="443">
        <v>158</v>
      </c>
      <c r="J83" s="410">
        <v>30</v>
      </c>
      <c r="K83" s="411">
        <f>J83/G83</f>
        <v>15</v>
      </c>
      <c r="L83" s="413">
        <f>I83/J83</f>
        <v>5.266666666666667</v>
      </c>
      <c r="M83" s="443">
        <v>24868</v>
      </c>
      <c r="N83" s="410">
        <v>3789</v>
      </c>
      <c r="O83" s="310">
        <f t="shared" si="8"/>
        <v>6.563209290050145</v>
      </c>
      <c r="P83" s="215"/>
    </row>
    <row r="84" spans="1:16" s="7" customFormat="1" ht="15">
      <c r="A84" s="87">
        <v>80</v>
      </c>
      <c r="B84" s="301" t="s">
        <v>220</v>
      </c>
      <c r="C84" s="97">
        <v>39164</v>
      </c>
      <c r="D84" s="153" t="s">
        <v>172</v>
      </c>
      <c r="E84" s="153" t="s">
        <v>80</v>
      </c>
      <c r="F84" s="248">
        <v>67</v>
      </c>
      <c r="G84" s="248">
        <v>1</v>
      </c>
      <c r="H84" s="248">
        <v>18</v>
      </c>
      <c r="I84" s="443">
        <v>142</v>
      </c>
      <c r="J84" s="410">
        <v>28</v>
      </c>
      <c r="K84" s="411">
        <f>J84/G84</f>
        <v>28</v>
      </c>
      <c r="L84" s="413">
        <f>I84/J84</f>
        <v>5.071428571428571</v>
      </c>
      <c r="M84" s="443">
        <f>7213+744394+558705+271317+50816+12988+9955+3876+1748+6837+3019+2664+1805+1782+405+1466+3048+1197+2014+142</f>
        <v>1685391</v>
      </c>
      <c r="N84" s="410">
        <f>773+77628+58862+29936+6447+2076+1922+726+287+1913+534+636+361+297+81+288+527+268+200+28</f>
        <v>183790</v>
      </c>
      <c r="O84" s="310">
        <f t="shared" si="8"/>
        <v>9.170199684422439</v>
      </c>
      <c r="P84" s="215"/>
    </row>
    <row r="85" spans="1:16" s="7" customFormat="1" ht="15">
      <c r="A85" s="87">
        <v>81</v>
      </c>
      <c r="B85" s="301" t="s">
        <v>228</v>
      </c>
      <c r="C85" s="97">
        <v>39164</v>
      </c>
      <c r="D85" s="153" t="s">
        <v>164</v>
      </c>
      <c r="E85" s="153" t="s">
        <v>186</v>
      </c>
      <c r="F85" s="248">
        <v>119</v>
      </c>
      <c r="G85" s="248">
        <v>1</v>
      </c>
      <c r="H85" s="248">
        <v>22</v>
      </c>
      <c r="I85" s="444">
        <v>136</v>
      </c>
      <c r="J85" s="411">
        <v>21</v>
      </c>
      <c r="K85" s="415">
        <f>IF(I85&lt;&gt;0,J85/G85,"")</f>
        <v>21</v>
      </c>
      <c r="L85" s="416">
        <f>IF(I85&lt;&gt;0,I85/J85,"")</f>
        <v>6.476190476190476</v>
      </c>
      <c r="M85" s="444">
        <f>1463503.5+1774+208+20289+1136+123+3728+1281+565+311+129+80+136</f>
        <v>1493263.5</v>
      </c>
      <c r="N85" s="414">
        <f>193429+337+32+3321+216+18+619+252+110+56+19+12+21</f>
        <v>198442</v>
      </c>
      <c r="O85" s="310">
        <f t="shared" si="8"/>
        <v>7.524936757339676</v>
      </c>
      <c r="P85" s="215"/>
    </row>
    <row r="86" spans="1:16" s="7" customFormat="1" ht="15">
      <c r="A86" s="87">
        <v>82</v>
      </c>
      <c r="B86" s="301" t="s">
        <v>528</v>
      </c>
      <c r="C86" s="97">
        <v>39227</v>
      </c>
      <c r="D86" s="153" t="s">
        <v>450</v>
      </c>
      <c r="E86" s="153" t="s">
        <v>529</v>
      </c>
      <c r="F86" s="248" t="s">
        <v>19</v>
      </c>
      <c r="G86" s="248" t="s">
        <v>2</v>
      </c>
      <c r="H86" s="248" t="s">
        <v>230</v>
      </c>
      <c r="I86" s="443">
        <v>130</v>
      </c>
      <c r="J86" s="410">
        <v>26</v>
      </c>
      <c r="K86" s="411">
        <f>J86/G86</f>
        <v>26</v>
      </c>
      <c r="L86" s="413">
        <f>I86/J86</f>
        <v>5</v>
      </c>
      <c r="M86" s="443">
        <v>6891</v>
      </c>
      <c r="N86" s="410">
        <v>930</v>
      </c>
      <c r="O86" s="310">
        <f t="shared" si="8"/>
        <v>7.409677419354839</v>
      </c>
      <c r="P86" s="215"/>
    </row>
    <row r="87" spans="1:16" s="7" customFormat="1" ht="15">
      <c r="A87" s="87">
        <v>83</v>
      </c>
      <c r="B87" s="302" t="s">
        <v>505</v>
      </c>
      <c r="C87" s="98">
        <v>39213</v>
      </c>
      <c r="D87" s="152" t="s">
        <v>174</v>
      </c>
      <c r="E87" s="152" t="s">
        <v>175</v>
      </c>
      <c r="F87" s="295">
        <v>5</v>
      </c>
      <c r="G87" s="295">
        <v>1</v>
      </c>
      <c r="H87" s="295">
        <v>15</v>
      </c>
      <c r="I87" s="442">
        <v>108</v>
      </c>
      <c r="J87" s="414">
        <v>19</v>
      </c>
      <c r="K87" s="411">
        <f>+J87/G87</f>
        <v>19</v>
      </c>
      <c r="L87" s="413">
        <f>I87/J87</f>
        <v>5.684210526315789</v>
      </c>
      <c r="M87" s="442">
        <f>25052+11949.5+3201+4494+4686.5+1784.5+1964.5+1245.5+867+2745+1517+779+696+2285.5+108</f>
        <v>63375</v>
      </c>
      <c r="N87" s="414">
        <f>2528+1205+383+567+687+312+364+233+144+405+270+163+148+551+19</f>
        <v>7979</v>
      </c>
      <c r="O87" s="310">
        <f t="shared" si="8"/>
        <v>7.942724652212057</v>
      </c>
      <c r="P87" s="215"/>
    </row>
    <row r="88" spans="1:16" s="7" customFormat="1" ht="15">
      <c r="A88" s="87">
        <v>84</v>
      </c>
      <c r="B88" s="301" t="s">
        <v>221</v>
      </c>
      <c r="C88" s="98">
        <v>39157</v>
      </c>
      <c r="D88" s="153" t="s">
        <v>5</v>
      </c>
      <c r="E88" s="153" t="s">
        <v>324</v>
      </c>
      <c r="F88" s="248">
        <v>1</v>
      </c>
      <c r="G88" s="248">
        <v>1</v>
      </c>
      <c r="H88" s="248">
        <v>16</v>
      </c>
      <c r="I88" s="443">
        <v>94</v>
      </c>
      <c r="J88" s="410">
        <v>16</v>
      </c>
      <c r="K88" s="411">
        <f>+J88/G88</f>
        <v>16</v>
      </c>
      <c r="L88" s="413">
        <f>I88/J88</f>
        <v>5.875</v>
      </c>
      <c r="M88" s="443">
        <v>15733</v>
      </c>
      <c r="N88" s="410">
        <v>2697</v>
      </c>
      <c r="O88" s="310">
        <f t="shared" si="8"/>
        <v>5.833518724508713</v>
      </c>
      <c r="P88" s="215"/>
    </row>
    <row r="89" spans="1:16" s="7" customFormat="1" ht="15">
      <c r="A89" s="87">
        <v>85</v>
      </c>
      <c r="B89" s="301" t="s">
        <v>490</v>
      </c>
      <c r="C89" s="97">
        <v>39185</v>
      </c>
      <c r="D89" s="153" t="s">
        <v>164</v>
      </c>
      <c r="E89" s="153" t="s">
        <v>265</v>
      </c>
      <c r="F89" s="248">
        <v>111</v>
      </c>
      <c r="G89" s="248">
        <v>1</v>
      </c>
      <c r="H89" s="248">
        <v>18</v>
      </c>
      <c r="I89" s="444">
        <v>93</v>
      </c>
      <c r="J89" s="411">
        <v>23</v>
      </c>
      <c r="K89" s="415">
        <f>IF(I89&lt;&gt;0,J89/G89,"")</f>
        <v>23</v>
      </c>
      <c r="L89" s="416">
        <f>IF(I89&lt;&gt;0,I89/J89,"")</f>
        <v>4.043478260869565</v>
      </c>
      <c r="M89" s="444">
        <f>1097599+0+410+168+93</f>
        <v>1098270</v>
      </c>
      <c r="N89" s="414">
        <f>147283+102+40+23</f>
        <v>147448</v>
      </c>
      <c r="O89" s="310">
        <f t="shared" si="8"/>
        <v>7.448524225489664</v>
      </c>
      <c r="P89" s="215"/>
    </row>
    <row r="90" spans="1:16" s="7" customFormat="1" ht="15">
      <c r="A90" s="87">
        <v>86</v>
      </c>
      <c r="B90" s="301" t="s">
        <v>376</v>
      </c>
      <c r="C90" s="98">
        <v>39255</v>
      </c>
      <c r="D90" s="153" t="s">
        <v>5</v>
      </c>
      <c r="E90" s="153" t="s">
        <v>9</v>
      </c>
      <c r="F90" s="248">
        <v>1</v>
      </c>
      <c r="G90" s="248">
        <v>1</v>
      </c>
      <c r="H90" s="248">
        <v>9</v>
      </c>
      <c r="I90" s="443">
        <v>50</v>
      </c>
      <c r="J90" s="410">
        <v>10</v>
      </c>
      <c r="K90" s="411">
        <f>J90/G90</f>
        <v>10</v>
      </c>
      <c r="L90" s="413">
        <f aca="true" t="shared" si="10" ref="L90:L95">I90/J90</f>
        <v>5</v>
      </c>
      <c r="M90" s="443">
        <v>38927.25</v>
      </c>
      <c r="N90" s="410">
        <v>4950</v>
      </c>
      <c r="O90" s="310">
        <f t="shared" si="8"/>
        <v>7.864090909090909</v>
      </c>
      <c r="P90" s="215"/>
    </row>
    <row r="91" spans="1:16" s="7" customFormat="1" ht="15">
      <c r="A91" s="87">
        <v>87</v>
      </c>
      <c r="B91" s="302" t="s">
        <v>374</v>
      </c>
      <c r="C91" s="98">
        <v>39255</v>
      </c>
      <c r="D91" s="152" t="s">
        <v>173</v>
      </c>
      <c r="E91" s="152" t="s">
        <v>187</v>
      </c>
      <c r="F91" s="295">
        <v>66</v>
      </c>
      <c r="G91" s="295">
        <v>1</v>
      </c>
      <c r="H91" s="295">
        <v>9</v>
      </c>
      <c r="I91" s="442">
        <v>38</v>
      </c>
      <c r="J91" s="414">
        <v>6</v>
      </c>
      <c r="K91" s="411">
        <f>+J91/G91</f>
        <v>6</v>
      </c>
      <c r="L91" s="413">
        <f t="shared" si="10"/>
        <v>6.333333333333333</v>
      </c>
      <c r="M91" s="442">
        <v>382871</v>
      </c>
      <c r="N91" s="414">
        <v>43908</v>
      </c>
      <c r="O91" s="310">
        <f t="shared" si="8"/>
        <v>8.719846041723605</v>
      </c>
      <c r="P91" s="215"/>
    </row>
    <row r="92" spans="1:16" s="7" customFormat="1" ht="15">
      <c r="A92" s="87">
        <v>88</v>
      </c>
      <c r="B92" s="302" t="s">
        <v>512</v>
      </c>
      <c r="C92" s="98">
        <v>39220</v>
      </c>
      <c r="D92" s="152" t="s">
        <v>173</v>
      </c>
      <c r="E92" s="152" t="s">
        <v>179</v>
      </c>
      <c r="F92" s="295">
        <v>55</v>
      </c>
      <c r="G92" s="295">
        <v>1</v>
      </c>
      <c r="H92" s="295">
        <v>14</v>
      </c>
      <c r="I92" s="442">
        <v>35</v>
      </c>
      <c r="J92" s="414">
        <v>5</v>
      </c>
      <c r="K92" s="411">
        <f>J92/G92</f>
        <v>5</v>
      </c>
      <c r="L92" s="413">
        <f t="shared" si="10"/>
        <v>7</v>
      </c>
      <c r="M92" s="442">
        <v>565685</v>
      </c>
      <c r="N92" s="414">
        <v>68133</v>
      </c>
      <c r="O92" s="310">
        <f t="shared" si="8"/>
        <v>8.302658036487458</v>
      </c>
      <c r="P92" s="215"/>
    </row>
    <row r="93" spans="1:16" s="7" customFormat="1" ht="15.75" thickBot="1">
      <c r="A93" s="87">
        <v>89</v>
      </c>
      <c r="B93" s="468" t="s">
        <v>440</v>
      </c>
      <c r="C93" s="386">
        <v>39143</v>
      </c>
      <c r="D93" s="469" t="s">
        <v>174</v>
      </c>
      <c r="E93" s="469" t="s">
        <v>175</v>
      </c>
      <c r="F93" s="470">
        <v>20</v>
      </c>
      <c r="G93" s="470">
        <v>1</v>
      </c>
      <c r="H93" s="470">
        <v>17</v>
      </c>
      <c r="I93" s="448">
        <v>33</v>
      </c>
      <c r="J93" s="421">
        <v>4</v>
      </c>
      <c r="K93" s="502">
        <f>J93/G93</f>
        <v>4</v>
      </c>
      <c r="L93" s="503">
        <f t="shared" si="10"/>
        <v>8.25</v>
      </c>
      <c r="M93" s="448">
        <f>252588.5+836+48+33</f>
        <v>253505.5</v>
      </c>
      <c r="N93" s="421">
        <f>27342+138+6+4</f>
        <v>27490</v>
      </c>
      <c r="O93" s="449">
        <f t="shared" si="8"/>
        <v>9.221735176427792</v>
      </c>
      <c r="P93" s="215"/>
    </row>
    <row r="94" spans="1:16" s="96" customFormat="1" ht="15">
      <c r="A94" s="519" t="s">
        <v>166</v>
      </c>
      <c r="B94" s="520"/>
      <c r="C94" s="89"/>
      <c r="D94" s="90" t="s">
        <v>566</v>
      </c>
      <c r="E94" s="91"/>
      <c r="F94" s="90"/>
      <c r="G94" s="92">
        <f>SUM(G5:G93)</f>
        <v>1096</v>
      </c>
      <c r="H94" s="90"/>
      <c r="I94" s="390">
        <f>SUM(I5:I93)</f>
        <v>2583438</v>
      </c>
      <c r="J94" s="93">
        <f>SUM(J5:J93)</f>
        <v>338063</v>
      </c>
      <c r="K94" s="94">
        <f>J94/G94</f>
        <v>308.45164233576645</v>
      </c>
      <c r="L94" s="407">
        <f t="shared" si="10"/>
        <v>7.6418833176064815</v>
      </c>
      <c r="M94" s="396"/>
      <c r="N94" s="94"/>
      <c r="O94" s="95"/>
      <c r="P94" s="216"/>
    </row>
    <row r="95" spans="1:16" s="13" customFormat="1" ht="15">
      <c r="A95" s="521" t="s">
        <v>165</v>
      </c>
      <c r="B95" s="522"/>
      <c r="C95" s="23"/>
      <c r="D95" s="24" t="s">
        <v>538</v>
      </c>
      <c r="E95" s="22"/>
      <c r="F95" s="24"/>
      <c r="G95" s="25">
        <v>1136</v>
      </c>
      <c r="H95" s="24"/>
      <c r="I95" s="391">
        <v>3862406.97</v>
      </c>
      <c r="J95" s="79">
        <v>508040</v>
      </c>
      <c r="K95" s="94">
        <f>J95/G95</f>
        <v>447.21830985915494</v>
      </c>
      <c r="L95" s="408">
        <f t="shared" si="10"/>
        <v>7.6025646996299505</v>
      </c>
      <c r="M95" s="397"/>
      <c r="N95" s="29"/>
      <c r="O95" s="33"/>
      <c r="P95" s="215"/>
    </row>
    <row r="96" spans="1:16" s="7" customFormat="1" ht="13.5">
      <c r="A96" s="40"/>
      <c r="C96" s="11"/>
      <c r="D96" s="15"/>
      <c r="E96" s="15"/>
      <c r="F96" s="8"/>
      <c r="G96" s="8"/>
      <c r="H96" s="8"/>
      <c r="I96" s="392"/>
      <c r="J96" s="26"/>
      <c r="K96" s="27"/>
      <c r="L96" s="34"/>
      <c r="M96" s="398"/>
      <c r="N96" s="27"/>
      <c r="O96" s="34"/>
      <c r="P96" s="215"/>
    </row>
    <row r="97" spans="1:16" s="7" customFormat="1" ht="15">
      <c r="A97" s="40"/>
      <c r="B97" s="527"/>
      <c r="C97" s="527"/>
      <c r="D97" s="530"/>
      <c r="E97" s="530"/>
      <c r="F97" s="530"/>
      <c r="G97" s="18"/>
      <c r="H97" s="8"/>
      <c r="I97" s="392"/>
      <c r="J97" s="26"/>
      <c r="K97" s="528" t="s">
        <v>163</v>
      </c>
      <c r="L97" s="529"/>
      <c r="M97" s="529"/>
      <c r="N97" s="529"/>
      <c r="O97" s="529"/>
      <c r="P97" s="215"/>
    </row>
    <row r="98" spans="1:16" s="7" customFormat="1" ht="15.75" thickBot="1">
      <c r="A98" s="40"/>
      <c r="B98" s="527"/>
      <c r="C98" s="527"/>
      <c r="D98" s="150"/>
      <c r="E98" s="151"/>
      <c r="F98" s="151"/>
      <c r="G98" s="8"/>
      <c r="H98" s="19"/>
      <c r="I98" s="392"/>
      <c r="J98" s="26"/>
      <c r="K98" s="529"/>
      <c r="L98" s="529"/>
      <c r="M98" s="529"/>
      <c r="N98" s="529"/>
      <c r="O98" s="529"/>
      <c r="P98" s="215"/>
    </row>
    <row r="99" spans="1:16" s="7" customFormat="1" ht="15">
      <c r="A99" s="49"/>
      <c r="B99" s="46" t="s">
        <v>167</v>
      </c>
      <c r="C99" s="523" t="s">
        <v>203</v>
      </c>
      <c r="D99" s="524"/>
      <c r="E99" s="524"/>
      <c r="F99" s="525"/>
      <c r="G99" s="8"/>
      <c r="H99" s="19"/>
      <c r="I99" s="392"/>
      <c r="J99" s="26"/>
      <c r="K99" s="529"/>
      <c r="L99" s="529"/>
      <c r="M99" s="529"/>
      <c r="N99" s="529"/>
      <c r="O99" s="529"/>
      <c r="P99" s="215"/>
    </row>
    <row r="100" spans="1:16" s="7" customFormat="1" ht="15">
      <c r="A100" s="56"/>
      <c r="B100" s="57"/>
      <c r="C100" s="58" t="s">
        <v>204</v>
      </c>
      <c r="D100" s="59" t="s">
        <v>75</v>
      </c>
      <c r="E100" s="59" t="s">
        <v>205</v>
      </c>
      <c r="F100" s="60" t="s">
        <v>69</v>
      </c>
      <c r="G100" s="8"/>
      <c r="H100" s="19"/>
      <c r="I100" s="392"/>
      <c r="J100" s="26"/>
      <c r="K100" s="526" t="s">
        <v>549</v>
      </c>
      <c r="L100" s="526"/>
      <c r="M100" s="526"/>
      <c r="N100" s="526"/>
      <c r="O100" s="526"/>
      <c r="P100" s="215"/>
    </row>
    <row r="101" spans="1:16" s="7" customFormat="1" ht="15">
      <c r="A101" s="52">
        <v>1</v>
      </c>
      <c r="B101" s="53" t="s">
        <v>80</v>
      </c>
      <c r="C101" s="128" t="s">
        <v>499</v>
      </c>
      <c r="D101" s="54">
        <v>1266733</v>
      </c>
      <c r="E101" s="55">
        <v>164263</v>
      </c>
      <c r="F101" s="403">
        <f aca="true" t="shared" si="11" ref="F101:F113">D101/E101</f>
        <v>7.711614910235415</v>
      </c>
      <c r="G101" s="8"/>
      <c r="H101" s="19"/>
      <c r="I101" s="392"/>
      <c r="J101" s="26"/>
      <c r="K101" s="526"/>
      <c r="L101" s="526"/>
      <c r="M101" s="526"/>
      <c r="N101" s="526"/>
      <c r="O101" s="526"/>
      <c r="P101" s="215"/>
    </row>
    <row r="102" spans="1:16" s="7" customFormat="1" ht="15">
      <c r="A102" s="50">
        <v>2</v>
      </c>
      <c r="B102" s="47" t="s">
        <v>26</v>
      </c>
      <c r="C102" s="129" t="s">
        <v>230</v>
      </c>
      <c r="D102" s="42">
        <v>567821</v>
      </c>
      <c r="E102" s="43">
        <v>68086</v>
      </c>
      <c r="F102" s="403">
        <f t="shared" si="11"/>
        <v>8.3397614781306</v>
      </c>
      <c r="G102" s="8"/>
      <c r="H102" s="19"/>
      <c r="I102" s="392"/>
      <c r="J102" s="26"/>
      <c r="K102" s="526"/>
      <c r="L102" s="526"/>
      <c r="M102" s="526"/>
      <c r="N102" s="526"/>
      <c r="O102" s="526"/>
      <c r="P102" s="215"/>
    </row>
    <row r="103" spans="1:16" s="7" customFormat="1" ht="15">
      <c r="A103" s="50">
        <v>3</v>
      </c>
      <c r="B103" s="47" t="s">
        <v>81</v>
      </c>
      <c r="C103" s="129" t="s">
        <v>554</v>
      </c>
      <c r="D103" s="42">
        <v>486056.5</v>
      </c>
      <c r="E103" s="43">
        <v>68900</v>
      </c>
      <c r="F103" s="403">
        <f t="shared" si="11"/>
        <v>7.054521044992743</v>
      </c>
      <c r="G103" s="8"/>
      <c r="H103" s="19"/>
      <c r="I103" s="392"/>
      <c r="J103" s="26"/>
      <c r="K103" s="526" t="s">
        <v>555</v>
      </c>
      <c r="L103" s="526"/>
      <c r="M103" s="526"/>
      <c r="N103" s="526"/>
      <c r="O103" s="526"/>
      <c r="P103" s="215"/>
    </row>
    <row r="104" spans="1:16" s="7" customFormat="1" ht="15">
      <c r="A104" s="50">
        <v>4</v>
      </c>
      <c r="B104" s="47" t="s">
        <v>5</v>
      </c>
      <c r="C104" s="129" t="s">
        <v>404</v>
      </c>
      <c r="D104" s="42">
        <v>69957</v>
      </c>
      <c r="E104" s="43">
        <v>9554</v>
      </c>
      <c r="F104" s="403">
        <f t="shared" si="11"/>
        <v>7.322273393343102</v>
      </c>
      <c r="G104" s="8"/>
      <c r="H104" s="19"/>
      <c r="I104" s="392"/>
      <c r="J104" s="26"/>
      <c r="K104" s="526"/>
      <c r="L104" s="526"/>
      <c r="M104" s="526"/>
      <c r="N104" s="526"/>
      <c r="O104" s="526"/>
      <c r="P104" s="215"/>
    </row>
    <row r="105" spans="1:16" s="7" customFormat="1" ht="15">
      <c r="A105" s="50">
        <v>5</v>
      </c>
      <c r="B105" s="47" t="s">
        <v>164</v>
      </c>
      <c r="C105" s="129" t="s">
        <v>227</v>
      </c>
      <c r="D105" s="42">
        <v>57840.5</v>
      </c>
      <c r="E105" s="43">
        <v>7977</v>
      </c>
      <c r="F105" s="403">
        <f t="shared" si="11"/>
        <v>7.2509088629810705</v>
      </c>
      <c r="G105" s="8"/>
      <c r="H105" s="19"/>
      <c r="I105" s="392"/>
      <c r="J105" s="26"/>
      <c r="K105" s="526"/>
      <c r="L105" s="526"/>
      <c r="M105" s="526"/>
      <c r="N105" s="526"/>
      <c r="O105" s="526"/>
      <c r="P105" s="215"/>
    </row>
    <row r="106" spans="1:16" s="7" customFormat="1" ht="15">
      <c r="A106" s="50">
        <v>6</v>
      </c>
      <c r="B106" s="47" t="s">
        <v>189</v>
      </c>
      <c r="C106" s="129" t="s">
        <v>397</v>
      </c>
      <c r="D106" s="42">
        <v>57655.55</v>
      </c>
      <c r="E106" s="43">
        <v>7855</v>
      </c>
      <c r="F106" s="403">
        <f t="shared" si="11"/>
        <v>7.339980903882878</v>
      </c>
      <c r="G106" s="8"/>
      <c r="H106" s="516" t="s">
        <v>45</v>
      </c>
      <c r="I106" s="517"/>
      <c r="J106" s="517"/>
      <c r="K106" s="517"/>
      <c r="L106" s="517"/>
      <c r="M106" s="517"/>
      <c r="N106" s="517"/>
      <c r="O106" s="517"/>
      <c r="P106" s="215"/>
    </row>
    <row r="107" spans="1:16" s="21" customFormat="1" ht="15">
      <c r="A107" s="50">
        <v>7</v>
      </c>
      <c r="B107" s="47" t="s">
        <v>183</v>
      </c>
      <c r="C107" s="129" t="s">
        <v>19</v>
      </c>
      <c r="D107" s="42">
        <v>40818</v>
      </c>
      <c r="E107" s="43">
        <v>4804</v>
      </c>
      <c r="F107" s="403">
        <f t="shared" si="11"/>
        <v>8.496669442131557</v>
      </c>
      <c r="G107" s="37"/>
      <c r="H107" s="517"/>
      <c r="I107" s="517"/>
      <c r="J107" s="517"/>
      <c r="K107" s="517"/>
      <c r="L107" s="517"/>
      <c r="M107" s="517"/>
      <c r="N107" s="517"/>
      <c r="O107" s="517"/>
      <c r="P107" s="215"/>
    </row>
    <row r="108" spans="1:16" s="21" customFormat="1" ht="15">
      <c r="A108" s="50">
        <v>8</v>
      </c>
      <c r="B108" s="47" t="s">
        <v>180</v>
      </c>
      <c r="C108" s="129" t="s">
        <v>279</v>
      </c>
      <c r="D108" s="42">
        <v>10480</v>
      </c>
      <c r="E108" s="43">
        <v>1513</v>
      </c>
      <c r="F108" s="403">
        <f t="shared" si="11"/>
        <v>6.926635822868473</v>
      </c>
      <c r="G108" s="20"/>
      <c r="H108" s="517"/>
      <c r="I108" s="517"/>
      <c r="J108" s="517"/>
      <c r="K108" s="517"/>
      <c r="L108" s="517"/>
      <c r="M108" s="517"/>
      <c r="N108" s="517"/>
      <c r="O108" s="517"/>
      <c r="P108" s="215"/>
    </row>
    <row r="109" spans="1:16" s="21" customFormat="1" ht="15">
      <c r="A109" s="50">
        <v>9</v>
      </c>
      <c r="B109" s="47" t="s">
        <v>27</v>
      </c>
      <c r="C109" s="129" t="s">
        <v>397</v>
      </c>
      <c r="D109" s="42">
        <v>10189.5</v>
      </c>
      <c r="E109" s="43">
        <v>1985</v>
      </c>
      <c r="F109" s="403">
        <f t="shared" si="11"/>
        <v>5.1332493702770785</v>
      </c>
      <c r="G109" s="20"/>
      <c r="H109" s="517"/>
      <c r="I109" s="517"/>
      <c r="J109" s="517"/>
      <c r="K109" s="517"/>
      <c r="L109" s="517"/>
      <c r="M109" s="517"/>
      <c r="N109" s="517"/>
      <c r="O109" s="517"/>
      <c r="P109" s="215"/>
    </row>
    <row r="110" spans="1:16" s="21" customFormat="1" ht="15">
      <c r="A110" s="50">
        <v>10</v>
      </c>
      <c r="B110" s="47" t="s">
        <v>382</v>
      </c>
      <c r="C110" s="129" t="s">
        <v>19</v>
      </c>
      <c r="D110" s="42">
        <v>9578</v>
      </c>
      <c r="E110" s="43">
        <v>1877</v>
      </c>
      <c r="F110" s="403">
        <f t="shared" si="11"/>
        <v>5.1028236547682475</v>
      </c>
      <c r="G110" s="20"/>
      <c r="H110" s="517"/>
      <c r="I110" s="517"/>
      <c r="J110" s="517"/>
      <c r="K110" s="517"/>
      <c r="L110" s="517"/>
      <c r="M110" s="517"/>
      <c r="N110" s="517"/>
      <c r="O110" s="517"/>
      <c r="P110" s="215"/>
    </row>
    <row r="111" spans="1:16" s="21" customFormat="1" ht="15">
      <c r="A111" s="50">
        <v>11</v>
      </c>
      <c r="B111" s="47" t="s">
        <v>162</v>
      </c>
      <c r="C111" s="129" t="s">
        <v>279</v>
      </c>
      <c r="D111" s="42">
        <v>4555</v>
      </c>
      <c r="E111" s="43">
        <v>966</v>
      </c>
      <c r="F111" s="403">
        <f t="shared" si="11"/>
        <v>4.715320910973085</v>
      </c>
      <c r="G111" s="20"/>
      <c r="H111" s="517"/>
      <c r="I111" s="517"/>
      <c r="J111" s="517"/>
      <c r="K111" s="517"/>
      <c r="L111" s="517"/>
      <c r="M111" s="517"/>
      <c r="N111" s="517"/>
      <c r="O111" s="517"/>
      <c r="P111" s="215"/>
    </row>
    <row r="112" spans="1:16" s="21" customFormat="1" ht="15">
      <c r="A112" s="50">
        <v>12</v>
      </c>
      <c r="B112" s="47" t="s">
        <v>184</v>
      </c>
      <c r="C112" s="129" t="s">
        <v>2</v>
      </c>
      <c r="D112" s="42">
        <v>1403</v>
      </c>
      <c r="E112" s="43">
        <v>216</v>
      </c>
      <c r="F112" s="403">
        <f t="shared" si="11"/>
        <v>6.49537037037037</v>
      </c>
      <c r="G112" s="20"/>
      <c r="H112" s="518" t="s">
        <v>1</v>
      </c>
      <c r="I112" s="517"/>
      <c r="J112" s="517"/>
      <c r="K112" s="517"/>
      <c r="L112" s="517"/>
      <c r="M112" s="517"/>
      <c r="N112" s="517"/>
      <c r="O112" s="517"/>
      <c r="P112" s="215"/>
    </row>
    <row r="113" spans="1:16" s="21" customFormat="1" ht="15">
      <c r="A113" s="50">
        <v>13</v>
      </c>
      <c r="B113" s="47" t="s">
        <v>523</v>
      </c>
      <c r="C113" s="129" t="s">
        <v>19</v>
      </c>
      <c r="D113" s="42">
        <v>351</v>
      </c>
      <c r="E113" s="43">
        <v>67</v>
      </c>
      <c r="F113" s="403">
        <f t="shared" si="11"/>
        <v>5.2388059701492535</v>
      </c>
      <c r="G113" s="20"/>
      <c r="H113" s="517"/>
      <c r="I113" s="517"/>
      <c r="J113" s="517"/>
      <c r="K113" s="517"/>
      <c r="L113" s="517"/>
      <c r="M113" s="517"/>
      <c r="N113" s="517"/>
      <c r="O113" s="517"/>
      <c r="P113" s="215"/>
    </row>
    <row r="114" spans="1:16" s="21" customFormat="1" ht="15.75" thickBot="1">
      <c r="A114" s="51">
        <v>14</v>
      </c>
      <c r="B114" s="48" t="s">
        <v>190</v>
      </c>
      <c r="C114" s="130" t="s">
        <v>553</v>
      </c>
      <c r="D114" s="44">
        <v>0</v>
      </c>
      <c r="E114" s="45">
        <v>0</v>
      </c>
      <c r="F114" s="404">
        <v>0</v>
      </c>
      <c r="G114" s="20"/>
      <c r="H114" s="517"/>
      <c r="I114" s="517"/>
      <c r="J114" s="517"/>
      <c r="K114" s="517"/>
      <c r="L114" s="517"/>
      <c r="M114" s="517"/>
      <c r="N114" s="517"/>
      <c r="O114" s="517"/>
      <c r="P114" s="215"/>
    </row>
    <row r="115" spans="1:16" s="21" customFormat="1" ht="18">
      <c r="A115" s="40"/>
      <c r="B115" s="4"/>
      <c r="C115" s="12"/>
      <c r="D115" s="16"/>
      <c r="E115" s="16"/>
      <c r="F115" s="6"/>
      <c r="G115" s="20"/>
      <c r="H115" s="517"/>
      <c r="I115" s="517"/>
      <c r="J115" s="517"/>
      <c r="K115" s="517"/>
      <c r="L115" s="517"/>
      <c r="M115" s="517"/>
      <c r="N115" s="517"/>
      <c r="O115" s="517"/>
      <c r="P115" s="215"/>
    </row>
    <row r="116" spans="1:16" s="21" customFormat="1" ht="18">
      <c r="A116" s="40"/>
      <c r="B116" s="4"/>
      <c r="C116" s="12"/>
      <c r="D116" s="16"/>
      <c r="E116" s="16"/>
      <c r="F116" s="6"/>
      <c r="G116" s="20"/>
      <c r="H116" s="517"/>
      <c r="I116" s="517"/>
      <c r="J116" s="517"/>
      <c r="K116" s="517"/>
      <c r="L116" s="517"/>
      <c r="M116" s="517"/>
      <c r="N116" s="517"/>
      <c r="O116" s="517"/>
      <c r="P116" s="215"/>
    </row>
    <row r="117" spans="1:16" s="21" customFormat="1" ht="15">
      <c r="A117" s="40"/>
      <c r="B117" s="61"/>
      <c r="C117" s="127"/>
      <c r="D117" s="61"/>
      <c r="E117" s="61"/>
      <c r="F117" s="405"/>
      <c r="G117" s="20"/>
      <c r="H117" s="517"/>
      <c r="I117" s="517"/>
      <c r="J117" s="517"/>
      <c r="K117" s="517"/>
      <c r="L117" s="517"/>
      <c r="M117" s="517"/>
      <c r="N117" s="517"/>
      <c r="O117" s="517"/>
      <c r="P117" s="215"/>
    </row>
    <row r="118" spans="1:16" s="21" customFormat="1" ht="15">
      <c r="A118" s="40"/>
      <c r="B118" s="61"/>
      <c r="C118" s="127"/>
      <c r="D118" s="61"/>
      <c r="E118" s="61"/>
      <c r="F118" s="405"/>
      <c r="G118" s="20"/>
      <c r="H118" s="517"/>
      <c r="I118" s="517"/>
      <c r="J118" s="517"/>
      <c r="K118" s="517"/>
      <c r="L118" s="517"/>
      <c r="M118" s="517"/>
      <c r="N118" s="517"/>
      <c r="O118" s="517"/>
      <c r="P118" s="215"/>
    </row>
    <row r="119" spans="1:16" s="21" customFormat="1" ht="15">
      <c r="A119" s="40"/>
      <c r="B119" s="61"/>
      <c r="C119" s="127"/>
      <c r="D119" s="61"/>
      <c r="E119" s="61"/>
      <c r="F119" s="405"/>
      <c r="G119" s="20"/>
      <c r="H119" s="405"/>
      <c r="I119" s="393"/>
      <c r="J119" s="401"/>
      <c r="K119" s="402"/>
      <c r="L119" s="406"/>
      <c r="M119" s="399"/>
      <c r="N119" s="402"/>
      <c r="O119" s="406"/>
      <c r="P119" s="215"/>
    </row>
    <row r="120" spans="1:16" s="21" customFormat="1" ht="15">
      <c r="A120" s="40"/>
      <c r="B120" s="61"/>
      <c r="C120" s="127"/>
      <c r="D120" s="61"/>
      <c r="E120" s="61"/>
      <c r="F120" s="405"/>
      <c r="G120" s="20"/>
      <c r="H120" s="405"/>
      <c r="I120" s="393"/>
      <c r="J120" s="401"/>
      <c r="K120" s="402"/>
      <c r="L120" s="406"/>
      <c r="M120" s="399"/>
      <c r="N120" s="402"/>
      <c r="O120" s="406"/>
      <c r="P120" s="215"/>
    </row>
    <row r="121" spans="2:6" ht="18">
      <c r="B121" s="61"/>
      <c r="C121" s="127"/>
      <c r="D121" s="61"/>
      <c r="E121" s="61"/>
      <c r="F121" s="405"/>
    </row>
    <row r="122" spans="2:6" ht="18">
      <c r="B122" s="61"/>
      <c r="C122" s="127"/>
      <c r="D122" s="61"/>
      <c r="E122" s="61"/>
      <c r="F122" s="405"/>
    </row>
    <row r="123" spans="2:15" ht="18">
      <c r="B123" s="61"/>
      <c r="C123" s="127"/>
      <c r="D123" s="61"/>
      <c r="E123" s="61"/>
      <c r="F123" s="405"/>
      <c r="G123" s="405"/>
      <c r="H123" s="405"/>
      <c r="I123" s="393"/>
      <c r="J123" s="401"/>
      <c r="K123" s="402"/>
      <c r="L123" s="406"/>
      <c r="M123" s="399"/>
      <c r="N123" s="402"/>
      <c r="O123" s="406"/>
    </row>
    <row r="124" spans="2:15" ht="18">
      <c r="B124" s="61"/>
      <c r="C124" s="127"/>
      <c r="D124" s="61"/>
      <c r="E124" s="61"/>
      <c r="F124" s="405"/>
      <c r="G124" s="405"/>
      <c r="H124" s="405"/>
      <c r="I124" s="393"/>
      <c r="J124" s="401"/>
      <c r="K124" s="402"/>
      <c r="L124" s="406"/>
      <c r="M124" s="399"/>
      <c r="N124" s="402"/>
      <c r="O124" s="406"/>
    </row>
    <row r="125" spans="2:15" ht="18">
      <c r="B125" s="61"/>
      <c r="C125" s="127"/>
      <c r="D125" s="61"/>
      <c r="E125" s="61"/>
      <c r="F125" s="405"/>
      <c r="G125" s="405"/>
      <c r="H125" s="405"/>
      <c r="I125" s="393"/>
      <c r="J125" s="401"/>
      <c r="K125" s="402"/>
      <c r="L125" s="406"/>
      <c r="M125" s="399"/>
      <c r="N125" s="402"/>
      <c r="O125" s="406"/>
    </row>
    <row r="126" spans="2:15" ht="18">
      <c r="B126" s="61"/>
      <c r="C126" s="127"/>
      <c r="D126" s="61"/>
      <c r="E126" s="61"/>
      <c r="F126" s="405"/>
      <c r="G126" s="405"/>
      <c r="H126" s="405"/>
      <c r="I126" s="393"/>
      <c r="J126" s="401"/>
      <c r="K126" s="402"/>
      <c r="L126" s="406"/>
      <c r="M126" s="399"/>
      <c r="N126" s="402"/>
      <c r="O126" s="406"/>
    </row>
    <row r="127" spans="2:15" ht="18">
      <c r="B127" s="61"/>
      <c r="C127" s="127"/>
      <c r="D127" s="61"/>
      <c r="E127" s="61"/>
      <c r="F127" s="405"/>
      <c r="G127" s="405"/>
      <c r="H127" s="405"/>
      <c r="I127" s="393"/>
      <c r="J127" s="401"/>
      <c r="K127" s="402"/>
      <c r="L127" s="406"/>
      <c r="M127" s="399"/>
      <c r="N127" s="402"/>
      <c r="O127" s="406"/>
    </row>
    <row r="128" spans="2:15" ht="18">
      <c r="B128" s="61"/>
      <c r="C128" s="127"/>
      <c r="D128" s="61"/>
      <c r="E128" s="61"/>
      <c r="F128" s="405"/>
      <c r="G128" s="405"/>
      <c r="H128" s="405"/>
      <c r="I128" s="393"/>
      <c r="J128" s="401"/>
      <c r="K128" s="402"/>
      <c r="L128" s="406"/>
      <c r="M128" s="399"/>
      <c r="N128" s="402"/>
      <c r="O128" s="406"/>
    </row>
    <row r="129" spans="2:15" ht="18">
      <c r="B129" s="61"/>
      <c r="C129" s="127"/>
      <c r="D129" s="61"/>
      <c r="E129" s="61"/>
      <c r="F129" s="405"/>
      <c r="G129" s="405"/>
      <c r="H129" s="405"/>
      <c r="I129" s="393"/>
      <c r="J129" s="401"/>
      <c r="K129" s="402"/>
      <c r="L129" s="406"/>
      <c r="M129" s="399"/>
      <c r="N129" s="402"/>
      <c r="O129" s="406"/>
    </row>
    <row r="130" spans="2:15" ht="18">
      <c r="B130" s="61"/>
      <c r="C130" s="127"/>
      <c r="D130" s="61"/>
      <c r="E130" s="61"/>
      <c r="F130" s="405"/>
      <c r="G130" s="405"/>
      <c r="H130" s="405"/>
      <c r="I130" s="393"/>
      <c r="J130" s="401"/>
      <c r="K130" s="402"/>
      <c r="L130" s="406"/>
      <c r="M130" s="399"/>
      <c r="N130" s="402"/>
      <c r="O130" s="406"/>
    </row>
    <row r="131" spans="7:15" ht="18">
      <c r="G131" s="405"/>
      <c r="H131" s="405"/>
      <c r="I131" s="393"/>
      <c r="J131" s="401"/>
      <c r="K131" s="402"/>
      <c r="L131" s="406"/>
      <c r="M131" s="399"/>
      <c r="N131" s="402"/>
      <c r="O131" s="406"/>
    </row>
    <row r="132" spans="7:15" ht="18">
      <c r="G132" s="405"/>
      <c r="H132" s="405"/>
      <c r="I132" s="393"/>
      <c r="J132" s="401"/>
      <c r="K132" s="402"/>
      <c r="L132" s="406"/>
      <c r="M132" s="399"/>
      <c r="N132" s="402"/>
      <c r="O132" s="406"/>
    </row>
    <row r="133" spans="7:15" ht="18">
      <c r="G133" s="405"/>
      <c r="H133" s="405"/>
      <c r="I133" s="393"/>
      <c r="J133" s="401"/>
      <c r="K133" s="402"/>
      <c r="L133" s="406"/>
      <c r="M133" s="399"/>
      <c r="N133" s="402"/>
      <c r="O133" s="406"/>
    </row>
    <row r="134" spans="7:15" ht="18">
      <c r="G134" s="405"/>
      <c r="H134" s="405"/>
      <c r="I134" s="393"/>
      <c r="J134" s="401"/>
      <c r="K134" s="402"/>
      <c r="L134" s="406"/>
      <c r="M134" s="399"/>
      <c r="N134" s="402"/>
      <c r="O134" s="406"/>
    </row>
    <row r="135" spans="7:15" ht="18">
      <c r="G135" s="405"/>
      <c r="H135" s="405"/>
      <c r="I135" s="393"/>
      <c r="J135" s="401"/>
      <c r="K135" s="402"/>
      <c r="L135" s="406"/>
      <c r="M135" s="399"/>
      <c r="N135" s="402"/>
      <c r="O135" s="406"/>
    </row>
    <row r="136" spans="7:15" ht="18">
      <c r="G136" s="405"/>
      <c r="H136" s="405"/>
      <c r="I136" s="393"/>
      <c r="J136" s="401"/>
      <c r="K136" s="402"/>
      <c r="L136" s="406"/>
      <c r="M136" s="399"/>
      <c r="N136" s="402"/>
      <c r="O136" s="406"/>
    </row>
  </sheetData>
  <sheetProtection insertRows="0" deleteRows="0" sort="0"/>
  <mergeCells count="20">
    <mergeCell ref="A2:O2"/>
    <mergeCell ref="M3:O3"/>
    <mergeCell ref="G3:G4"/>
    <mergeCell ref="F3:F4"/>
    <mergeCell ref="B3:B4"/>
    <mergeCell ref="D3:D4"/>
    <mergeCell ref="H3:H4"/>
    <mergeCell ref="I3:L3"/>
    <mergeCell ref="C3:C4"/>
    <mergeCell ref="E3:E4"/>
    <mergeCell ref="H106:O111"/>
    <mergeCell ref="H112:O118"/>
    <mergeCell ref="A94:B94"/>
    <mergeCell ref="A95:B95"/>
    <mergeCell ref="C99:F99"/>
    <mergeCell ref="K100:O102"/>
    <mergeCell ref="B97:C98"/>
    <mergeCell ref="K97:O99"/>
    <mergeCell ref="D97:F97"/>
    <mergeCell ref="K103:O105"/>
  </mergeCells>
  <printOptions horizontalCentered="1" verticalCentered="1"/>
  <pageMargins left="0.53" right="0.19" top="0.5905511811023623" bottom="0.5" header="0.5118110236220472" footer="0.45"/>
  <pageSetup orientation="portrait" paperSize="9" scale="45" r:id="rId2"/>
  <ignoredErrors>
    <ignoredError sqref="F16:I86 G101:G112 G113 C114 C101:E113" numberStoredAsText="1"/>
    <ignoredError sqref="P94:P96 K94:N96 O94:O96 K6:L92 M87:N92" formula="1"/>
    <ignoredError sqref="P11:P13 P14:P86 P87:P93 M6:N86 F101:F111" formula="1" unlockedFormula="1"/>
    <ignoredError sqref="F101:F111" numberStoredAsText="1" unlockedFormula="1"/>
    <ignoredError sqref="P6:P10 M5:N5 F112:F113" unlockedFormula="1"/>
  </ignoredErrors>
  <drawing r:id="rId1"/>
</worksheet>
</file>

<file path=xl/worksheets/sheet2.xml><?xml version="1.0" encoding="utf-8"?>
<worksheet xmlns="http://schemas.openxmlformats.org/spreadsheetml/2006/main" xmlns:r="http://schemas.openxmlformats.org/officeDocument/2006/relationships">
  <dimension ref="A1:N203"/>
  <sheetViews>
    <sheetView zoomScale="70" zoomScaleNormal="70" zoomScalePageLayoutView="0" workbookViewId="0" topLeftCell="A1">
      <selection activeCell="B2" sqref="B2:B3"/>
    </sheetView>
  </sheetViews>
  <sheetFormatPr defaultColWidth="13.28125" defaultRowHeight="12.75"/>
  <cols>
    <col min="1" max="1" width="3.57421875" style="77" bestFit="1" customWidth="1"/>
    <col min="2" max="2" width="44.7109375" style="73" bestFit="1" customWidth="1"/>
    <col min="3" max="3" width="9.140625" style="38" customWidth="1"/>
    <col min="4" max="4" width="13.140625" style="38" bestFit="1" customWidth="1"/>
    <col min="5" max="5" width="19.7109375" style="38" bestFit="1" customWidth="1"/>
    <col min="6" max="6" width="6.28125" style="38" bestFit="1" customWidth="1"/>
    <col min="7" max="7" width="9.7109375" style="38" customWidth="1"/>
    <col min="8" max="8" width="17.28125" style="498" bestFit="1" customWidth="1"/>
    <col min="9" max="9" width="12.28125" style="499" bestFit="1" customWidth="1"/>
    <col min="10" max="10" width="6.7109375" style="74" customWidth="1"/>
    <col min="11" max="11" width="16.28125" style="352" bestFit="1" customWidth="1"/>
    <col min="12" max="12" width="11.00390625" style="345" bestFit="1" customWidth="1"/>
    <col min="13" max="13" width="14.140625" style="352" bestFit="1" customWidth="1"/>
    <col min="14" max="14" width="11.00390625" style="345" bestFit="1" customWidth="1"/>
    <col min="15" max="16" width="8.8515625" style="0" customWidth="1"/>
    <col min="17" max="16384" width="13.28125" style="73" customWidth="1"/>
  </cols>
  <sheetData>
    <row r="1" spans="1:14" s="66" customFormat="1" ht="64.5" customHeight="1" thickBot="1">
      <c r="A1" s="545" t="s">
        <v>550</v>
      </c>
      <c r="B1" s="545"/>
      <c r="C1" s="545"/>
      <c r="D1" s="545"/>
      <c r="E1" s="545"/>
      <c r="F1" s="545"/>
      <c r="G1" s="545"/>
      <c r="H1" s="545"/>
      <c r="I1" s="545"/>
      <c r="J1" s="545"/>
      <c r="K1" s="363"/>
      <c r="L1" s="364"/>
      <c r="M1" s="363"/>
      <c r="N1" s="364"/>
    </row>
    <row r="2" spans="1:14" s="67" customFormat="1" ht="14.25">
      <c r="A2" s="81"/>
      <c r="B2" s="550" t="s">
        <v>70</v>
      </c>
      <c r="C2" s="550" t="s">
        <v>53</v>
      </c>
      <c r="D2" s="550" t="s">
        <v>170</v>
      </c>
      <c r="E2" s="550" t="s">
        <v>169</v>
      </c>
      <c r="F2" s="539" t="s">
        <v>72</v>
      </c>
      <c r="G2" s="539" t="s">
        <v>54</v>
      </c>
      <c r="H2" s="553" t="s">
        <v>74</v>
      </c>
      <c r="I2" s="554"/>
      <c r="J2" s="555" t="s">
        <v>55</v>
      </c>
      <c r="K2" s="346"/>
      <c r="L2" s="339"/>
      <c r="M2" s="346"/>
      <c r="N2" s="339"/>
    </row>
    <row r="3" spans="1:14" s="67" customFormat="1" ht="33" customHeight="1" thickBot="1">
      <c r="A3" s="159"/>
      <c r="B3" s="551"/>
      <c r="C3" s="551"/>
      <c r="D3" s="551"/>
      <c r="E3" s="551"/>
      <c r="F3" s="552"/>
      <c r="G3" s="552"/>
      <c r="H3" s="64" t="s">
        <v>56</v>
      </c>
      <c r="I3" s="65" t="s">
        <v>205</v>
      </c>
      <c r="J3" s="556"/>
      <c r="K3" s="346"/>
      <c r="L3" s="339"/>
      <c r="M3" s="346"/>
      <c r="N3" s="339"/>
    </row>
    <row r="4" spans="1:14" s="67" customFormat="1" ht="15">
      <c r="A4" s="166">
        <v>1</v>
      </c>
      <c r="B4" s="480" t="s">
        <v>339</v>
      </c>
      <c r="C4" s="158">
        <v>39094</v>
      </c>
      <c r="D4" s="481" t="s">
        <v>174</v>
      </c>
      <c r="E4" s="481" t="s">
        <v>542</v>
      </c>
      <c r="F4" s="482">
        <v>226</v>
      </c>
      <c r="G4" s="482">
        <v>28</v>
      </c>
      <c r="H4" s="483">
        <f>3142328+2138928+1454143+1085018.5-637+512497+119516+49072.5+21975.5+19023+9522+7521+6716.5+973+245+20+90+85+70+947+133+2189+149+3296.5+5376+1188+1551</f>
        <v>8581936.5</v>
      </c>
      <c r="I4" s="324">
        <f>453903+300559+202455+152725+101+73889+22414+10560+4196+3829+2908+1791+1716+233+42+4+18+17+14+309+15+538+24+819+1343+297+388</f>
        <v>1235107</v>
      </c>
      <c r="J4" s="447">
        <f>H4/I4</f>
        <v>6.948334435801918</v>
      </c>
      <c r="K4" s="366"/>
      <c r="L4" s="357"/>
      <c r="M4" s="427"/>
      <c r="N4" s="433"/>
    </row>
    <row r="5" spans="1:14" s="67" customFormat="1" ht="15">
      <c r="A5" s="166">
        <v>2</v>
      </c>
      <c r="B5" s="302" t="s">
        <v>96</v>
      </c>
      <c r="C5" s="98">
        <v>39101</v>
      </c>
      <c r="D5" s="152" t="s">
        <v>174</v>
      </c>
      <c r="E5" s="152" t="s">
        <v>174</v>
      </c>
      <c r="F5" s="295">
        <v>160</v>
      </c>
      <c r="G5" s="295">
        <v>29</v>
      </c>
      <c r="H5" s="225">
        <f>3815016+1300103.5+871510+26.5+643328.5+285+427492+144808.5-4582.5+117687.5+159.5+78376+20328+17217+7297+945+2840.5+34810+328+1337+17151+158+30+3021+2014+152+6041+3614.5+6585+17296.5+42649.5</f>
        <v>7578025.5</v>
      </c>
      <c r="I5" s="326">
        <f>302979+231870+176034+121748+3+91906+35+60830+21133-764+16236+14+11431-4+2924+3552+1459+120+1210+2+11600+81+437+5713+17+6+604+503+25+1510+904+1646+4326+10661</f>
        <v>1080751</v>
      </c>
      <c r="J5" s="310">
        <f>H5/I5</f>
        <v>7.011814469752977</v>
      </c>
      <c r="K5" s="366"/>
      <c r="L5" s="357"/>
      <c r="M5" s="427"/>
      <c r="N5" s="433"/>
    </row>
    <row r="6" spans="1:14" s="67" customFormat="1" ht="15">
      <c r="A6" s="255">
        <v>3</v>
      </c>
      <c r="B6" s="474" t="s">
        <v>526</v>
      </c>
      <c r="C6" s="334">
        <v>39227</v>
      </c>
      <c r="D6" s="475" t="s">
        <v>173</v>
      </c>
      <c r="E6" s="475" t="s">
        <v>176</v>
      </c>
      <c r="F6" s="476">
        <v>216</v>
      </c>
      <c r="G6" s="476">
        <v>13</v>
      </c>
      <c r="H6" s="453">
        <v>7384180</v>
      </c>
      <c r="I6" s="335">
        <v>965771</v>
      </c>
      <c r="J6" s="486">
        <f>H6/I6</f>
        <v>7.645891210235138</v>
      </c>
      <c r="K6" s="366"/>
      <c r="L6" s="357"/>
      <c r="M6" s="427"/>
      <c r="N6" s="433"/>
    </row>
    <row r="7" spans="1:14" s="67" customFormat="1" ht="15">
      <c r="A7" s="254">
        <v>4</v>
      </c>
      <c r="B7" s="422">
        <v>300</v>
      </c>
      <c r="C7" s="333">
        <v>39157</v>
      </c>
      <c r="D7" s="423" t="s">
        <v>172</v>
      </c>
      <c r="E7" s="424" t="s">
        <v>80</v>
      </c>
      <c r="F7" s="425">
        <v>112</v>
      </c>
      <c r="G7" s="425">
        <v>17</v>
      </c>
      <c r="H7" s="485">
        <f>3267435+1511269+807013+389417+224450+112364+52008+9245+3829+1321+540+40+97+1035+245+610+2142+1338</f>
        <v>6384398</v>
      </c>
      <c r="I7" s="458">
        <f>400017+186496+98693+49874+35249+20817+11882+2148+932+328+139+8+17+46+129+366+302</f>
        <v>807443</v>
      </c>
      <c r="J7" s="315">
        <f>+H7/I7</f>
        <v>7.906933368671225</v>
      </c>
      <c r="K7" s="367"/>
      <c r="L7" s="358"/>
      <c r="M7" s="428"/>
      <c r="N7" s="434"/>
    </row>
    <row r="8" spans="1:14" s="67" customFormat="1" ht="15">
      <c r="A8" s="166">
        <v>5</v>
      </c>
      <c r="B8" s="301" t="s">
        <v>495</v>
      </c>
      <c r="C8" s="97">
        <v>39206</v>
      </c>
      <c r="D8" s="153" t="s">
        <v>172</v>
      </c>
      <c r="E8" s="153" t="s">
        <v>177</v>
      </c>
      <c r="F8" s="248">
        <v>163</v>
      </c>
      <c r="G8" s="248">
        <v>16</v>
      </c>
      <c r="H8" s="222">
        <f>2739132+1415220+863921+292563+163748+73051+52236+22471+12322+7793+3792+3061+6867+1708+8702+2302</f>
        <v>5668889</v>
      </c>
      <c r="I8" s="325">
        <f>347281+180161+109405+38153+22549+13412+12422+3817+2194+1661+709+551+1810+183+2155+320</f>
        <v>736783</v>
      </c>
      <c r="J8" s="310">
        <f>H8/I8</f>
        <v>7.694109391774783</v>
      </c>
      <c r="K8" s="367"/>
      <c r="L8" s="358"/>
      <c r="M8" s="428"/>
      <c r="N8" s="434"/>
    </row>
    <row r="9" spans="1:14" s="67" customFormat="1" ht="15">
      <c r="A9" s="166">
        <v>6</v>
      </c>
      <c r="B9" s="301" t="s">
        <v>152</v>
      </c>
      <c r="C9" s="97">
        <v>39108</v>
      </c>
      <c r="D9" s="152" t="s">
        <v>172</v>
      </c>
      <c r="E9" s="153" t="s">
        <v>415</v>
      </c>
      <c r="F9" s="248">
        <v>148</v>
      </c>
      <c r="G9" s="248">
        <v>26</v>
      </c>
      <c r="H9" s="226">
        <f>1992651+1728920+984064+346169+182382+106480+57466+19982+14948+10164+6290+4742+2342+225+140+1108+175+60+115+165+40+40+10+764+916+80</f>
        <v>5460438</v>
      </c>
      <c r="I9" s="455">
        <f>274655+238848+139396+51021+30073+21220+12561+3942+2123+3415+1857+1264+1187+706+45+28+267+35+12+23+33+8+8+2+167+186+16</f>
        <v>783098</v>
      </c>
      <c r="J9" s="266">
        <f>+H9/I9</f>
        <v>6.972866742093582</v>
      </c>
      <c r="K9" s="367"/>
      <c r="L9" s="358"/>
      <c r="M9" s="428"/>
      <c r="N9" s="434"/>
    </row>
    <row r="10" spans="1:14" s="67" customFormat="1" ht="15">
      <c r="A10" s="166">
        <v>7</v>
      </c>
      <c r="B10" s="302" t="s">
        <v>559</v>
      </c>
      <c r="C10" s="98">
        <v>39248</v>
      </c>
      <c r="D10" s="152" t="s">
        <v>173</v>
      </c>
      <c r="E10" s="152" t="s">
        <v>181</v>
      </c>
      <c r="F10" s="295">
        <v>160</v>
      </c>
      <c r="G10" s="295">
        <v>10</v>
      </c>
      <c r="H10" s="221">
        <v>4834088</v>
      </c>
      <c r="I10" s="326">
        <v>650927</v>
      </c>
      <c r="J10" s="310">
        <f>H10/I10</f>
        <v>7.426467176810918</v>
      </c>
      <c r="K10" s="368"/>
      <c r="L10" s="358"/>
      <c r="M10" s="428"/>
      <c r="N10" s="434"/>
    </row>
    <row r="11" spans="1:14" s="67" customFormat="1" ht="15">
      <c r="A11" s="166">
        <v>8</v>
      </c>
      <c r="B11" s="301" t="s">
        <v>212</v>
      </c>
      <c r="C11" s="97">
        <v>39157</v>
      </c>
      <c r="D11" s="153" t="s">
        <v>27</v>
      </c>
      <c r="E11" s="153" t="s">
        <v>213</v>
      </c>
      <c r="F11" s="248" t="s">
        <v>250</v>
      </c>
      <c r="G11" s="248" t="s">
        <v>554</v>
      </c>
      <c r="H11" s="222">
        <v>4174334</v>
      </c>
      <c r="I11" s="325">
        <v>542296</v>
      </c>
      <c r="J11" s="310">
        <f>H11/I11</f>
        <v>7.697519435880036</v>
      </c>
      <c r="K11" s="369"/>
      <c r="L11" s="358"/>
      <c r="M11" s="428"/>
      <c r="N11" s="434"/>
    </row>
    <row r="12" spans="1:14" s="67" customFormat="1" ht="15">
      <c r="A12" s="166">
        <v>9</v>
      </c>
      <c r="B12" s="301" t="s">
        <v>539</v>
      </c>
      <c r="C12" s="97">
        <v>39304</v>
      </c>
      <c r="D12" s="153" t="s">
        <v>172</v>
      </c>
      <c r="E12" s="153" t="s">
        <v>80</v>
      </c>
      <c r="F12" s="248">
        <v>165</v>
      </c>
      <c r="G12" s="248">
        <v>2</v>
      </c>
      <c r="H12" s="222">
        <f>2632960+1103806</f>
        <v>3736766</v>
      </c>
      <c r="I12" s="325">
        <f>336483+141879</f>
        <v>478362</v>
      </c>
      <c r="J12" s="310">
        <f>H12/I12</f>
        <v>7.81158620458983</v>
      </c>
      <c r="K12" s="367"/>
      <c r="L12" s="358"/>
      <c r="M12" s="428"/>
      <c r="N12" s="434"/>
    </row>
    <row r="13" spans="1:14" s="67" customFormat="1" ht="15">
      <c r="A13" s="166">
        <v>10</v>
      </c>
      <c r="B13" s="217" t="s">
        <v>102</v>
      </c>
      <c r="C13" s="97">
        <v>39108</v>
      </c>
      <c r="D13" s="105" t="s">
        <v>172</v>
      </c>
      <c r="E13" s="104" t="s">
        <v>80</v>
      </c>
      <c r="F13" s="312">
        <v>131</v>
      </c>
      <c r="G13" s="312">
        <v>23</v>
      </c>
      <c r="H13" s="226">
        <f>3063+1388108+1182918+556749+125580+97410+76666+37161+16470+15161+2005+10200+4397+3408+936+1970+7747+2376+294+1782+1782+1782+276+150</f>
        <v>3538391</v>
      </c>
      <c r="I13" s="455">
        <f>313+167433+145432+67053+17220+16427+14008+6979+4516+4288+371+2790+932+917+199+391+2126+594+81+356+356+509+38+30</f>
        <v>453359</v>
      </c>
      <c r="J13" s="266">
        <f>+H13/I13</f>
        <v>7.804832373461209</v>
      </c>
      <c r="K13" s="366"/>
      <c r="L13" s="357"/>
      <c r="M13" s="427"/>
      <c r="N13" s="433"/>
    </row>
    <row r="14" spans="1:14" s="67" customFormat="1" ht="15">
      <c r="A14" s="166">
        <v>11</v>
      </c>
      <c r="B14" s="302" t="s">
        <v>400</v>
      </c>
      <c r="C14" s="98">
        <v>39269</v>
      </c>
      <c r="D14" s="152" t="s">
        <v>173</v>
      </c>
      <c r="E14" s="152" t="s">
        <v>181</v>
      </c>
      <c r="F14" s="295">
        <v>156</v>
      </c>
      <c r="G14" s="295">
        <v>7</v>
      </c>
      <c r="H14" s="221">
        <v>3201795</v>
      </c>
      <c r="I14" s="326">
        <v>403902</v>
      </c>
      <c r="J14" s="310">
        <f>H14/I14</f>
        <v>7.927158072997906</v>
      </c>
      <c r="K14" s="368"/>
      <c r="L14" s="358"/>
      <c r="M14" s="428"/>
      <c r="N14" s="434"/>
    </row>
    <row r="15" spans="1:14" s="67" customFormat="1" ht="15">
      <c r="A15" s="166">
        <v>12</v>
      </c>
      <c r="B15" s="301" t="s">
        <v>139</v>
      </c>
      <c r="C15" s="97">
        <v>39115</v>
      </c>
      <c r="D15" s="153" t="s">
        <v>172</v>
      </c>
      <c r="E15" s="153" t="s">
        <v>80</v>
      </c>
      <c r="F15" s="248">
        <v>81</v>
      </c>
      <c r="G15" s="248">
        <v>18</v>
      </c>
      <c r="H15" s="222">
        <f>3091+1174032+810484+561094+347033+135358+88526+33166+9630+2505+2639+286+251+1782+152+910+672+1782+832+1782</f>
        <v>3176007</v>
      </c>
      <c r="I15" s="325">
        <f>289+128246+92369+63358+42093+20318+16522+7468+2207+501+1112+39+34+509+36+158+509+83+594</f>
        <v>376445</v>
      </c>
      <c r="J15" s="310">
        <f>H15/I15</f>
        <v>8.43684203535709</v>
      </c>
      <c r="K15" s="370"/>
      <c r="L15" s="357"/>
      <c r="M15" s="427"/>
      <c r="N15" s="433"/>
    </row>
    <row r="16" spans="1:14" s="67" customFormat="1" ht="15">
      <c r="A16" s="166">
        <v>13</v>
      </c>
      <c r="B16" s="301" t="s">
        <v>289</v>
      </c>
      <c r="C16" s="97">
        <v>39080</v>
      </c>
      <c r="D16" s="153" t="s">
        <v>27</v>
      </c>
      <c r="E16" s="153" t="s">
        <v>43</v>
      </c>
      <c r="F16" s="248" t="s">
        <v>290</v>
      </c>
      <c r="G16" s="248" t="s">
        <v>560</v>
      </c>
      <c r="H16" s="222">
        <v>3120873.5</v>
      </c>
      <c r="I16" s="325">
        <v>427199</v>
      </c>
      <c r="J16" s="310">
        <f>H16/I16</f>
        <v>7.3054325969864164</v>
      </c>
      <c r="K16" s="371"/>
      <c r="L16" s="358"/>
      <c r="M16" s="428"/>
      <c r="N16" s="434"/>
    </row>
    <row r="17" spans="1:14" s="67" customFormat="1" ht="15">
      <c r="A17" s="166">
        <v>14</v>
      </c>
      <c r="B17" s="302" t="s">
        <v>308</v>
      </c>
      <c r="C17" s="98">
        <v>39087</v>
      </c>
      <c r="D17" s="152" t="s">
        <v>173</v>
      </c>
      <c r="E17" s="152" t="s">
        <v>176</v>
      </c>
      <c r="F17" s="295">
        <v>90</v>
      </c>
      <c r="G17" s="295">
        <v>12</v>
      </c>
      <c r="H17" s="225">
        <v>2957559</v>
      </c>
      <c r="I17" s="103">
        <v>345479</v>
      </c>
      <c r="J17" s="266">
        <f>+H17/I17</f>
        <v>8.56074898908472</v>
      </c>
      <c r="K17" s="366"/>
      <c r="L17" s="357"/>
      <c r="M17" s="427"/>
      <c r="N17" s="433"/>
    </row>
    <row r="18" spans="1:14" s="67" customFormat="1" ht="15">
      <c r="A18" s="166">
        <v>15</v>
      </c>
      <c r="B18" s="301" t="s">
        <v>365</v>
      </c>
      <c r="C18" s="97">
        <v>39241</v>
      </c>
      <c r="D18" s="153" t="s">
        <v>172</v>
      </c>
      <c r="E18" s="153" t="s">
        <v>80</v>
      </c>
      <c r="F18" s="248">
        <v>114</v>
      </c>
      <c r="G18" s="248">
        <v>11</v>
      </c>
      <c r="H18" s="222">
        <f>1424760+644906+381265+231148+102150+55281+27155+11304+8097+4112+6656</f>
        <v>2896834</v>
      </c>
      <c r="I18" s="325">
        <f>161361+74014+43430+27827+13281+9202+4917+1839+1628+687+1137</f>
        <v>339323</v>
      </c>
      <c r="J18" s="310">
        <f>H18/I18</f>
        <v>8.537098870397822</v>
      </c>
      <c r="K18" s="367"/>
      <c r="L18" s="358"/>
      <c r="M18" s="428"/>
      <c r="N18" s="434"/>
    </row>
    <row r="19" spans="1:14" s="67" customFormat="1" ht="15">
      <c r="A19" s="166">
        <v>16</v>
      </c>
      <c r="B19" s="301" t="s">
        <v>136</v>
      </c>
      <c r="C19" s="97">
        <v>39108</v>
      </c>
      <c r="D19" s="153" t="s">
        <v>27</v>
      </c>
      <c r="E19" s="153" t="s">
        <v>137</v>
      </c>
      <c r="F19" s="248" t="s">
        <v>138</v>
      </c>
      <c r="G19" s="248" t="s">
        <v>565</v>
      </c>
      <c r="H19" s="222">
        <v>2824770.5</v>
      </c>
      <c r="I19" s="325">
        <v>379700</v>
      </c>
      <c r="J19" s="310">
        <f>H19/I19</f>
        <v>7.439479852515143</v>
      </c>
      <c r="K19" s="367"/>
      <c r="L19" s="358"/>
      <c r="M19" s="428"/>
      <c r="N19" s="434"/>
    </row>
    <row r="20" spans="1:14" s="67" customFormat="1" ht="15">
      <c r="A20" s="166">
        <v>17</v>
      </c>
      <c r="B20" s="218" t="s">
        <v>280</v>
      </c>
      <c r="C20" s="98">
        <v>39192</v>
      </c>
      <c r="D20" s="106" t="s">
        <v>173</v>
      </c>
      <c r="E20" s="106" t="s">
        <v>281</v>
      </c>
      <c r="F20" s="99">
        <v>173</v>
      </c>
      <c r="G20" s="99">
        <v>16</v>
      </c>
      <c r="H20" s="225">
        <v>2721328</v>
      </c>
      <c r="I20" s="103">
        <v>379818</v>
      </c>
      <c r="J20" s="266">
        <f>+H20/I20</f>
        <v>7.1648210458693375</v>
      </c>
      <c r="K20" s="366"/>
      <c r="L20" s="357"/>
      <c r="M20" s="427"/>
      <c r="N20" s="433"/>
    </row>
    <row r="21" spans="1:14" s="67" customFormat="1" ht="15">
      <c r="A21" s="166">
        <v>18</v>
      </c>
      <c r="B21" s="301" t="s">
        <v>414</v>
      </c>
      <c r="C21" s="97">
        <v>39129</v>
      </c>
      <c r="D21" s="153" t="s">
        <v>172</v>
      </c>
      <c r="E21" s="153" t="s">
        <v>177</v>
      </c>
      <c r="F21" s="248">
        <v>72</v>
      </c>
      <c r="G21" s="248">
        <v>12</v>
      </c>
      <c r="H21" s="222">
        <f>1024988+679541+410193+207911+76405+45780+25921+20590+1599+1014+626+993+3564</f>
        <v>2499125</v>
      </c>
      <c r="I21" s="325">
        <f>121457+81309+49212+25967+12824+9651+5051+4320+382+310+180+1020</f>
        <v>311683</v>
      </c>
      <c r="J21" s="310">
        <f>H21/I21</f>
        <v>8.018162684522416</v>
      </c>
      <c r="K21" s="368"/>
      <c r="L21" s="357"/>
      <c r="M21" s="428"/>
      <c r="N21" s="434"/>
    </row>
    <row r="22" spans="1:14" s="67" customFormat="1" ht="15">
      <c r="A22" s="166">
        <v>19</v>
      </c>
      <c r="B22" s="218" t="s">
        <v>150</v>
      </c>
      <c r="C22" s="98">
        <v>39122</v>
      </c>
      <c r="D22" s="106" t="s">
        <v>173</v>
      </c>
      <c r="E22" s="106" t="s">
        <v>181</v>
      </c>
      <c r="F22" s="99">
        <v>56</v>
      </c>
      <c r="G22" s="99">
        <v>23</v>
      </c>
      <c r="H22" s="225">
        <v>2102355</v>
      </c>
      <c r="I22" s="103">
        <v>232515</v>
      </c>
      <c r="J22" s="266">
        <f>+H22/I22</f>
        <v>9.041803754596478</v>
      </c>
      <c r="K22" s="369"/>
      <c r="L22" s="358"/>
      <c r="M22" s="428"/>
      <c r="N22" s="434"/>
    </row>
    <row r="23" spans="1:14" s="67" customFormat="1" ht="15">
      <c r="A23" s="166">
        <v>20</v>
      </c>
      <c r="B23" s="301" t="s">
        <v>443</v>
      </c>
      <c r="C23" s="97">
        <v>39157</v>
      </c>
      <c r="D23" s="153" t="s">
        <v>27</v>
      </c>
      <c r="E23" s="153" t="s">
        <v>245</v>
      </c>
      <c r="F23" s="248" t="s">
        <v>442</v>
      </c>
      <c r="G23" s="248" t="s">
        <v>554</v>
      </c>
      <c r="H23" s="222">
        <v>2055739</v>
      </c>
      <c r="I23" s="325">
        <v>275034</v>
      </c>
      <c r="J23" s="310">
        <f>H23/I23</f>
        <v>7.474490426638161</v>
      </c>
      <c r="K23" s="367"/>
      <c r="L23" s="358"/>
      <c r="M23" s="428"/>
      <c r="N23" s="434"/>
    </row>
    <row r="24" spans="1:14" s="67" customFormat="1" ht="15">
      <c r="A24" s="166">
        <v>21</v>
      </c>
      <c r="B24" s="217" t="s">
        <v>444</v>
      </c>
      <c r="C24" s="97">
        <v>39143</v>
      </c>
      <c r="D24" s="105" t="s">
        <v>172</v>
      </c>
      <c r="E24" s="104" t="s">
        <v>187</v>
      </c>
      <c r="F24" s="312">
        <v>77</v>
      </c>
      <c r="G24" s="312">
        <v>14</v>
      </c>
      <c r="H24" s="226">
        <f>846616+621006+326134+78640+79015+27237+18411+3052+4329+471+1132+1440+324+287+1782</f>
        <v>2009876</v>
      </c>
      <c r="I24" s="455">
        <f>102037+74423+39219+11834+13028+5347+3640+1471+1553+157+248+240+54+510</f>
        <v>253761</v>
      </c>
      <c r="J24" s="266">
        <f>+H24/I24</f>
        <v>7.920350250826565</v>
      </c>
      <c r="K24" s="368"/>
      <c r="L24" s="358"/>
      <c r="M24" s="428"/>
      <c r="N24" s="434"/>
    </row>
    <row r="25" spans="1:14" s="67" customFormat="1" ht="15">
      <c r="A25" s="166">
        <v>22</v>
      </c>
      <c r="B25" s="302" t="s">
        <v>389</v>
      </c>
      <c r="C25" s="98">
        <v>39262</v>
      </c>
      <c r="D25" s="152" t="s">
        <v>174</v>
      </c>
      <c r="E25" s="152" t="s">
        <v>175</v>
      </c>
      <c r="F25" s="295">
        <v>78</v>
      </c>
      <c r="G25" s="295">
        <v>8</v>
      </c>
      <c r="H25" s="221">
        <f>739051+347868+263605+177344.5+97146+68797+30662+31663.5</f>
        <v>1756137</v>
      </c>
      <c r="I25" s="326">
        <f>88667+41947+31866+21736+14597+11279+5210+7064</f>
        <v>222366</v>
      </c>
      <c r="J25" s="310">
        <f>H25/I25</f>
        <v>7.89750681309193</v>
      </c>
      <c r="K25" s="367"/>
      <c r="L25" s="358"/>
      <c r="M25" s="428"/>
      <c r="N25" s="434"/>
    </row>
    <row r="26" spans="1:14" s="67" customFormat="1" ht="15">
      <c r="A26" s="166">
        <v>23</v>
      </c>
      <c r="B26" s="301" t="s">
        <v>64</v>
      </c>
      <c r="C26" s="97">
        <v>39080</v>
      </c>
      <c r="D26" s="153" t="s">
        <v>172</v>
      </c>
      <c r="E26" s="153" t="s">
        <v>177</v>
      </c>
      <c r="F26" s="248">
        <v>80</v>
      </c>
      <c r="G26" s="248">
        <v>25</v>
      </c>
      <c r="H26" s="226">
        <f>1367+686114+384405+247619+146119+85619+63759-1+18934+11869+10791+11315+6907+8812+6730+2628+1465+749+1063+756+276+1198+612+510+45+1062+592+1782</f>
        <v>1703097</v>
      </c>
      <c r="I26" s="325">
        <f>80773+116+46317+29887+17891+10484+7685+2801+1917+1334+1333+755+1517+932+417+307+136+369+126+23+122+85+45+5+126+49+510</f>
        <v>206062</v>
      </c>
      <c r="J26" s="266">
        <f>+H26/I26</f>
        <v>8.26497364870767</v>
      </c>
      <c r="K26" s="366"/>
      <c r="L26" s="357"/>
      <c r="M26" s="427"/>
      <c r="N26" s="433"/>
    </row>
    <row r="27" spans="1:14" s="67" customFormat="1" ht="15">
      <c r="A27" s="166">
        <v>24</v>
      </c>
      <c r="B27" s="301" t="s">
        <v>220</v>
      </c>
      <c r="C27" s="97">
        <v>39164</v>
      </c>
      <c r="D27" s="153" t="s">
        <v>172</v>
      </c>
      <c r="E27" s="153" t="s">
        <v>80</v>
      </c>
      <c r="F27" s="248">
        <v>67</v>
      </c>
      <c r="G27" s="248">
        <v>18</v>
      </c>
      <c r="H27" s="222">
        <f>7213+744394+558705+271317+50816+12988+9955+3876+1748+6837+3019+2664+1805+1782+405+1466+3048+1197+2014+142</f>
        <v>1685391</v>
      </c>
      <c r="I27" s="325">
        <f>773+77628+58862+29936+6447+2076+1922+726+287+1913+534+636+361+297+81+288+527+268+200+28</f>
        <v>183790</v>
      </c>
      <c r="J27" s="310">
        <f>H27/I27</f>
        <v>9.170199684422439</v>
      </c>
      <c r="K27" s="367"/>
      <c r="L27" s="358"/>
      <c r="M27" s="428"/>
      <c r="N27" s="434"/>
    </row>
    <row r="28" spans="1:14" s="67" customFormat="1" ht="15">
      <c r="A28" s="166">
        <v>25</v>
      </c>
      <c r="B28" s="301" t="s">
        <v>146</v>
      </c>
      <c r="C28" s="97">
        <v>39115</v>
      </c>
      <c r="D28" s="153" t="s">
        <v>27</v>
      </c>
      <c r="E28" s="153" t="s">
        <v>147</v>
      </c>
      <c r="F28" s="248" t="s">
        <v>148</v>
      </c>
      <c r="G28" s="248" t="s">
        <v>371</v>
      </c>
      <c r="H28" s="226">
        <v>1681728</v>
      </c>
      <c r="I28" s="325">
        <v>236648</v>
      </c>
      <c r="J28" s="266">
        <f>+H28/I28</f>
        <v>7.106453466752307</v>
      </c>
      <c r="K28" s="367"/>
      <c r="L28" s="358"/>
      <c r="M28" s="428"/>
      <c r="N28" s="434"/>
    </row>
    <row r="29" spans="1:14" s="67" customFormat="1" ht="15">
      <c r="A29" s="166">
        <v>26</v>
      </c>
      <c r="B29" s="302" t="s">
        <v>410</v>
      </c>
      <c r="C29" s="98">
        <v>39129</v>
      </c>
      <c r="D29" s="152" t="s">
        <v>173</v>
      </c>
      <c r="E29" s="152" t="s">
        <v>561</v>
      </c>
      <c r="F29" s="295">
        <v>77</v>
      </c>
      <c r="G29" s="295">
        <v>27</v>
      </c>
      <c r="H29" s="221">
        <v>1556768</v>
      </c>
      <c r="I29" s="326">
        <v>199689</v>
      </c>
      <c r="J29" s="310">
        <f>H29/I29</f>
        <v>7.795962722032761</v>
      </c>
      <c r="K29" s="368"/>
      <c r="L29" s="358"/>
      <c r="M29" s="428"/>
      <c r="N29" s="434"/>
    </row>
    <row r="30" spans="1:14" s="67" customFormat="1" ht="15">
      <c r="A30" s="166">
        <v>27</v>
      </c>
      <c r="B30" s="217" t="s">
        <v>409</v>
      </c>
      <c r="C30" s="97">
        <v>39129</v>
      </c>
      <c r="D30" s="104" t="s">
        <v>164</v>
      </c>
      <c r="E30" s="104" t="s">
        <v>105</v>
      </c>
      <c r="F30" s="312">
        <v>113</v>
      </c>
      <c r="G30" s="312">
        <v>17</v>
      </c>
      <c r="H30" s="228">
        <f>1551289+0</f>
        <v>1551289</v>
      </c>
      <c r="I30" s="103">
        <f>207361+0</f>
        <v>207361</v>
      </c>
      <c r="J30" s="239">
        <f>IF(H30&lt;&gt;0,H30/I30,"")</f>
        <v>7.481103003939989</v>
      </c>
      <c r="K30" s="370"/>
      <c r="L30" s="357"/>
      <c r="M30" s="428"/>
      <c r="N30" s="433"/>
    </row>
    <row r="31" spans="1:14" s="67" customFormat="1" ht="15">
      <c r="A31" s="166">
        <v>28</v>
      </c>
      <c r="B31" s="301" t="s">
        <v>228</v>
      </c>
      <c r="C31" s="97">
        <v>39164</v>
      </c>
      <c r="D31" s="153" t="s">
        <v>164</v>
      </c>
      <c r="E31" s="153" t="s">
        <v>186</v>
      </c>
      <c r="F31" s="248">
        <v>119</v>
      </c>
      <c r="G31" s="248">
        <v>22</v>
      </c>
      <c r="H31" s="223">
        <f>1463503.5+1774+208+20289+1136+123+3728+1281+565+311+129+80+136</f>
        <v>1493263.5</v>
      </c>
      <c r="I31" s="326">
        <f>193429+337+32+3321+216+18+619+252+110+56+19+12+21</f>
        <v>198442</v>
      </c>
      <c r="J31" s="310">
        <f>H31/I31</f>
        <v>7.524936757339676</v>
      </c>
      <c r="K31" s="372"/>
      <c r="L31" s="361"/>
      <c r="M31" s="429"/>
      <c r="N31" s="435"/>
    </row>
    <row r="32" spans="1:14" s="67" customFormat="1" ht="15">
      <c r="A32" s="166">
        <v>29</v>
      </c>
      <c r="B32" s="220" t="s">
        <v>249</v>
      </c>
      <c r="C32" s="97">
        <v>39178</v>
      </c>
      <c r="D32" s="107" t="s">
        <v>171</v>
      </c>
      <c r="E32" s="107" t="s">
        <v>396</v>
      </c>
      <c r="F32" s="248">
        <v>55</v>
      </c>
      <c r="G32" s="248">
        <v>14</v>
      </c>
      <c r="H32" s="226">
        <v>1359102</v>
      </c>
      <c r="I32" s="455">
        <v>158968</v>
      </c>
      <c r="J32" s="266">
        <f>+H32/I32</f>
        <v>8.549531981279252</v>
      </c>
      <c r="K32" s="367"/>
      <c r="L32" s="358"/>
      <c r="M32" s="428"/>
      <c r="N32" s="434"/>
    </row>
    <row r="33" spans="1:14" s="67" customFormat="1" ht="15">
      <c r="A33" s="166">
        <v>30</v>
      </c>
      <c r="B33" s="309" t="s">
        <v>287</v>
      </c>
      <c r="C33" s="100">
        <v>39199</v>
      </c>
      <c r="D33" s="154" t="s">
        <v>180</v>
      </c>
      <c r="E33" s="154" t="s">
        <v>181</v>
      </c>
      <c r="F33" s="308">
        <v>82</v>
      </c>
      <c r="G33" s="308">
        <v>17</v>
      </c>
      <c r="H33" s="229">
        <v>1340076</v>
      </c>
      <c r="I33" s="326">
        <v>163305</v>
      </c>
      <c r="J33" s="310">
        <f>H33/I33</f>
        <v>8.205970423440801</v>
      </c>
      <c r="K33" s="366"/>
      <c r="L33" s="357"/>
      <c r="M33" s="427"/>
      <c r="N33" s="433"/>
    </row>
    <row r="34" spans="1:14" s="67" customFormat="1" ht="15">
      <c r="A34" s="166">
        <v>31</v>
      </c>
      <c r="B34" s="302" t="s">
        <v>243</v>
      </c>
      <c r="C34" s="98">
        <v>39164</v>
      </c>
      <c r="D34" s="152" t="s">
        <v>174</v>
      </c>
      <c r="E34" s="152" t="s">
        <v>450</v>
      </c>
      <c r="F34" s="295">
        <v>40</v>
      </c>
      <c r="G34" s="295">
        <v>18</v>
      </c>
      <c r="H34" s="225">
        <f>452783.5+369193.5-156.5+194527+1+121223+68185+44103+34172+22942+14917.5+8850+442+640+288+669+1240+375+209+343</f>
        <v>1334947</v>
      </c>
      <c r="I34" s="103">
        <f>49233+40219-14+22195+17046+12080+7513+6232+4202+2944+1792+103+141+59+129+216+75+59+110</f>
        <v>164334</v>
      </c>
      <c r="J34" s="310">
        <f>H34/I34</f>
        <v>8.123376781432935</v>
      </c>
      <c r="K34" s="373"/>
      <c r="L34" s="358"/>
      <c r="M34" s="428"/>
      <c r="N34" s="434"/>
    </row>
    <row r="35" spans="1:14" s="67" customFormat="1" ht="15">
      <c r="A35" s="166">
        <v>32</v>
      </c>
      <c r="B35" s="301" t="s">
        <v>564</v>
      </c>
      <c r="C35" s="97">
        <v>39192</v>
      </c>
      <c r="D35" s="153" t="s">
        <v>172</v>
      </c>
      <c r="E35" s="153" t="s">
        <v>177</v>
      </c>
      <c r="F35" s="248">
        <v>71</v>
      </c>
      <c r="G35" s="248">
        <v>14</v>
      </c>
      <c r="H35" s="222">
        <f>650722+343253+182218+69965+35143+7805+4837+1724+2475+104+228+64+2609+1495+1782</f>
        <v>1304424</v>
      </c>
      <c r="I35" s="325">
        <f>69605+37920+20625+11182+6173+1433+1126+350+432+13+8+439+270+142</f>
        <v>149718</v>
      </c>
      <c r="J35" s="310">
        <f>H35/I35</f>
        <v>8.712539574399871</v>
      </c>
      <c r="K35" s="366"/>
      <c r="L35" s="357"/>
      <c r="M35" s="427"/>
      <c r="N35" s="433"/>
    </row>
    <row r="36" spans="1:14" s="67" customFormat="1" ht="15">
      <c r="A36" s="166">
        <v>33</v>
      </c>
      <c r="B36" s="302" t="s">
        <v>411</v>
      </c>
      <c r="C36" s="98">
        <v>39129</v>
      </c>
      <c r="D36" s="152" t="s">
        <v>540</v>
      </c>
      <c r="E36" s="152" t="s">
        <v>540</v>
      </c>
      <c r="F36" s="295">
        <v>43</v>
      </c>
      <c r="G36" s="295">
        <v>24</v>
      </c>
      <c r="H36" s="225">
        <f>384662.5+356262.5+212054+113636.5+58120+27335.5+24431+10836.5+5+6679.5+256+268+626+1136+6120+2414+331+435+2376+87+320+839+346+1074+5396</f>
        <v>1216047</v>
      </c>
      <c r="I36" s="326">
        <f>44623+40340+24564+15320+9563+4723+4295+2247+1249+49+49+137+101+1023+439+51+87+594+18+64+173+62+179+1349</f>
        <v>151299</v>
      </c>
      <c r="J36" s="239">
        <f>+H36/I36</f>
        <v>8.037376321059623</v>
      </c>
      <c r="K36" s="367"/>
      <c r="L36" s="358"/>
      <c r="M36" s="428"/>
      <c r="N36" s="434"/>
    </row>
    <row r="37" spans="1:14" s="67" customFormat="1" ht="15">
      <c r="A37" s="166">
        <v>34</v>
      </c>
      <c r="B37" s="301" t="s">
        <v>347</v>
      </c>
      <c r="C37" s="97">
        <v>39122</v>
      </c>
      <c r="D37" s="105" t="s">
        <v>172</v>
      </c>
      <c r="E37" s="104" t="s">
        <v>310</v>
      </c>
      <c r="F37" s="312">
        <v>60</v>
      </c>
      <c r="G37" s="312">
        <v>13</v>
      </c>
      <c r="H37" s="226">
        <f>532455+318401+212166+27739+39053+27412+18250+6211+1517+4378+709+213+341+272</f>
        <v>1189117</v>
      </c>
      <c r="I37" s="455">
        <f>62334+37213+25119+5045+7212+5675+4013+1372+298+882+145+45+46</f>
        <v>149399</v>
      </c>
      <c r="J37" s="266">
        <f>+H37/I37</f>
        <v>7.959337077222739</v>
      </c>
      <c r="K37" s="367"/>
      <c r="L37" s="358"/>
      <c r="M37" s="428"/>
      <c r="N37" s="434"/>
    </row>
    <row r="38" spans="1:14" s="67" customFormat="1" ht="15">
      <c r="A38" s="166">
        <v>35</v>
      </c>
      <c r="B38" s="301" t="s">
        <v>490</v>
      </c>
      <c r="C38" s="97">
        <v>39185</v>
      </c>
      <c r="D38" s="153" t="s">
        <v>164</v>
      </c>
      <c r="E38" s="153" t="s">
        <v>265</v>
      </c>
      <c r="F38" s="248">
        <v>111</v>
      </c>
      <c r="G38" s="248">
        <v>18</v>
      </c>
      <c r="H38" s="223">
        <f>1097599+0+410+168+93</f>
        <v>1098270</v>
      </c>
      <c r="I38" s="326">
        <f>147283+102+40+23</f>
        <v>147448</v>
      </c>
      <c r="J38" s="310">
        <f>H38/I38</f>
        <v>7.448524225489664</v>
      </c>
      <c r="K38" s="371"/>
      <c r="L38" s="358"/>
      <c r="M38" s="428"/>
      <c r="N38" s="434"/>
    </row>
    <row r="39" spans="1:14" s="67" customFormat="1" ht="15">
      <c r="A39" s="166">
        <v>36</v>
      </c>
      <c r="B39" s="217" t="s">
        <v>348</v>
      </c>
      <c r="C39" s="97">
        <v>39199</v>
      </c>
      <c r="D39" s="105" t="s">
        <v>172</v>
      </c>
      <c r="E39" s="104" t="s">
        <v>80</v>
      </c>
      <c r="F39" s="312">
        <v>71</v>
      </c>
      <c r="G39" s="312">
        <v>14</v>
      </c>
      <c r="H39" s="226">
        <f>477094+269146+191489+78805+30168+28149+13445+2594+1355+1262+573+246+260+160</f>
        <v>1094746</v>
      </c>
      <c r="I39" s="455">
        <f>58610+34281+24961+13307+6081+5387+2553+553+253+256+102+44+45+27</f>
        <v>146460</v>
      </c>
      <c r="J39" s="266">
        <f>+H39/I39</f>
        <v>7.474709818380445</v>
      </c>
      <c r="K39" s="366"/>
      <c r="L39" s="357"/>
      <c r="M39" s="427"/>
      <c r="N39" s="433"/>
    </row>
    <row r="40" spans="1:14" s="67" customFormat="1" ht="15">
      <c r="A40" s="166">
        <v>37</v>
      </c>
      <c r="B40" s="302" t="s">
        <v>242</v>
      </c>
      <c r="C40" s="98">
        <v>39171</v>
      </c>
      <c r="D40" s="152" t="s">
        <v>173</v>
      </c>
      <c r="E40" s="152" t="s">
        <v>176</v>
      </c>
      <c r="F40" s="295">
        <v>88</v>
      </c>
      <c r="G40" s="295">
        <v>20</v>
      </c>
      <c r="H40" s="225">
        <v>1094353</v>
      </c>
      <c r="I40" s="326">
        <v>143059</v>
      </c>
      <c r="J40" s="239">
        <f>+H40/I40</f>
        <v>7.649662027555065</v>
      </c>
      <c r="K40" s="368"/>
      <c r="L40" s="358"/>
      <c r="M40" s="428"/>
      <c r="N40" s="434"/>
    </row>
    <row r="41" spans="1:14" s="67" customFormat="1" ht="15">
      <c r="A41" s="166">
        <v>38</v>
      </c>
      <c r="B41" s="120" t="s">
        <v>254</v>
      </c>
      <c r="C41" s="97">
        <v>39150</v>
      </c>
      <c r="D41" s="107" t="s">
        <v>171</v>
      </c>
      <c r="E41" s="107" t="s">
        <v>179</v>
      </c>
      <c r="F41" s="313" t="s">
        <v>346</v>
      </c>
      <c r="G41" s="313" t="s">
        <v>230</v>
      </c>
      <c r="H41" s="226">
        <v>1069644</v>
      </c>
      <c r="I41" s="455">
        <v>117582</v>
      </c>
      <c r="J41" s="239">
        <f>+H41/I41</f>
        <v>9.097004643567892</v>
      </c>
      <c r="K41" s="367"/>
      <c r="L41" s="358"/>
      <c r="M41" s="428"/>
      <c r="N41" s="434"/>
    </row>
    <row r="42" spans="1:14" s="67" customFormat="1" ht="15">
      <c r="A42" s="166">
        <v>39</v>
      </c>
      <c r="B42" s="302" t="s">
        <v>474</v>
      </c>
      <c r="C42" s="98">
        <v>39290</v>
      </c>
      <c r="D42" s="152" t="s">
        <v>174</v>
      </c>
      <c r="E42" s="152" t="s">
        <v>175</v>
      </c>
      <c r="F42" s="295">
        <v>80</v>
      </c>
      <c r="G42" s="295">
        <v>4</v>
      </c>
      <c r="H42" s="221">
        <f>506041+306658.5+167559.5+88992</f>
        <v>1069251</v>
      </c>
      <c r="I42" s="326">
        <f>62247+38008+20766+12756</f>
        <v>133777</v>
      </c>
      <c r="J42" s="310">
        <f>H42/I42</f>
        <v>7.992786502911562</v>
      </c>
      <c r="K42" s="368"/>
      <c r="L42" s="358"/>
      <c r="M42" s="428"/>
      <c r="N42" s="434"/>
    </row>
    <row r="43" spans="1:14" s="67" customFormat="1" ht="15">
      <c r="A43" s="166">
        <v>40</v>
      </c>
      <c r="B43" s="218" t="s">
        <v>97</v>
      </c>
      <c r="C43" s="98">
        <v>39101</v>
      </c>
      <c r="D43" s="106" t="s">
        <v>173</v>
      </c>
      <c r="E43" s="106" t="s">
        <v>98</v>
      </c>
      <c r="F43" s="99">
        <v>151</v>
      </c>
      <c r="G43" s="99">
        <v>19</v>
      </c>
      <c r="H43" s="225">
        <v>1037963</v>
      </c>
      <c r="I43" s="103">
        <v>149548</v>
      </c>
      <c r="J43" s="266">
        <f>+H43/I43</f>
        <v>6.940667879209351</v>
      </c>
      <c r="K43" s="366"/>
      <c r="L43" s="357"/>
      <c r="M43" s="427"/>
      <c r="N43" s="433"/>
    </row>
    <row r="44" spans="1:14" s="67" customFormat="1" ht="15">
      <c r="A44" s="166">
        <v>41</v>
      </c>
      <c r="B44" s="220" t="s">
        <v>434</v>
      </c>
      <c r="C44" s="97">
        <v>39143</v>
      </c>
      <c r="D44" s="107" t="s">
        <v>27</v>
      </c>
      <c r="E44" s="107" t="s">
        <v>435</v>
      </c>
      <c r="F44" s="313" t="s">
        <v>436</v>
      </c>
      <c r="G44" s="313" t="s">
        <v>379</v>
      </c>
      <c r="H44" s="226">
        <v>993083</v>
      </c>
      <c r="I44" s="455">
        <v>162028</v>
      </c>
      <c r="J44" s="266">
        <f>+H44/I44</f>
        <v>6.129082627693979</v>
      </c>
      <c r="K44" s="370"/>
      <c r="L44" s="357"/>
      <c r="M44" s="427"/>
      <c r="N44" s="433"/>
    </row>
    <row r="45" spans="1:14" s="67" customFormat="1" ht="15">
      <c r="A45" s="166">
        <v>42</v>
      </c>
      <c r="B45" s="301" t="s">
        <v>255</v>
      </c>
      <c r="C45" s="97">
        <v>39143</v>
      </c>
      <c r="D45" s="153" t="s">
        <v>189</v>
      </c>
      <c r="E45" s="153" t="s">
        <v>301</v>
      </c>
      <c r="F45" s="248" t="s">
        <v>439</v>
      </c>
      <c r="G45" s="248" t="s">
        <v>371</v>
      </c>
      <c r="H45" s="226">
        <v>957037.5</v>
      </c>
      <c r="I45" s="455">
        <v>130482</v>
      </c>
      <c r="J45" s="266">
        <f>+H45/I45</f>
        <v>7.334632363084563</v>
      </c>
      <c r="K45" s="368"/>
      <c r="L45" s="358"/>
      <c r="M45" s="428"/>
      <c r="N45" s="434"/>
    </row>
    <row r="46" spans="1:14" s="67" customFormat="1" ht="15">
      <c r="A46" s="166">
        <v>43</v>
      </c>
      <c r="B46" s="301" t="s">
        <v>349</v>
      </c>
      <c r="C46" s="97">
        <v>39143</v>
      </c>
      <c r="D46" s="153" t="s">
        <v>172</v>
      </c>
      <c r="E46" s="153" t="s">
        <v>177</v>
      </c>
      <c r="F46" s="248">
        <v>54</v>
      </c>
      <c r="G46" s="248">
        <v>15</v>
      </c>
      <c r="H46" s="226">
        <f>1045+424606+314397+136527+14322+9753+11781+12715+3934+5401+154+340+234+908+155+253+251</f>
        <v>936776</v>
      </c>
      <c r="I46" s="325">
        <f>101+45441+34072+15020+1890+1720+2914+2615+1258+764+31+68+177+31+43+44</f>
        <v>106189</v>
      </c>
      <c r="J46" s="266">
        <f>+H46/I46</f>
        <v>8.821780033713473</v>
      </c>
      <c r="K46" s="366"/>
      <c r="L46" s="357"/>
      <c r="M46" s="427"/>
      <c r="N46" s="433"/>
    </row>
    <row r="47" spans="1:14" s="67" customFormat="1" ht="15">
      <c r="A47" s="166">
        <v>44</v>
      </c>
      <c r="B47" s="218" t="s">
        <v>508</v>
      </c>
      <c r="C47" s="98">
        <v>39129</v>
      </c>
      <c r="D47" s="106" t="s">
        <v>173</v>
      </c>
      <c r="E47" s="106" t="s">
        <v>176</v>
      </c>
      <c r="F47" s="99">
        <v>39</v>
      </c>
      <c r="G47" s="99">
        <v>10</v>
      </c>
      <c r="H47" s="225">
        <v>906296</v>
      </c>
      <c r="I47" s="103">
        <v>96373</v>
      </c>
      <c r="J47" s="266">
        <f>+H47/I47</f>
        <v>9.404044701316758</v>
      </c>
      <c r="K47" s="374"/>
      <c r="L47" s="357"/>
      <c r="M47" s="427"/>
      <c r="N47" s="433"/>
    </row>
    <row r="48" spans="1:14" s="67" customFormat="1" ht="15">
      <c r="A48" s="166">
        <v>45</v>
      </c>
      <c r="B48" s="301" t="s">
        <v>351</v>
      </c>
      <c r="C48" s="98">
        <v>39178</v>
      </c>
      <c r="D48" s="153" t="s">
        <v>5</v>
      </c>
      <c r="E48" s="153" t="s">
        <v>9</v>
      </c>
      <c r="F48" s="248">
        <v>43</v>
      </c>
      <c r="G48" s="248">
        <v>19</v>
      </c>
      <c r="H48" s="222">
        <v>832501.1</v>
      </c>
      <c r="I48" s="325">
        <v>109510</v>
      </c>
      <c r="J48" s="310">
        <f>H48/I48</f>
        <v>7.602055520043831</v>
      </c>
      <c r="K48" s="366"/>
      <c r="L48" s="357"/>
      <c r="M48" s="427"/>
      <c r="N48" s="433"/>
    </row>
    <row r="49" spans="1:14" s="67" customFormat="1" ht="15">
      <c r="A49" s="166">
        <v>46</v>
      </c>
      <c r="B49" s="302" t="s">
        <v>292</v>
      </c>
      <c r="C49" s="98">
        <v>39080</v>
      </c>
      <c r="D49" s="152" t="s">
        <v>174</v>
      </c>
      <c r="E49" s="152" t="s">
        <v>175</v>
      </c>
      <c r="F49" s="295">
        <v>51</v>
      </c>
      <c r="G49" s="295">
        <v>21</v>
      </c>
      <c r="H49" s="225">
        <f>768444+275+609.5+79+702+40+1007</f>
        <v>771156.5</v>
      </c>
      <c r="I49" s="326">
        <f>94725+76+129+8+196+10+252</f>
        <v>95396</v>
      </c>
      <c r="J49" s="310">
        <f>H49/I49</f>
        <v>8.083740408402868</v>
      </c>
      <c r="K49" s="368"/>
      <c r="L49" s="358"/>
      <c r="M49" s="428"/>
      <c r="N49" s="434"/>
    </row>
    <row r="50" spans="1:14" s="67" customFormat="1" ht="15">
      <c r="A50" s="166">
        <v>47</v>
      </c>
      <c r="B50" s="302" t="s">
        <v>350</v>
      </c>
      <c r="C50" s="98">
        <v>39192</v>
      </c>
      <c r="D50" s="152" t="s">
        <v>182</v>
      </c>
      <c r="E50" s="152" t="s">
        <v>182</v>
      </c>
      <c r="F50" s="295">
        <v>79</v>
      </c>
      <c r="G50" s="295">
        <v>14</v>
      </c>
      <c r="H50" s="221">
        <f>407730+156171.5+87089+48964+29084+13173.5+8330+7579.5+805.5+1100+1464+3021+264</f>
        <v>764776</v>
      </c>
      <c r="I50" s="326">
        <f>48903+19527+11239+7709+5693+3389+1770+1751+250+248+325+755+88</f>
        <v>101647</v>
      </c>
      <c r="J50" s="310">
        <f>H50/I50</f>
        <v>7.523842317038378</v>
      </c>
      <c r="K50" s="368"/>
      <c r="L50" s="358"/>
      <c r="M50" s="428"/>
      <c r="N50" s="434"/>
    </row>
    <row r="51" spans="1:14" s="67" customFormat="1" ht="15">
      <c r="A51" s="166">
        <v>48</v>
      </c>
      <c r="B51" s="220" t="s">
        <v>229</v>
      </c>
      <c r="C51" s="97">
        <v>39094</v>
      </c>
      <c r="D51" s="107" t="s">
        <v>189</v>
      </c>
      <c r="E51" s="107" t="s">
        <v>301</v>
      </c>
      <c r="F51" s="313" t="s">
        <v>329</v>
      </c>
      <c r="G51" s="313" t="s">
        <v>379</v>
      </c>
      <c r="H51" s="226">
        <v>764699</v>
      </c>
      <c r="I51" s="455">
        <v>81868</v>
      </c>
      <c r="J51" s="266">
        <f>+H51/I51</f>
        <v>9.340633703034152</v>
      </c>
      <c r="K51" s="368"/>
      <c r="L51" s="358"/>
      <c r="M51" s="428"/>
      <c r="N51" s="434"/>
    </row>
    <row r="52" spans="1:14" s="67" customFormat="1" ht="15">
      <c r="A52" s="166">
        <v>49</v>
      </c>
      <c r="B52" s="302" t="s">
        <v>453</v>
      </c>
      <c r="C52" s="98">
        <v>39276</v>
      </c>
      <c r="D52" s="152" t="s">
        <v>174</v>
      </c>
      <c r="E52" s="152" t="s">
        <v>175</v>
      </c>
      <c r="F52" s="295">
        <v>40</v>
      </c>
      <c r="G52" s="295">
        <v>6</v>
      </c>
      <c r="H52" s="221">
        <f>242653.5+193762+151495+83180.5+49854.5+30897</f>
        <v>751842.5</v>
      </c>
      <c r="I52" s="326">
        <f>27897+22449+16491+10278+7875+5346</f>
        <v>90336</v>
      </c>
      <c r="J52" s="310">
        <f>H52/I52</f>
        <v>8.322734015232022</v>
      </c>
      <c r="K52" s="375"/>
      <c r="L52" s="357"/>
      <c r="M52" s="427"/>
      <c r="N52" s="433"/>
    </row>
    <row r="53" spans="1:14" s="67" customFormat="1" ht="15">
      <c r="A53" s="166">
        <v>50</v>
      </c>
      <c r="B53" s="218" t="s">
        <v>266</v>
      </c>
      <c r="C53" s="98">
        <v>39185</v>
      </c>
      <c r="D53" s="106" t="s">
        <v>173</v>
      </c>
      <c r="E53" s="106" t="s">
        <v>181</v>
      </c>
      <c r="F53" s="99">
        <v>55</v>
      </c>
      <c r="G53" s="99">
        <v>16</v>
      </c>
      <c r="H53" s="225">
        <v>712192</v>
      </c>
      <c r="I53" s="103">
        <v>85558</v>
      </c>
      <c r="J53" s="310">
        <f>H53/I53</f>
        <v>8.324084246943594</v>
      </c>
      <c r="K53" s="368"/>
      <c r="L53" s="358"/>
      <c r="M53" s="428"/>
      <c r="N53" s="434"/>
    </row>
    <row r="54" spans="1:14" s="67" customFormat="1" ht="15">
      <c r="A54" s="166">
        <v>51</v>
      </c>
      <c r="B54" s="301" t="s">
        <v>510</v>
      </c>
      <c r="C54" s="97">
        <v>39220</v>
      </c>
      <c r="D54" s="153" t="s">
        <v>189</v>
      </c>
      <c r="E54" s="153" t="s">
        <v>301</v>
      </c>
      <c r="F54" s="248" t="s">
        <v>511</v>
      </c>
      <c r="G54" s="248" t="s">
        <v>379</v>
      </c>
      <c r="H54" s="226">
        <v>701820</v>
      </c>
      <c r="I54" s="325">
        <v>83511</v>
      </c>
      <c r="J54" s="266">
        <f>+H54/I54</f>
        <v>8.403922836512555</v>
      </c>
      <c r="K54" s="366"/>
      <c r="L54" s="357"/>
      <c r="M54" s="427"/>
      <c r="N54" s="433"/>
    </row>
    <row r="55" spans="1:14" s="67" customFormat="1" ht="15">
      <c r="A55" s="166">
        <v>52</v>
      </c>
      <c r="B55" s="301" t="s">
        <v>532</v>
      </c>
      <c r="C55" s="97">
        <v>39234</v>
      </c>
      <c r="D55" s="153" t="s">
        <v>171</v>
      </c>
      <c r="E55" s="153" t="s">
        <v>533</v>
      </c>
      <c r="F55" s="248">
        <v>77</v>
      </c>
      <c r="G55" s="248">
        <v>9</v>
      </c>
      <c r="H55" s="226">
        <v>675478</v>
      </c>
      <c r="I55" s="325">
        <v>76513</v>
      </c>
      <c r="J55" s="239">
        <f>+H55/I55</f>
        <v>8.82827754760629</v>
      </c>
      <c r="K55" s="366"/>
      <c r="L55" s="357"/>
      <c r="M55" s="427"/>
      <c r="N55" s="433"/>
    </row>
    <row r="56" spans="1:14" s="67" customFormat="1" ht="15">
      <c r="A56" s="166">
        <v>53</v>
      </c>
      <c r="B56" s="218" t="s">
        <v>445</v>
      </c>
      <c r="C56" s="98">
        <v>39150</v>
      </c>
      <c r="D56" s="106" t="s">
        <v>173</v>
      </c>
      <c r="E56" s="106" t="s">
        <v>187</v>
      </c>
      <c r="F56" s="99">
        <v>54</v>
      </c>
      <c r="G56" s="99">
        <v>20</v>
      </c>
      <c r="H56" s="225">
        <v>624311</v>
      </c>
      <c r="I56" s="103">
        <v>74378</v>
      </c>
      <c r="J56" s="266">
        <f>+H56/I56</f>
        <v>8.393758907203743</v>
      </c>
      <c r="K56" s="375"/>
      <c r="L56" s="357"/>
      <c r="M56" s="427"/>
      <c r="N56" s="433"/>
    </row>
    <row r="57" spans="1:14" s="67" customFormat="1" ht="15">
      <c r="A57" s="166">
        <v>54</v>
      </c>
      <c r="B57" s="220" t="s">
        <v>437</v>
      </c>
      <c r="C57" s="97">
        <v>39143</v>
      </c>
      <c r="D57" s="107" t="s">
        <v>27</v>
      </c>
      <c r="E57" s="107" t="s">
        <v>283</v>
      </c>
      <c r="F57" s="313" t="s">
        <v>438</v>
      </c>
      <c r="G57" s="313" t="s">
        <v>404</v>
      </c>
      <c r="H57" s="226">
        <v>592612.5</v>
      </c>
      <c r="I57" s="455">
        <v>81475</v>
      </c>
      <c r="J57" s="266">
        <f>+H57/I57</f>
        <v>7.273550168763425</v>
      </c>
      <c r="K57" s="366"/>
      <c r="L57" s="357"/>
      <c r="M57" s="427"/>
      <c r="N57" s="433"/>
    </row>
    <row r="58" spans="1:14" s="67" customFormat="1" ht="15">
      <c r="A58" s="166">
        <v>55</v>
      </c>
      <c r="B58" s="301" t="s">
        <v>28</v>
      </c>
      <c r="C58" s="97">
        <v>39297</v>
      </c>
      <c r="D58" s="153" t="s">
        <v>172</v>
      </c>
      <c r="E58" s="153" t="s">
        <v>177</v>
      </c>
      <c r="F58" s="248">
        <v>51</v>
      </c>
      <c r="G58" s="248">
        <v>3</v>
      </c>
      <c r="H58" s="222">
        <f>281080+182131+123214</f>
        <v>586425</v>
      </c>
      <c r="I58" s="325">
        <f>31883+21094+14754</f>
        <v>67731</v>
      </c>
      <c r="J58" s="310">
        <f aca="true" t="shared" si="0" ref="J58:J63">H58/I58</f>
        <v>8.658147672409974</v>
      </c>
      <c r="K58" s="366"/>
      <c r="L58" s="357"/>
      <c r="M58" s="427"/>
      <c r="N58" s="433"/>
    </row>
    <row r="59" spans="1:14" s="67" customFormat="1" ht="15">
      <c r="A59" s="166">
        <v>56</v>
      </c>
      <c r="B59" s="301" t="s">
        <v>373</v>
      </c>
      <c r="C59" s="97">
        <v>39255</v>
      </c>
      <c r="D59" s="153" t="s">
        <v>172</v>
      </c>
      <c r="E59" s="153" t="s">
        <v>177</v>
      </c>
      <c r="F59" s="248">
        <v>55</v>
      </c>
      <c r="G59" s="248">
        <v>9</v>
      </c>
      <c r="H59" s="222">
        <f>260034+143561+70552+30948+36753+23464+6132+1505+2257</f>
        <v>575206</v>
      </c>
      <c r="I59" s="325">
        <f>29412+16993+8626+5233+6470+4052+961+328+390</f>
        <v>72465</v>
      </c>
      <c r="J59" s="310">
        <f t="shared" si="0"/>
        <v>7.937707858966397</v>
      </c>
      <c r="K59" s="366"/>
      <c r="L59" s="357"/>
      <c r="M59" s="427"/>
      <c r="N59" s="433"/>
    </row>
    <row r="60" spans="1:14" s="67" customFormat="1" ht="15">
      <c r="A60" s="166">
        <v>57</v>
      </c>
      <c r="B60" s="301" t="s">
        <v>413</v>
      </c>
      <c r="C60" s="98">
        <v>39136</v>
      </c>
      <c r="D60" s="153" t="s">
        <v>5</v>
      </c>
      <c r="E60" s="153" t="s">
        <v>185</v>
      </c>
      <c r="F60" s="248">
        <v>24</v>
      </c>
      <c r="G60" s="248">
        <v>17</v>
      </c>
      <c r="H60" s="222">
        <v>567169.5</v>
      </c>
      <c r="I60" s="325">
        <v>58925</v>
      </c>
      <c r="J60" s="310">
        <f t="shared" si="0"/>
        <v>9.625277895630038</v>
      </c>
      <c r="K60" s="367"/>
      <c r="L60" s="358"/>
      <c r="M60" s="428"/>
      <c r="N60" s="434"/>
    </row>
    <row r="61" spans="1:14" s="67" customFormat="1" ht="15">
      <c r="A61" s="166">
        <v>58</v>
      </c>
      <c r="B61" s="301" t="s">
        <v>513</v>
      </c>
      <c r="C61" s="98">
        <v>39220</v>
      </c>
      <c r="D61" s="153" t="s">
        <v>5</v>
      </c>
      <c r="E61" s="153" t="s">
        <v>185</v>
      </c>
      <c r="F61" s="248">
        <v>88</v>
      </c>
      <c r="G61" s="248">
        <v>14</v>
      </c>
      <c r="H61" s="222">
        <v>566580.5</v>
      </c>
      <c r="I61" s="325">
        <v>81853</v>
      </c>
      <c r="J61" s="310">
        <f t="shared" si="0"/>
        <v>6.921927113239588</v>
      </c>
      <c r="K61" s="374"/>
      <c r="L61" s="357"/>
      <c r="M61" s="427"/>
      <c r="N61" s="433"/>
    </row>
    <row r="62" spans="1:14" s="67" customFormat="1" ht="15">
      <c r="A62" s="166">
        <v>59</v>
      </c>
      <c r="B62" s="302" t="s">
        <v>512</v>
      </c>
      <c r="C62" s="98">
        <v>39220</v>
      </c>
      <c r="D62" s="152" t="s">
        <v>173</v>
      </c>
      <c r="E62" s="152" t="s">
        <v>179</v>
      </c>
      <c r="F62" s="295">
        <v>55</v>
      </c>
      <c r="G62" s="295">
        <v>14</v>
      </c>
      <c r="H62" s="221">
        <v>565685</v>
      </c>
      <c r="I62" s="326">
        <v>68133</v>
      </c>
      <c r="J62" s="310">
        <f t="shared" si="0"/>
        <v>8.302658036487458</v>
      </c>
      <c r="K62" s="369"/>
      <c r="L62" s="358"/>
      <c r="M62" s="428"/>
      <c r="N62" s="434"/>
    </row>
    <row r="63" spans="1:14" s="67" customFormat="1" ht="15">
      <c r="A63" s="166">
        <v>60</v>
      </c>
      <c r="B63" s="220" t="s">
        <v>267</v>
      </c>
      <c r="C63" s="97">
        <v>39185</v>
      </c>
      <c r="D63" s="107" t="s">
        <v>27</v>
      </c>
      <c r="E63" s="107" t="s">
        <v>268</v>
      </c>
      <c r="F63" s="313" t="s">
        <v>269</v>
      </c>
      <c r="G63" s="313" t="s">
        <v>377</v>
      </c>
      <c r="H63" s="226">
        <v>557987.5</v>
      </c>
      <c r="I63" s="455">
        <v>75390</v>
      </c>
      <c r="J63" s="300">
        <f t="shared" si="0"/>
        <v>7.401346332404828</v>
      </c>
      <c r="K63" s="376"/>
      <c r="L63" s="357"/>
      <c r="M63" s="427"/>
      <c r="N63" s="433"/>
    </row>
    <row r="64" spans="1:14" s="67" customFormat="1" ht="15">
      <c r="A64" s="166">
        <v>61</v>
      </c>
      <c r="B64" s="218" t="s">
        <v>352</v>
      </c>
      <c r="C64" s="98">
        <v>39157</v>
      </c>
      <c r="D64" s="106" t="s">
        <v>173</v>
      </c>
      <c r="E64" s="106" t="s">
        <v>187</v>
      </c>
      <c r="F64" s="99">
        <v>69</v>
      </c>
      <c r="G64" s="99">
        <v>19</v>
      </c>
      <c r="H64" s="225">
        <v>548704</v>
      </c>
      <c r="I64" s="103">
        <v>68254</v>
      </c>
      <c r="J64" s="266">
        <f>+H64/I64</f>
        <v>8.039147888768424</v>
      </c>
      <c r="K64" s="367"/>
      <c r="L64" s="358"/>
      <c r="M64" s="428"/>
      <c r="N64" s="434"/>
    </row>
    <row r="65" spans="1:14" s="67" customFormat="1" ht="15">
      <c r="A65" s="166">
        <v>62</v>
      </c>
      <c r="B65" s="302" t="s">
        <v>29</v>
      </c>
      <c r="C65" s="98">
        <v>39297</v>
      </c>
      <c r="D65" s="152" t="s">
        <v>173</v>
      </c>
      <c r="E65" s="152" t="s">
        <v>181</v>
      </c>
      <c r="F65" s="295">
        <v>62</v>
      </c>
      <c r="G65" s="295">
        <v>3</v>
      </c>
      <c r="H65" s="221">
        <v>546546</v>
      </c>
      <c r="I65" s="326">
        <v>62245</v>
      </c>
      <c r="J65" s="310">
        <f>H65/I65</f>
        <v>8.78056068760543</v>
      </c>
      <c r="K65" s="367"/>
      <c r="L65" s="358"/>
      <c r="M65" s="428"/>
      <c r="N65" s="434"/>
    </row>
    <row r="66" spans="1:14" s="67" customFormat="1" ht="15">
      <c r="A66" s="166">
        <v>63</v>
      </c>
      <c r="B66" s="301" t="s">
        <v>368</v>
      </c>
      <c r="C66" s="97">
        <v>39248</v>
      </c>
      <c r="D66" s="153" t="s">
        <v>172</v>
      </c>
      <c r="E66" s="153" t="s">
        <v>310</v>
      </c>
      <c r="F66" s="248">
        <v>40</v>
      </c>
      <c r="G66" s="248">
        <v>10</v>
      </c>
      <c r="H66" s="222">
        <f>212978+130834+73437+13970+25870+15895+17337+3720+965+3332</f>
        <v>498338</v>
      </c>
      <c r="I66" s="325">
        <f>23206+14008+7879+2315+4428+2673+2724+635+130+408</f>
        <v>58406</v>
      </c>
      <c r="J66" s="310">
        <f>H66/I66</f>
        <v>8.53230832448721</v>
      </c>
      <c r="K66" s="371"/>
      <c r="L66" s="358"/>
      <c r="M66" s="428"/>
      <c r="N66" s="434"/>
    </row>
    <row r="67" spans="1:14" s="67" customFormat="1" ht="15">
      <c r="A67" s="166">
        <v>64</v>
      </c>
      <c r="B67" s="302" t="s">
        <v>480</v>
      </c>
      <c r="C67" s="98">
        <v>39220</v>
      </c>
      <c r="D67" s="152" t="s">
        <v>174</v>
      </c>
      <c r="E67" s="152" t="s">
        <v>175</v>
      </c>
      <c r="F67" s="295">
        <v>40</v>
      </c>
      <c r="G67" s="295">
        <v>14</v>
      </c>
      <c r="H67" s="221">
        <f>217267.5+100292+49077.5+44685+35150+18710.5+12899+5642+272+1169+980+531+744+567+230</f>
        <v>488216.5</v>
      </c>
      <c r="I67" s="326">
        <f>28138+13039+7060+8163+6959+3799+2408+1118+91+214+194+106+141+122+51</f>
        <v>71603</v>
      </c>
      <c r="J67" s="310">
        <f>H67/I67</f>
        <v>6.8183805147829</v>
      </c>
      <c r="K67" s="372"/>
      <c r="L67" s="361"/>
      <c r="M67" s="429"/>
      <c r="N67" s="435"/>
    </row>
    <row r="68" spans="1:14" s="67" customFormat="1" ht="15">
      <c r="A68" s="166">
        <v>65</v>
      </c>
      <c r="B68" s="302" t="s">
        <v>153</v>
      </c>
      <c r="C68" s="98">
        <v>39122</v>
      </c>
      <c r="D68" s="152" t="s">
        <v>174</v>
      </c>
      <c r="E68" s="152" t="s">
        <v>154</v>
      </c>
      <c r="F68" s="295">
        <v>62</v>
      </c>
      <c r="G68" s="295">
        <v>12</v>
      </c>
      <c r="H68" s="225">
        <f>248079.5+111544+46796.5+33721+12773.5+2847+2803.5+837+152+16+141+14</f>
        <v>459725</v>
      </c>
      <c r="I68" s="326">
        <f>36414+17429+7900+6638+2650+617+552+177+17+2+39+2</f>
        <v>72437</v>
      </c>
      <c r="J68" s="239">
        <f>+H68/I68</f>
        <v>6.346549415354032</v>
      </c>
      <c r="K68" s="367"/>
      <c r="L68" s="358"/>
      <c r="M68" s="428"/>
      <c r="N68" s="434"/>
    </row>
    <row r="69" spans="1:14" s="67" customFormat="1" ht="15">
      <c r="A69" s="166">
        <v>66</v>
      </c>
      <c r="B69" s="301" t="s">
        <v>454</v>
      </c>
      <c r="C69" s="97">
        <v>39276</v>
      </c>
      <c r="D69" s="153" t="s">
        <v>189</v>
      </c>
      <c r="E69" s="153" t="s">
        <v>301</v>
      </c>
      <c r="F69" s="248" t="s">
        <v>511</v>
      </c>
      <c r="G69" s="248" t="s">
        <v>501</v>
      </c>
      <c r="H69" s="222">
        <v>459133</v>
      </c>
      <c r="I69" s="325">
        <v>56454</v>
      </c>
      <c r="J69" s="310">
        <f>H69/I69</f>
        <v>8.132869238672193</v>
      </c>
      <c r="K69" s="366"/>
      <c r="L69" s="357"/>
      <c r="M69" s="427"/>
      <c r="N69" s="433"/>
    </row>
    <row r="70" spans="1:14" s="67" customFormat="1" ht="15">
      <c r="A70" s="166">
        <v>67</v>
      </c>
      <c r="B70" s="218" t="s">
        <v>503</v>
      </c>
      <c r="C70" s="98">
        <v>39213</v>
      </c>
      <c r="D70" s="106" t="s">
        <v>173</v>
      </c>
      <c r="E70" s="106" t="s">
        <v>181</v>
      </c>
      <c r="F70" s="99">
        <v>55</v>
      </c>
      <c r="G70" s="99">
        <v>13</v>
      </c>
      <c r="H70" s="225">
        <v>457684</v>
      </c>
      <c r="I70" s="103">
        <v>54367</v>
      </c>
      <c r="J70" s="266">
        <f>+H70/I70</f>
        <v>8.418415582982323</v>
      </c>
      <c r="K70" s="368"/>
      <c r="L70" s="358"/>
      <c r="M70" s="428"/>
      <c r="N70" s="434"/>
    </row>
    <row r="71" spans="1:14" s="67" customFormat="1" ht="15">
      <c r="A71" s="166">
        <v>68</v>
      </c>
      <c r="B71" s="301" t="s">
        <v>251</v>
      </c>
      <c r="C71" s="97">
        <v>39178</v>
      </c>
      <c r="D71" s="153" t="s">
        <v>172</v>
      </c>
      <c r="E71" s="153" t="s">
        <v>252</v>
      </c>
      <c r="F71" s="248">
        <v>34</v>
      </c>
      <c r="G71" s="248">
        <v>15</v>
      </c>
      <c r="H71" s="222">
        <f>223196+134862+40207+12529+4197+8039+12995+1857+190+734+546+105+305+290+1576</f>
        <v>441628</v>
      </c>
      <c r="I71" s="325">
        <f>21768+13324+4159+1744+536+1050+1869+290+19+151+118+21+57+45+375</f>
        <v>45526</v>
      </c>
      <c r="J71" s="310">
        <f>H71/I71</f>
        <v>9.700566709133243</v>
      </c>
      <c r="K71" s="366"/>
      <c r="L71" s="357"/>
      <c r="M71" s="427"/>
      <c r="N71" s="433"/>
    </row>
    <row r="72" spans="1:14" s="67" customFormat="1" ht="15">
      <c r="A72" s="166">
        <v>69</v>
      </c>
      <c r="B72" s="301" t="s">
        <v>331</v>
      </c>
      <c r="C72" s="97">
        <v>39094</v>
      </c>
      <c r="D72" s="153" t="s">
        <v>5</v>
      </c>
      <c r="E72" s="153" t="s">
        <v>185</v>
      </c>
      <c r="F72" s="248" t="s">
        <v>271</v>
      </c>
      <c r="G72" s="248" t="s">
        <v>543</v>
      </c>
      <c r="H72" s="226">
        <v>438628.5</v>
      </c>
      <c r="I72" s="325">
        <v>66728</v>
      </c>
      <c r="J72" s="266">
        <f>+H72/I72</f>
        <v>6.5733799904088235</v>
      </c>
      <c r="K72" s="374"/>
      <c r="L72" s="359"/>
      <c r="M72" s="427"/>
      <c r="N72" s="433"/>
    </row>
    <row r="73" spans="1:14" s="67" customFormat="1" ht="15">
      <c r="A73" s="166">
        <v>70</v>
      </c>
      <c r="B73" s="301" t="s">
        <v>514</v>
      </c>
      <c r="C73" s="97">
        <v>39220</v>
      </c>
      <c r="D73" s="153" t="s">
        <v>172</v>
      </c>
      <c r="E73" s="153" t="s">
        <v>80</v>
      </c>
      <c r="F73" s="248">
        <v>28</v>
      </c>
      <c r="G73" s="248">
        <v>13</v>
      </c>
      <c r="H73" s="226">
        <f>224258+97645+43916+21186+15004+5922+10170+4031+2014+5747+1976+1917+487</f>
        <v>434273</v>
      </c>
      <c r="I73" s="325">
        <f>21977+9749+4484+3258+2503+1123+1870+694+469+1035+310+256+98</f>
        <v>47826</v>
      </c>
      <c r="J73" s="266">
        <f>+H73/I73</f>
        <v>9.08027014594572</v>
      </c>
      <c r="K73" s="366"/>
      <c r="L73" s="357"/>
      <c r="M73" s="427"/>
      <c r="N73" s="433"/>
    </row>
    <row r="74" spans="1:14" s="67" customFormat="1" ht="15">
      <c r="A74" s="166">
        <v>71</v>
      </c>
      <c r="B74" s="217" t="s">
        <v>353</v>
      </c>
      <c r="C74" s="97">
        <v>39171</v>
      </c>
      <c r="D74" s="105" t="s">
        <v>172</v>
      </c>
      <c r="E74" s="104" t="s">
        <v>244</v>
      </c>
      <c r="F74" s="312">
        <v>68</v>
      </c>
      <c r="G74" s="312">
        <v>14</v>
      </c>
      <c r="H74" s="226">
        <f>270988+95442+28855+5671+6953+2961+2297+922+5539+45+60+55+479+219</f>
        <v>420486</v>
      </c>
      <c r="I74" s="455">
        <f>33356+12721+4525+974+2138+1073+527+197+1579+9+12+11+93+43</f>
        <v>57258</v>
      </c>
      <c r="J74" s="266">
        <f>+H74/I74</f>
        <v>7.343707429529498</v>
      </c>
      <c r="K74" s="377"/>
      <c r="L74" s="360"/>
      <c r="M74" s="430"/>
      <c r="N74" s="436"/>
    </row>
    <row r="75" spans="1:14" s="67" customFormat="1" ht="15">
      <c r="A75" s="166">
        <v>72</v>
      </c>
      <c r="B75" s="302" t="s">
        <v>420</v>
      </c>
      <c r="C75" s="98">
        <v>39136</v>
      </c>
      <c r="D75" s="152" t="s">
        <v>174</v>
      </c>
      <c r="E75" s="152" t="s">
        <v>214</v>
      </c>
      <c r="F75" s="295">
        <v>50</v>
      </c>
      <c r="G75" s="295">
        <v>17</v>
      </c>
      <c r="H75" s="225">
        <f>176703.5+117666.5+55649.5-153+26033.5+13075.5+7867.5+4158.5+2675.5+853+2376+1975+1335+1510.5+822+87</f>
        <v>412635.5</v>
      </c>
      <c r="I75" s="326">
        <f>23632+15507+7944-13+4855+2498+1683+890+562+202+475+395+267+302+90+13</f>
        <v>59302</v>
      </c>
      <c r="J75" s="239">
        <f>+H75/I75</f>
        <v>6.958205456814273</v>
      </c>
      <c r="K75" s="367"/>
      <c r="L75" s="358"/>
      <c r="M75" s="428"/>
      <c r="N75" s="434"/>
    </row>
    <row r="76" spans="1:14" s="67" customFormat="1" ht="15">
      <c r="A76" s="166">
        <v>73</v>
      </c>
      <c r="B76" s="217" t="s">
        <v>412</v>
      </c>
      <c r="C76" s="97">
        <v>39129</v>
      </c>
      <c r="D76" s="105" t="s">
        <v>172</v>
      </c>
      <c r="E76" s="104" t="s">
        <v>187</v>
      </c>
      <c r="F76" s="312">
        <v>22</v>
      </c>
      <c r="G76" s="312">
        <v>14</v>
      </c>
      <c r="H76" s="226">
        <f>3941+185955+159407+21968+1379+3205+2474+5929+6445+9026+4774+160+346+2791+350</f>
        <v>408150</v>
      </c>
      <c r="I76" s="455">
        <f>412+17684+15175+2098+198+760+464+1876+1042+1568+843+16+48+375+117</f>
        <v>42676</v>
      </c>
      <c r="J76" s="266">
        <f>+H76/I76</f>
        <v>9.563923516730716</v>
      </c>
      <c r="K76" s="366"/>
      <c r="L76" s="357"/>
      <c r="M76" s="427"/>
      <c r="N76" s="433"/>
    </row>
    <row r="77" spans="1:14" s="67" customFormat="1" ht="15">
      <c r="A77" s="166">
        <v>74</v>
      </c>
      <c r="B77" s="309" t="s">
        <v>354</v>
      </c>
      <c r="C77" s="100">
        <v>39234</v>
      </c>
      <c r="D77" s="154" t="s">
        <v>180</v>
      </c>
      <c r="E77" s="154" t="s">
        <v>432</v>
      </c>
      <c r="F77" s="308">
        <v>50</v>
      </c>
      <c r="G77" s="308">
        <v>11</v>
      </c>
      <c r="H77" s="230">
        <v>407297</v>
      </c>
      <c r="I77" s="326">
        <v>53969</v>
      </c>
      <c r="J77" s="310">
        <f>H77/I77</f>
        <v>7.546869499156924</v>
      </c>
      <c r="K77" s="367"/>
      <c r="L77" s="358"/>
      <c r="M77" s="428"/>
      <c r="N77" s="434"/>
    </row>
    <row r="78" spans="1:14" s="67" customFormat="1" ht="15">
      <c r="A78" s="166">
        <v>75</v>
      </c>
      <c r="B78" s="302" t="s">
        <v>374</v>
      </c>
      <c r="C78" s="98">
        <v>39255</v>
      </c>
      <c r="D78" s="152" t="s">
        <v>173</v>
      </c>
      <c r="E78" s="152" t="s">
        <v>187</v>
      </c>
      <c r="F78" s="295">
        <v>66</v>
      </c>
      <c r="G78" s="295">
        <v>9</v>
      </c>
      <c r="H78" s="221">
        <v>382871</v>
      </c>
      <c r="I78" s="326">
        <v>43908</v>
      </c>
      <c r="J78" s="310">
        <f>H78/I78</f>
        <v>8.719846041723605</v>
      </c>
      <c r="K78" s="375"/>
      <c r="L78" s="357"/>
      <c r="M78" s="427"/>
      <c r="N78" s="433"/>
    </row>
    <row r="79" spans="1:14" s="67" customFormat="1" ht="15">
      <c r="A79" s="166">
        <v>76</v>
      </c>
      <c r="B79" s="220" t="s">
        <v>270</v>
      </c>
      <c r="C79" s="97">
        <v>39185</v>
      </c>
      <c r="D79" s="107" t="s">
        <v>189</v>
      </c>
      <c r="E79" s="107" t="s">
        <v>301</v>
      </c>
      <c r="F79" s="313" t="s">
        <v>271</v>
      </c>
      <c r="G79" s="313" t="s">
        <v>379</v>
      </c>
      <c r="H79" s="226">
        <v>382733</v>
      </c>
      <c r="I79" s="455">
        <v>40811</v>
      </c>
      <c r="J79" s="266">
        <f>+H79/I79</f>
        <v>9.37818235279704</v>
      </c>
      <c r="K79" s="366"/>
      <c r="L79" s="357"/>
      <c r="M79" s="427"/>
      <c r="N79" s="433"/>
    </row>
    <row r="80" spans="1:14" s="67" customFormat="1" ht="15">
      <c r="A80" s="166">
        <v>77</v>
      </c>
      <c r="B80" s="302" t="s">
        <v>556</v>
      </c>
      <c r="C80" s="98">
        <v>39311</v>
      </c>
      <c r="D80" s="152" t="s">
        <v>173</v>
      </c>
      <c r="E80" s="152" t="s">
        <v>179</v>
      </c>
      <c r="F80" s="295">
        <v>84</v>
      </c>
      <c r="G80" s="295">
        <v>1</v>
      </c>
      <c r="H80" s="221">
        <v>362248</v>
      </c>
      <c r="I80" s="326">
        <v>40503</v>
      </c>
      <c r="J80" s="310">
        <f>H80/I80</f>
        <v>8.943732563020022</v>
      </c>
      <c r="K80" s="366"/>
      <c r="L80" s="357"/>
      <c r="M80" s="427"/>
      <c r="N80" s="433"/>
    </row>
    <row r="81" spans="1:14" s="67" customFormat="1" ht="15">
      <c r="A81" s="166">
        <v>78</v>
      </c>
      <c r="B81" s="218" t="s">
        <v>419</v>
      </c>
      <c r="C81" s="98">
        <v>39136</v>
      </c>
      <c r="D81" s="106" t="s">
        <v>173</v>
      </c>
      <c r="E81" s="106" t="s">
        <v>181</v>
      </c>
      <c r="F81" s="99">
        <v>34</v>
      </c>
      <c r="G81" s="99">
        <v>9</v>
      </c>
      <c r="H81" s="225">
        <v>335033</v>
      </c>
      <c r="I81" s="103">
        <v>35936</v>
      </c>
      <c r="J81" s="314">
        <f>+H81/I81</f>
        <v>9.323046527159395</v>
      </c>
      <c r="K81" s="370"/>
      <c r="L81" s="357"/>
      <c r="M81" s="427"/>
      <c r="N81" s="433"/>
    </row>
    <row r="82" spans="1:14" s="67" customFormat="1" ht="15">
      <c r="A82" s="166">
        <v>79</v>
      </c>
      <c r="B82" s="301" t="s">
        <v>401</v>
      </c>
      <c r="C82" s="97">
        <v>39269</v>
      </c>
      <c r="D82" s="153" t="s">
        <v>172</v>
      </c>
      <c r="E82" s="153" t="s">
        <v>187</v>
      </c>
      <c r="F82" s="248">
        <v>56</v>
      </c>
      <c r="G82" s="248">
        <v>7</v>
      </c>
      <c r="H82" s="222">
        <f>134837+97635+42479+18441+18948+8209+5664</f>
        <v>326213</v>
      </c>
      <c r="I82" s="325">
        <f>16076+11892+5691+3289+3420+1591+1143</f>
        <v>43102</v>
      </c>
      <c r="J82" s="310">
        <f>H82/I82</f>
        <v>7.568395898102176</v>
      </c>
      <c r="K82" s="368"/>
      <c r="L82" s="358"/>
      <c r="M82" s="428"/>
      <c r="N82" s="433"/>
    </row>
    <row r="83" spans="1:14" s="67" customFormat="1" ht="15">
      <c r="A83" s="166">
        <v>80</v>
      </c>
      <c r="B83" s="220" t="s">
        <v>418</v>
      </c>
      <c r="C83" s="97">
        <v>39136</v>
      </c>
      <c r="D83" s="107" t="s">
        <v>27</v>
      </c>
      <c r="E83" s="107" t="s">
        <v>137</v>
      </c>
      <c r="F83" s="313" t="s">
        <v>148</v>
      </c>
      <c r="G83" s="313" t="s">
        <v>338</v>
      </c>
      <c r="H83" s="226">
        <v>325906.5</v>
      </c>
      <c r="I83" s="455">
        <v>46768</v>
      </c>
      <c r="J83" s="266">
        <f>+H83/I83</f>
        <v>6.968578942866918</v>
      </c>
      <c r="K83" s="370"/>
      <c r="L83" s="357"/>
      <c r="M83" s="427"/>
      <c r="N83" s="433"/>
    </row>
    <row r="84" spans="1:14" s="67" customFormat="1" ht="15">
      <c r="A84" s="166">
        <v>81</v>
      </c>
      <c r="B84" s="309" t="s">
        <v>460</v>
      </c>
      <c r="C84" s="100">
        <v>39276</v>
      </c>
      <c r="D84" s="154" t="s">
        <v>180</v>
      </c>
      <c r="E84" s="154" t="s">
        <v>9</v>
      </c>
      <c r="F84" s="308">
        <v>26</v>
      </c>
      <c r="G84" s="308">
        <v>6</v>
      </c>
      <c r="H84" s="229">
        <v>312167</v>
      </c>
      <c r="I84" s="327">
        <v>31343</v>
      </c>
      <c r="J84" s="310">
        <f>H84/I84</f>
        <v>9.959703921130714</v>
      </c>
      <c r="K84" s="378"/>
      <c r="L84" s="361"/>
      <c r="M84" s="429"/>
      <c r="N84" s="435"/>
    </row>
    <row r="85" spans="1:14" s="67" customFormat="1" ht="15">
      <c r="A85" s="166">
        <v>82</v>
      </c>
      <c r="B85" s="301" t="s">
        <v>30</v>
      </c>
      <c r="C85" s="97">
        <v>39297</v>
      </c>
      <c r="D85" s="153" t="s">
        <v>164</v>
      </c>
      <c r="E85" s="153" t="s">
        <v>31</v>
      </c>
      <c r="F85" s="248">
        <v>40</v>
      </c>
      <c r="G85" s="248">
        <v>3</v>
      </c>
      <c r="H85" s="223">
        <f>157880+96709+57038.5</f>
        <v>311627.5</v>
      </c>
      <c r="I85" s="326">
        <f>18304+11544+7841</f>
        <v>37689</v>
      </c>
      <c r="J85" s="310">
        <f>H85/I85</f>
        <v>8.268393961102708</v>
      </c>
      <c r="K85" s="376"/>
      <c r="L85" s="357"/>
      <c r="M85" s="427"/>
      <c r="N85" s="433"/>
    </row>
    <row r="86" spans="1:14" s="67" customFormat="1" ht="15">
      <c r="A86" s="166">
        <v>83</v>
      </c>
      <c r="B86" s="218" t="s">
        <v>288</v>
      </c>
      <c r="C86" s="98">
        <v>39199</v>
      </c>
      <c r="D86" s="106" t="s">
        <v>173</v>
      </c>
      <c r="E86" s="106" t="s">
        <v>176</v>
      </c>
      <c r="F86" s="99">
        <v>46</v>
      </c>
      <c r="G86" s="99">
        <v>14</v>
      </c>
      <c r="H86" s="225">
        <v>310674</v>
      </c>
      <c r="I86" s="103">
        <v>36988</v>
      </c>
      <c r="J86" s="239">
        <f>+H86/I86</f>
        <v>8.399318697956094</v>
      </c>
      <c r="K86" s="366"/>
      <c r="L86" s="357"/>
      <c r="M86" s="427"/>
      <c r="N86" s="433"/>
    </row>
    <row r="87" spans="1:14" s="67" customFormat="1" ht="15">
      <c r="A87" s="166">
        <v>84</v>
      </c>
      <c r="B87" s="302" t="s">
        <v>557</v>
      </c>
      <c r="C87" s="98">
        <v>39311</v>
      </c>
      <c r="D87" s="152" t="s">
        <v>174</v>
      </c>
      <c r="E87" s="152" t="s">
        <v>175</v>
      </c>
      <c r="F87" s="295">
        <v>51</v>
      </c>
      <c r="G87" s="295">
        <v>1</v>
      </c>
      <c r="H87" s="221">
        <f>307706</f>
        <v>307706</v>
      </c>
      <c r="I87" s="326">
        <f>37496</f>
        <v>37496</v>
      </c>
      <c r="J87" s="310">
        <f>H87/I87</f>
        <v>8.206368679325795</v>
      </c>
      <c r="K87" s="368"/>
      <c r="L87" s="358"/>
      <c r="M87" s="428"/>
      <c r="N87" s="434"/>
    </row>
    <row r="88" spans="1:14" s="67" customFormat="1" ht="15">
      <c r="A88" s="166">
        <v>85</v>
      </c>
      <c r="B88" s="302" t="s">
        <v>215</v>
      </c>
      <c r="C88" s="98">
        <v>39157</v>
      </c>
      <c r="D88" s="152" t="s">
        <v>174</v>
      </c>
      <c r="E88" s="152" t="s">
        <v>175</v>
      </c>
      <c r="F88" s="295">
        <v>40</v>
      </c>
      <c r="G88" s="295">
        <v>16</v>
      </c>
      <c r="H88" s="221">
        <f>145121+79532.5+31459-84.5+26093+10059+2699+4061.5+425+625+303+43+10+400.5+3564+2376</f>
        <v>306687</v>
      </c>
      <c r="I88" s="326">
        <f>16974+9206+3759-9+4636+1902+531+800+88+129+84+6+1+74+891+594</f>
        <v>39666</v>
      </c>
      <c r="J88" s="310">
        <f>H88/I88</f>
        <v>7.731734987142641</v>
      </c>
      <c r="K88" s="368"/>
      <c r="L88" s="358"/>
      <c r="M88" s="428"/>
      <c r="N88" s="434"/>
    </row>
    <row r="89" spans="1:14" s="67" customFormat="1" ht="15">
      <c r="A89" s="166">
        <v>86</v>
      </c>
      <c r="B89" s="299" t="s">
        <v>496</v>
      </c>
      <c r="C89" s="293">
        <v>39206</v>
      </c>
      <c r="D89" s="292" t="s">
        <v>515</v>
      </c>
      <c r="E89" s="292" t="s">
        <v>516</v>
      </c>
      <c r="F89" s="385">
        <v>80</v>
      </c>
      <c r="G89" s="294">
        <v>16</v>
      </c>
      <c r="H89" s="304">
        <v>302550.5</v>
      </c>
      <c r="I89" s="336">
        <v>49404</v>
      </c>
      <c r="J89" s="310">
        <f>H89/I89</f>
        <v>6.124008177475508</v>
      </c>
      <c r="K89" s="366"/>
      <c r="L89" s="357"/>
      <c r="M89" s="427"/>
      <c r="N89" s="433"/>
    </row>
    <row r="90" spans="1:14" s="67" customFormat="1" ht="15">
      <c r="A90" s="166">
        <v>87</v>
      </c>
      <c r="B90" s="125" t="s">
        <v>446</v>
      </c>
      <c r="C90" s="316">
        <v>39150</v>
      </c>
      <c r="D90" s="246" t="s">
        <v>5</v>
      </c>
      <c r="E90" s="247" t="s">
        <v>447</v>
      </c>
      <c r="F90" s="101">
        <v>100</v>
      </c>
      <c r="G90" s="101">
        <v>8</v>
      </c>
      <c r="H90" s="225">
        <f>221689.5+60473+12914+3842.4+1749+1296+224+229</f>
        <v>302416.9</v>
      </c>
      <c r="I90" s="103">
        <f>30032+8139+2146+874+367+232+56+48</f>
        <v>41894</v>
      </c>
      <c r="J90" s="387">
        <f>H90/I90</f>
        <v>7.218620804888529</v>
      </c>
      <c r="K90" s="366"/>
      <c r="L90" s="357"/>
      <c r="M90" s="427"/>
      <c r="N90" s="433"/>
    </row>
    <row r="91" spans="1:14" s="67" customFormat="1" ht="15">
      <c r="A91" s="166">
        <v>88</v>
      </c>
      <c r="B91" s="302" t="s">
        <v>342</v>
      </c>
      <c r="C91" s="98">
        <v>39241</v>
      </c>
      <c r="D91" s="152" t="s">
        <v>182</v>
      </c>
      <c r="E91" s="152" t="s">
        <v>182</v>
      </c>
      <c r="F91" s="295">
        <v>50</v>
      </c>
      <c r="G91" s="295">
        <v>11</v>
      </c>
      <c r="H91" s="221">
        <f>129364.5+92376+23571+24305+14210+3366+2760.5+1254+392+236+672</f>
        <v>292507</v>
      </c>
      <c r="I91" s="326">
        <f>16515+11732+3415+4308+2607+643+742+197+68+51+112</f>
        <v>40390</v>
      </c>
      <c r="J91" s="310">
        <f>H91/I91</f>
        <v>7.242064867541471</v>
      </c>
      <c r="K91" s="367"/>
      <c r="L91" s="358"/>
      <c r="M91" s="428"/>
      <c r="N91" s="434"/>
    </row>
    <row r="92" spans="1:14" s="67" customFormat="1" ht="15">
      <c r="A92" s="166">
        <v>89</v>
      </c>
      <c r="B92" s="301" t="s">
        <v>534</v>
      </c>
      <c r="C92" s="97">
        <v>39234</v>
      </c>
      <c r="D92" s="153" t="s">
        <v>172</v>
      </c>
      <c r="E92" s="153" t="s">
        <v>187</v>
      </c>
      <c r="F92" s="248">
        <v>86</v>
      </c>
      <c r="G92" s="248">
        <v>10</v>
      </c>
      <c r="H92" s="226">
        <f>152831+86024+27725+9491+9432+2744+2079+1010+180+279</f>
        <v>291795</v>
      </c>
      <c r="I92" s="325">
        <f>19661+11888+4225+1693+1759+500+435+247+44+93</f>
        <v>40545</v>
      </c>
      <c r="J92" s="266">
        <f>+H92/I92</f>
        <v>7.196818349981502</v>
      </c>
      <c r="K92" s="367"/>
      <c r="L92" s="358"/>
      <c r="M92" s="428"/>
      <c r="N92" s="434"/>
    </row>
    <row r="93" spans="1:14" s="67" customFormat="1" ht="15">
      <c r="A93" s="166">
        <v>90</v>
      </c>
      <c r="B93" s="218" t="s">
        <v>340</v>
      </c>
      <c r="C93" s="98">
        <v>39087</v>
      </c>
      <c r="D93" s="106" t="s">
        <v>173</v>
      </c>
      <c r="E93" s="106" t="s">
        <v>176</v>
      </c>
      <c r="F93" s="99">
        <v>12</v>
      </c>
      <c r="G93" s="99">
        <v>29</v>
      </c>
      <c r="H93" s="225">
        <v>267300</v>
      </c>
      <c r="I93" s="103">
        <v>43210</v>
      </c>
      <c r="J93" s="266">
        <f>+H93/I93</f>
        <v>6.1860680398056</v>
      </c>
      <c r="K93" s="368"/>
      <c r="L93" s="358"/>
      <c r="M93" s="428"/>
      <c r="N93" s="434"/>
    </row>
    <row r="94" spans="1:14" s="67" customFormat="1" ht="15">
      <c r="A94" s="166">
        <v>91</v>
      </c>
      <c r="B94" s="219" t="s">
        <v>355</v>
      </c>
      <c r="C94" s="98">
        <v>39164</v>
      </c>
      <c r="D94" s="110" t="s">
        <v>5</v>
      </c>
      <c r="E94" s="109" t="s">
        <v>185</v>
      </c>
      <c r="F94" s="101">
        <v>40</v>
      </c>
      <c r="G94" s="101">
        <v>17</v>
      </c>
      <c r="H94" s="225">
        <f>136863.5+71331.5+20806.5+12476.9+2838+4712+1523+1430+843.5+195+279+570+808+965+157+589+1063</f>
        <v>257450.9</v>
      </c>
      <c r="I94" s="103">
        <f>15270+7788+3293+2489+585+1026+358+293+157+44+46+87+169+238+28+91+275</f>
        <v>32237</v>
      </c>
      <c r="J94" s="300">
        <f>H94/I94</f>
        <v>7.986192883953222</v>
      </c>
      <c r="K94" s="366"/>
      <c r="L94" s="357"/>
      <c r="M94" s="427"/>
      <c r="N94" s="433"/>
    </row>
    <row r="95" spans="1:14" s="67" customFormat="1" ht="15">
      <c r="A95" s="166">
        <v>92</v>
      </c>
      <c r="B95" s="302" t="s">
        <v>440</v>
      </c>
      <c r="C95" s="98">
        <v>39143</v>
      </c>
      <c r="D95" s="152" t="s">
        <v>174</v>
      </c>
      <c r="E95" s="152" t="s">
        <v>175</v>
      </c>
      <c r="F95" s="295">
        <v>20</v>
      </c>
      <c r="G95" s="295">
        <v>17</v>
      </c>
      <c r="H95" s="221">
        <f>252588.5+836+48+33</f>
        <v>253505.5</v>
      </c>
      <c r="I95" s="326">
        <f>27342+138+6+4</f>
        <v>27490</v>
      </c>
      <c r="J95" s="310">
        <f>H95/I95</f>
        <v>9.221735176427792</v>
      </c>
      <c r="K95" s="371"/>
      <c r="L95" s="358"/>
      <c r="M95" s="428"/>
      <c r="N95" s="434"/>
    </row>
    <row r="96" spans="1:14" s="67" customFormat="1" ht="15">
      <c r="A96" s="166">
        <v>93</v>
      </c>
      <c r="B96" s="301" t="s">
        <v>246</v>
      </c>
      <c r="C96" s="97">
        <v>39171</v>
      </c>
      <c r="D96" s="153" t="s">
        <v>99</v>
      </c>
      <c r="E96" s="153" t="s">
        <v>99</v>
      </c>
      <c r="F96" s="248">
        <v>20</v>
      </c>
      <c r="G96" s="248">
        <v>17</v>
      </c>
      <c r="H96" s="221">
        <v>250099</v>
      </c>
      <c r="I96" s="326">
        <v>27010</v>
      </c>
      <c r="J96" s="310">
        <f>H96/I96</f>
        <v>9.259496482784154</v>
      </c>
      <c r="K96" s="368"/>
      <c r="L96" s="358"/>
      <c r="M96" s="428"/>
      <c r="N96" s="434"/>
    </row>
    <row r="97" spans="1:14" s="67" customFormat="1" ht="15">
      <c r="A97" s="166">
        <v>94</v>
      </c>
      <c r="B97" s="302" t="s">
        <v>330</v>
      </c>
      <c r="C97" s="98">
        <v>39094</v>
      </c>
      <c r="D97" s="152" t="s">
        <v>171</v>
      </c>
      <c r="E97" s="152" t="s">
        <v>179</v>
      </c>
      <c r="F97" s="295">
        <v>30</v>
      </c>
      <c r="G97" s="295">
        <v>9</v>
      </c>
      <c r="H97" s="225">
        <v>243592</v>
      </c>
      <c r="I97" s="103">
        <v>24190</v>
      </c>
      <c r="J97" s="239">
        <f>+H97/I97</f>
        <v>10.069946258784622</v>
      </c>
      <c r="K97" s="379"/>
      <c r="L97" s="362"/>
      <c r="M97" s="431"/>
      <c r="N97" s="437"/>
    </row>
    <row r="98" spans="1:14" s="67" customFormat="1" ht="15">
      <c r="A98" s="166">
        <v>95</v>
      </c>
      <c r="B98" s="302" t="s">
        <v>467</v>
      </c>
      <c r="C98" s="98">
        <v>39122</v>
      </c>
      <c r="D98" s="152" t="s">
        <v>182</v>
      </c>
      <c r="E98" s="152" t="s">
        <v>182</v>
      </c>
      <c r="F98" s="295">
        <v>27</v>
      </c>
      <c r="G98" s="295">
        <v>10</v>
      </c>
      <c r="H98" s="225">
        <f>119870.5+70279+18401+10562+5558+801+365+35+139+467</f>
        <v>226477.5</v>
      </c>
      <c r="I98" s="103">
        <f>12204+6994+1908+1977+1125+173+73+5+21+82</f>
        <v>24562</v>
      </c>
      <c r="J98" s="310">
        <f aca="true" t="shared" si="1" ref="J98:J105">H98/I98</f>
        <v>9.22064571288983</v>
      </c>
      <c r="K98" s="375"/>
      <c r="L98" s="357"/>
      <c r="M98" s="427"/>
      <c r="N98" s="433"/>
    </row>
    <row r="99" spans="1:14" s="67" customFormat="1" ht="15">
      <c r="A99" s="166">
        <v>96</v>
      </c>
      <c r="B99" s="301" t="s">
        <v>32</v>
      </c>
      <c r="C99" s="97">
        <v>39297</v>
      </c>
      <c r="D99" s="153" t="s">
        <v>171</v>
      </c>
      <c r="E99" s="153" t="s">
        <v>179</v>
      </c>
      <c r="F99" s="248">
        <v>25</v>
      </c>
      <c r="G99" s="248">
        <v>3</v>
      </c>
      <c r="H99" s="222">
        <v>222641</v>
      </c>
      <c r="I99" s="325">
        <v>21109</v>
      </c>
      <c r="J99" s="310">
        <f t="shared" si="1"/>
        <v>10.547207352314178</v>
      </c>
      <c r="K99" s="366"/>
      <c r="L99" s="357"/>
      <c r="M99" s="427"/>
      <c r="N99" s="433"/>
    </row>
    <row r="100" spans="1:14" s="67" customFormat="1" ht="15">
      <c r="A100" s="166">
        <v>97</v>
      </c>
      <c r="B100" s="301" t="s">
        <v>475</v>
      </c>
      <c r="C100" s="97">
        <v>39260</v>
      </c>
      <c r="D100" s="153" t="s">
        <v>172</v>
      </c>
      <c r="E100" s="153" t="s">
        <v>310</v>
      </c>
      <c r="F100" s="248">
        <v>40</v>
      </c>
      <c r="G100" s="248">
        <v>4</v>
      </c>
      <c r="H100" s="222">
        <f>117385+70420+26501+7709</f>
        <v>222015</v>
      </c>
      <c r="I100" s="325">
        <f>12724+7654+2879+1337</f>
        <v>24594</v>
      </c>
      <c r="J100" s="310">
        <f t="shared" si="1"/>
        <v>9.027201756525981</v>
      </c>
      <c r="K100" s="380"/>
      <c r="L100" s="361"/>
      <c r="M100" s="429"/>
      <c r="N100" s="435"/>
    </row>
    <row r="101" spans="1:14" s="67" customFormat="1" ht="15">
      <c r="A101" s="166">
        <v>98</v>
      </c>
      <c r="B101" s="309" t="s">
        <v>356</v>
      </c>
      <c r="C101" s="100">
        <v>39150</v>
      </c>
      <c r="D101" s="108" t="s">
        <v>180</v>
      </c>
      <c r="E101" s="108" t="s">
        <v>219</v>
      </c>
      <c r="F101" s="417">
        <v>10</v>
      </c>
      <c r="G101" s="417">
        <v>20</v>
      </c>
      <c r="H101" s="226">
        <v>221370</v>
      </c>
      <c r="I101" s="455">
        <v>24649</v>
      </c>
      <c r="J101" s="310">
        <f t="shared" si="1"/>
        <v>8.980891719745223</v>
      </c>
      <c r="K101" s="366"/>
      <c r="L101" s="357"/>
      <c r="M101" s="427"/>
      <c r="N101" s="433"/>
    </row>
    <row r="102" spans="1:14" s="67" customFormat="1" ht="15">
      <c r="A102" s="166">
        <v>99</v>
      </c>
      <c r="B102" s="218" t="s">
        <v>357</v>
      </c>
      <c r="C102" s="98">
        <v>39185</v>
      </c>
      <c r="D102" s="106" t="s">
        <v>182</v>
      </c>
      <c r="E102" s="106" t="s">
        <v>182</v>
      </c>
      <c r="F102" s="99">
        <v>32</v>
      </c>
      <c r="G102" s="99">
        <v>15</v>
      </c>
      <c r="H102" s="225">
        <f>108639+53175.5+20297+10110.5+6588.5+4718.5+25+932+2938+1916+223+2532+318+210+570</f>
        <v>213193</v>
      </c>
      <c r="I102" s="103">
        <f>11660+5688+2612+1694+1121+867+5+284+987+479+44+624+64+70+95</f>
        <v>26294</v>
      </c>
      <c r="J102" s="310">
        <f t="shared" si="1"/>
        <v>8.108047463299613</v>
      </c>
      <c r="K102" s="375"/>
      <c r="L102" s="357"/>
      <c r="M102" s="427"/>
      <c r="N102" s="433"/>
    </row>
    <row r="103" spans="1:14" s="67" customFormat="1" ht="15">
      <c r="A103" s="166">
        <v>100</v>
      </c>
      <c r="B103" s="302" t="s">
        <v>375</v>
      </c>
      <c r="C103" s="98">
        <v>39255</v>
      </c>
      <c r="D103" s="152" t="s">
        <v>182</v>
      </c>
      <c r="E103" s="152" t="s">
        <v>540</v>
      </c>
      <c r="F103" s="295">
        <v>39</v>
      </c>
      <c r="G103" s="295">
        <v>8</v>
      </c>
      <c r="H103" s="225">
        <f>81018+54551+29525+20071+15869-16+6710.5+1673+594</f>
        <v>209995.5</v>
      </c>
      <c r="I103" s="326">
        <f>9778+6732+4213+3680+2882-4+1171+280+91</f>
        <v>28823</v>
      </c>
      <c r="J103" s="310">
        <f t="shared" si="1"/>
        <v>7.285691982097631</v>
      </c>
      <c r="K103" s="370"/>
      <c r="L103" s="357"/>
      <c r="M103" s="428"/>
      <c r="N103" s="433"/>
    </row>
    <row r="104" spans="1:14" s="67" customFormat="1" ht="15">
      <c r="A104" s="166">
        <v>101</v>
      </c>
      <c r="B104" s="301" t="s">
        <v>390</v>
      </c>
      <c r="C104" s="98">
        <v>39262</v>
      </c>
      <c r="D104" s="153" t="s">
        <v>5</v>
      </c>
      <c r="E104" s="153" t="s">
        <v>391</v>
      </c>
      <c r="F104" s="248">
        <v>15</v>
      </c>
      <c r="G104" s="248">
        <v>8</v>
      </c>
      <c r="H104" s="222">
        <v>179340</v>
      </c>
      <c r="I104" s="325">
        <v>19829</v>
      </c>
      <c r="J104" s="310">
        <f t="shared" si="1"/>
        <v>9.044329013061677</v>
      </c>
      <c r="K104" s="376"/>
      <c r="L104" s="357"/>
      <c r="M104" s="427"/>
      <c r="N104" s="433"/>
    </row>
    <row r="105" spans="1:14" s="67" customFormat="1" ht="15">
      <c r="A105" s="166">
        <v>102</v>
      </c>
      <c r="B105" s="220" t="s">
        <v>216</v>
      </c>
      <c r="C105" s="97">
        <v>39157</v>
      </c>
      <c r="D105" s="107" t="s">
        <v>189</v>
      </c>
      <c r="E105" s="107" t="s">
        <v>301</v>
      </c>
      <c r="F105" s="313" t="s">
        <v>329</v>
      </c>
      <c r="G105" s="313" t="s">
        <v>506</v>
      </c>
      <c r="H105" s="226">
        <v>173994.5</v>
      </c>
      <c r="I105" s="455">
        <v>25945</v>
      </c>
      <c r="J105" s="300">
        <f t="shared" si="1"/>
        <v>6.7062825207169015</v>
      </c>
      <c r="K105" s="378"/>
      <c r="L105" s="361"/>
      <c r="M105" s="429"/>
      <c r="N105" s="435"/>
    </row>
    <row r="106" spans="1:14" s="67" customFormat="1" ht="15">
      <c r="A106" s="166">
        <v>103</v>
      </c>
      <c r="B106" s="301" t="s">
        <v>492</v>
      </c>
      <c r="C106" s="97">
        <v>39199</v>
      </c>
      <c r="D106" s="153" t="s">
        <v>189</v>
      </c>
      <c r="E106" s="153" t="s">
        <v>301</v>
      </c>
      <c r="F106" s="248" t="s">
        <v>227</v>
      </c>
      <c r="G106" s="248" t="s">
        <v>506</v>
      </c>
      <c r="H106" s="226">
        <v>172314.5</v>
      </c>
      <c r="I106" s="325">
        <v>17426</v>
      </c>
      <c r="J106" s="266">
        <f>+H106/I106</f>
        <v>9.888356478824745</v>
      </c>
      <c r="K106" s="374"/>
      <c r="L106" s="357"/>
      <c r="M106" s="427"/>
      <c r="N106" s="433"/>
    </row>
    <row r="107" spans="1:14" s="67" customFormat="1" ht="15">
      <c r="A107" s="166">
        <v>104</v>
      </c>
      <c r="B107" s="301" t="s">
        <v>392</v>
      </c>
      <c r="C107" s="98">
        <v>39262</v>
      </c>
      <c r="D107" s="153" t="s">
        <v>5</v>
      </c>
      <c r="E107" s="153" t="s">
        <v>393</v>
      </c>
      <c r="F107" s="248">
        <v>21</v>
      </c>
      <c r="G107" s="248">
        <v>8</v>
      </c>
      <c r="H107" s="222">
        <v>172272.5</v>
      </c>
      <c r="I107" s="325">
        <v>25028</v>
      </c>
      <c r="J107" s="310">
        <f>H107/I107</f>
        <v>6.883190826274572</v>
      </c>
      <c r="K107" s="367"/>
      <c r="L107" s="358"/>
      <c r="M107" s="428"/>
      <c r="N107" s="434"/>
    </row>
    <row r="108" spans="1:14" s="67" customFormat="1" ht="15">
      <c r="A108" s="166">
        <v>105</v>
      </c>
      <c r="B108" s="303" t="s">
        <v>461</v>
      </c>
      <c r="C108" s="293">
        <v>39283</v>
      </c>
      <c r="D108" s="292" t="s">
        <v>515</v>
      </c>
      <c r="E108" s="292" t="s">
        <v>244</v>
      </c>
      <c r="F108" s="294">
        <v>27</v>
      </c>
      <c r="G108" s="294">
        <v>5</v>
      </c>
      <c r="H108" s="304">
        <v>167667.5</v>
      </c>
      <c r="I108" s="336">
        <v>22047</v>
      </c>
      <c r="J108" s="310">
        <f>H108/I108</f>
        <v>7.605002948246927</v>
      </c>
      <c r="K108" s="367"/>
      <c r="L108" s="358"/>
      <c r="M108" s="428"/>
      <c r="N108" s="434"/>
    </row>
    <row r="109" spans="1:14" s="67" customFormat="1" ht="15">
      <c r="A109" s="166">
        <v>106</v>
      </c>
      <c r="B109" s="302" t="s">
        <v>491</v>
      </c>
      <c r="C109" s="98">
        <v>39199</v>
      </c>
      <c r="D109" s="152" t="s">
        <v>174</v>
      </c>
      <c r="E109" s="152" t="s">
        <v>175</v>
      </c>
      <c r="F109" s="295">
        <v>12</v>
      </c>
      <c r="G109" s="295">
        <v>15</v>
      </c>
      <c r="H109" s="221">
        <f>65278+43624+18025+11913.5+8482+5984+2783+1516+591+802+176+51+185+155+1007+3021</f>
        <v>163593.5</v>
      </c>
      <c r="I109" s="326">
        <f>6781+4516+2043+1620+1413+932+527+294+132+80+21+9+37+31+252+755</f>
        <v>19443</v>
      </c>
      <c r="J109" s="310">
        <f>H109/I109</f>
        <v>8.414005040374429</v>
      </c>
      <c r="K109" s="366"/>
      <c r="L109" s="357"/>
      <c r="M109" s="427"/>
      <c r="N109" s="433"/>
    </row>
    <row r="110" spans="1:14" s="67" customFormat="1" ht="15">
      <c r="A110" s="166">
        <v>107</v>
      </c>
      <c r="B110" s="218" t="s">
        <v>282</v>
      </c>
      <c r="C110" s="98">
        <v>39192</v>
      </c>
      <c r="D110" s="106" t="s">
        <v>174</v>
      </c>
      <c r="E110" s="106" t="s">
        <v>260</v>
      </c>
      <c r="F110" s="412" t="s">
        <v>329</v>
      </c>
      <c r="G110" s="99">
        <v>15</v>
      </c>
      <c r="H110" s="225">
        <f>71030+32901.5+17721.5+14872+9513+2979+1242+198+150+198+140+162+204+122+93</f>
        <v>151526</v>
      </c>
      <c r="I110" s="103">
        <f>8415+4258+2684+2483+1579+589+251+33+25+33+23+27+34+17+12</f>
        <v>20463</v>
      </c>
      <c r="J110" s="239">
        <f>+H110/I110</f>
        <v>7.404877095245077</v>
      </c>
      <c r="K110" s="375"/>
      <c r="L110" s="357"/>
      <c r="M110" s="427"/>
      <c r="N110" s="433"/>
    </row>
    <row r="111" spans="1:14" s="67" customFormat="1" ht="15">
      <c r="A111" s="166">
        <v>108</v>
      </c>
      <c r="B111" s="301" t="s">
        <v>421</v>
      </c>
      <c r="C111" s="97">
        <v>39136</v>
      </c>
      <c r="D111" s="153" t="s">
        <v>172</v>
      </c>
      <c r="E111" s="153" t="s">
        <v>80</v>
      </c>
      <c r="F111" s="248">
        <v>9</v>
      </c>
      <c r="G111" s="248">
        <v>12</v>
      </c>
      <c r="H111" s="226">
        <f>84092+44359+5685+3842+1159+3888+3317+785+1412+150+1090+269+1188</f>
        <v>151236</v>
      </c>
      <c r="I111" s="325">
        <f>8135+4281+660+612+195+1157+638+80+217+18+215+198</f>
        <v>16406</v>
      </c>
      <c r="J111" s="266">
        <f>+H111/I111</f>
        <v>9.218334755577228</v>
      </c>
      <c r="K111" s="367"/>
      <c r="L111" s="358"/>
      <c r="M111" s="428"/>
      <c r="N111" s="434"/>
    </row>
    <row r="112" spans="1:14" s="67" customFormat="1" ht="15">
      <c r="A112" s="166">
        <v>109</v>
      </c>
      <c r="B112" s="217" t="s">
        <v>309</v>
      </c>
      <c r="C112" s="97">
        <v>39087</v>
      </c>
      <c r="D112" s="105" t="s">
        <v>172</v>
      </c>
      <c r="E112" s="104" t="s">
        <v>149</v>
      </c>
      <c r="F112" s="312">
        <v>42</v>
      </c>
      <c r="G112" s="312">
        <v>11</v>
      </c>
      <c r="H112" s="226">
        <f>108159+32855+2558+200+742+210+540+754+527+677+829</f>
        <v>148051</v>
      </c>
      <c r="I112" s="455">
        <f>12118+3977+379+20+153+40+103+182+108+118+146</f>
        <v>17344</v>
      </c>
      <c r="J112" s="266">
        <f>+H112/I112</f>
        <v>8.536150830258302</v>
      </c>
      <c r="K112" s="368"/>
      <c r="L112" s="358"/>
      <c r="M112" s="428"/>
      <c r="N112" s="434"/>
    </row>
    <row r="113" spans="1:14" s="67" customFormat="1" ht="15">
      <c r="A113" s="166">
        <v>110</v>
      </c>
      <c r="B113" s="301" t="s">
        <v>462</v>
      </c>
      <c r="C113" s="97">
        <v>39283</v>
      </c>
      <c r="D113" s="153" t="s">
        <v>171</v>
      </c>
      <c r="E113" s="153" t="s">
        <v>301</v>
      </c>
      <c r="F113" s="248">
        <v>20</v>
      </c>
      <c r="G113" s="248">
        <v>5</v>
      </c>
      <c r="H113" s="222">
        <v>146278</v>
      </c>
      <c r="I113" s="325">
        <v>14862</v>
      </c>
      <c r="J113" s="310">
        <f>H113/I113</f>
        <v>9.8424169021666</v>
      </c>
      <c r="K113" s="366"/>
      <c r="L113" s="357"/>
      <c r="M113" s="427"/>
      <c r="N113" s="433"/>
    </row>
    <row r="114" spans="1:14" s="67" customFormat="1" ht="15">
      <c r="A114" s="166">
        <v>111</v>
      </c>
      <c r="B114" s="220" t="s">
        <v>504</v>
      </c>
      <c r="C114" s="97">
        <v>39213</v>
      </c>
      <c r="D114" s="107" t="s">
        <v>171</v>
      </c>
      <c r="E114" s="107" t="s">
        <v>179</v>
      </c>
      <c r="F114" s="248">
        <v>36</v>
      </c>
      <c r="G114" s="248">
        <v>9</v>
      </c>
      <c r="H114" s="226">
        <v>137061</v>
      </c>
      <c r="I114" s="455">
        <v>16400</v>
      </c>
      <c r="J114" s="239">
        <f>+H114/I114</f>
        <v>8.357378048780488</v>
      </c>
      <c r="K114" s="375"/>
      <c r="L114" s="357"/>
      <c r="M114" s="427"/>
      <c r="N114" s="433"/>
    </row>
    <row r="115" spans="1:14" s="67" customFormat="1" ht="15">
      <c r="A115" s="166">
        <v>112</v>
      </c>
      <c r="B115" s="301" t="s">
        <v>402</v>
      </c>
      <c r="C115" s="97">
        <v>39269</v>
      </c>
      <c r="D115" s="153" t="s">
        <v>189</v>
      </c>
      <c r="E115" s="153" t="s">
        <v>189</v>
      </c>
      <c r="F115" s="248" t="s">
        <v>230</v>
      </c>
      <c r="G115" s="248" t="s">
        <v>478</v>
      </c>
      <c r="H115" s="222">
        <v>132986.5</v>
      </c>
      <c r="I115" s="325">
        <v>17636</v>
      </c>
      <c r="J115" s="310">
        <f>H115/I115</f>
        <v>7.5406271263325015</v>
      </c>
      <c r="K115" s="366"/>
      <c r="L115" s="357"/>
      <c r="M115" s="427"/>
      <c r="N115" s="433"/>
    </row>
    <row r="116" spans="1:14" s="67" customFormat="1" ht="15">
      <c r="A116" s="166">
        <v>113</v>
      </c>
      <c r="B116" s="301" t="s">
        <v>343</v>
      </c>
      <c r="C116" s="98">
        <v>39241</v>
      </c>
      <c r="D116" s="153" t="s">
        <v>5</v>
      </c>
      <c r="E116" s="153" t="s">
        <v>314</v>
      </c>
      <c r="F116" s="248">
        <v>20</v>
      </c>
      <c r="G116" s="248">
        <v>11</v>
      </c>
      <c r="H116" s="222">
        <v>123722.7</v>
      </c>
      <c r="I116" s="325">
        <v>16676</v>
      </c>
      <c r="J116" s="310">
        <f>H116/I116</f>
        <v>7.419207243943392</v>
      </c>
      <c r="K116" s="371"/>
      <c r="L116" s="358"/>
      <c r="M116" s="428"/>
      <c r="N116" s="434"/>
    </row>
    <row r="117" spans="1:14" s="67" customFormat="1" ht="15">
      <c r="A117" s="166">
        <v>114</v>
      </c>
      <c r="B117" s="301" t="s">
        <v>358</v>
      </c>
      <c r="C117" s="97">
        <v>39213</v>
      </c>
      <c r="D117" s="107" t="s">
        <v>189</v>
      </c>
      <c r="E117" s="107" t="s">
        <v>189</v>
      </c>
      <c r="F117" s="313" t="s">
        <v>499</v>
      </c>
      <c r="G117" s="313" t="s">
        <v>379</v>
      </c>
      <c r="H117" s="226">
        <v>123056.5</v>
      </c>
      <c r="I117" s="455">
        <v>17962</v>
      </c>
      <c r="J117" s="266">
        <f>+H117/I117</f>
        <v>6.850935307872175</v>
      </c>
      <c r="K117" s="375"/>
      <c r="L117" s="357"/>
      <c r="M117" s="427"/>
      <c r="N117" s="433"/>
    </row>
    <row r="118" spans="1:14" s="67" customFormat="1" ht="15">
      <c r="A118" s="166">
        <v>115</v>
      </c>
      <c r="B118" s="302" t="s">
        <v>217</v>
      </c>
      <c r="C118" s="98">
        <v>39157</v>
      </c>
      <c r="D118" s="152" t="s">
        <v>174</v>
      </c>
      <c r="E118" s="152" t="s">
        <v>218</v>
      </c>
      <c r="F118" s="295">
        <v>56</v>
      </c>
      <c r="G118" s="295">
        <v>13</v>
      </c>
      <c r="H118" s="221">
        <f>58610+26460.5+16261.5+6759+4608+1822+1190+451+98+184+371+221</f>
        <v>117036</v>
      </c>
      <c r="I118" s="326">
        <f>8805+4170+2948+1373+809+330+236+64+14+44+84+50</f>
        <v>18927</v>
      </c>
      <c r="J118" s="310">
        <f aca="true" t="shared" si="2" ref="J118:J125">H118/I118</f>
        <v>6.183547313361864</v>
      </c>
      <c r="K118" s="375"/>
      <c r="L118" s="357"/>
      <c r="M118" s="427"/>
      <c r="N118" s="433"/>
    </row>
    <row r="119" spans="1:14" s="67" customFormat="1" ht="15">
      <c r="A119" s="166">
        <v>116</v>
      </c>
      <c r="B119" s="301" t="s">
        <v>311</v>
      </c>
      <c r="C119" s="97">
        <v>39087</v>
      </c>
      <c r="D119" s="153" t="s">
        <v>99</v>
      </c>
      <c r="E119" s="153" t="s">
        <v>99</v>
      </c>
      <c r="F119" s="248">
        <v>11</v>
      </c>
      <c r="G119" s="295">
        <v>13</v>
      </c>
      <c r="H119" s="221">
        <v>108797.79</v>
      </c>
      <c r="I119" s="326">
        <v>11442</v>
      </c>
      <c r="J119" s="310">
        <f t="shared" si="2"/>
        <v>9.508633980073412</v>
      </c>
      <c r="K119" s="375"/>
      <c r="L119" s="357"/>
      <c r="M119" s="427"/>
      <c r="N119" s="433"/>
    </row>
    <row r="120" spans="1:14" s="67" customFormat="1" ht="15">
      <c r="A120" s="166">
        <v>117</v>
      </c>
      <c r="B120" s="301" t="s">
        <v>33</v>
      </c>
      <c r="C120" s="97">
        <v>39297</v>
      </c>
      <c r="D120" s="153" t="s">
        <v>189</v>
      </c>
      <c r="E120" s="153" t="s">
        <v>301</v>
      </c>
      <c r="F120" s="248" t="s">
        <v>227</v>
      </c>
      <c r="G120" s="248" t="s">
        <v>279</v>
      </c>
      <c r="H120" s="222">
        <v>103767.47</v>
      </c>
      <c r="I120" s="325">
        <v>10171</v>
      </c>
      <c r="J120" s="310">
        <f t="shared" si="2"/>
        <v>10.2022878772982</v>
      </c>
      <c r="K120" s="375"/>
      <c r="L120" s="357"/>
      <c r="M120" s="427"/>
      <c r="N120" s="433"/>
    </row>
    <row r="121" spans="1:14" s="67" customFormat="1" ht="15">
      <c r="A121" s="166">
        <v>118</v>
      </c>
      <c r="B121" s="302" t="s">
        <v>455</v>
      </c>
      <c r="C121" s="98">
        <v>39276</v>
      </c>
      <c r="D121" s="152" t="s">
        <v>173</v>
      </c>
      <c r="E121" s="152" t="s">
        <v>179</v>
      </c>
      <c r="F121" s="295">
        <v>20</v>
      </c>
      <c r="G121" s="295">
        <v>6</v>
      </c>
      <c r="H121" s="221">
        <v>103239</v>
      </c>
      <c r="I121" s="326">
        <v>12626</v>
      </c>
      <c r="J121" s="310">
        <f t="shared" si="2"/>
        <v>8.176698875336607</v>
      </c>
      <c r="K121" s="375"/>
      <c r="L121" s="357"/>
      <c r="M121" s="427"/>
      <c r="N121" s="433"/>
    </row>
    <row r="122" spans="1:14" s="67" customFormat="1" ht="15">
      <c r="A122" s="166">
        <v>119</v>
      </c>
      <c r="B122" s="301" t="s">
        <v>470</v>
      </c>
      <c r="C122" s="98">
        <v>39283</v>
      </c>
      <c r="D122" s="153" t="s">
        <v>5</v>
      </c>
      <c r="E122" s="153" t="s">
        <v>47</v>
      </c>
      <c r="F122" s="248">
        <v>30</v>
      </c>
      <c r="G122" s="248">
        <v>5</v>
      </c>
      <c r="H122" s="222">
        <v>88004.5</v>
      </c>
      <c r="I122" s="325">
        <v>12134</v>
      </c>
      <c r="J122" s="310">
        <f t="shared" si="2"/>
        <v>7.252719630789517</v>
      </c>
      <c r="K122" s="375"/>
      <c r="L122" s="357"/>
      <c r="M122" s="427"/>
      <c r="N122" s="433"/>
    </row>
    <row r="123" spans="1:14" s="67" customFormat="1" ht="15">
      <c r="A123" s="166">
        <v>120</v>
      </c>
      <c r="B123" s="302" t="s">
        <v>476</v>
      </c>
      <c r="C123" s="98">
        <v>39290</v>
      </c>
      <c r="D123" s="152" t="s">
        <v>173</v>
      </c>
      <c r="E123" s="152" t="s">
        <v>181</v>
      </c>
      <c r="F123" s="295">
        <v>20</v>
      </c>
      <c r="G123" s="295">
        <v>4</v>
      </c>
      <c r="H123" s="221">
        <v>84546</v>
      </c>
      <c r="I123" s="326">
        <v>9188</v>
      </c>
      <c r="J123" s="310">
        <f t="shared" si="2"/>
        <v>9.201784936874184</v>
      </c>
      <c r="K123" s="375"/>
      <c r="L123" s="357"/>
      <c r="M123" s="427"/>
      <c r="N123" s="433"/>
    </row>
    <row r="124" spans="1:14" s="67" customFormat="1" ht="15">
      <c r="A124" s="166">
        <v>121</v>
      </c>
      <c r="B124" s="309" t="s">
        <v>100</v>
      </c>
      <c r="C124" s="100">
        <v>39101</v>
      </c>
      <c r="D124" s="319" t="s">
        <v>180</v>
      </c>
      <c r="E124" s="319" t="s">
        <v>101</v>
      </c>
      <c r="F124" s="308">
        <v>14</v>
      </c>
      <c r="G124" s="308">
        <v>9</v>
      </c>
      <c r="H124" s="230">
        <v>75233</v>
      </c>
      <c r="I124" s="456">
        <v>7816</v>
      </c>
      <c r="J124" s="310">
        <f t="shared" si="2"/>
        <v>9.625511770726714</v>
      </c>
      <c r="K124" s="375"/>
      <c r="L124" s="357"/>
      <c r="M124" s="427"/>
      <c r="N124" s="433"/>
    </row>
    <row r="125" spans="1:14" s="67" customFormat="1" ht="15">
      <c r="A125" s="166">
        <v>122</v>
      </c>
      <c r="B125" s="219" t="s">
        <v>360</v>
      </c>
      <c r="C125" s="98">
        <v>39115</v>
      </c>
      <c r="D125" s="110" t="s">
        <v>5</v>
      </c>
      <c r="E125" s="109" t="s">
        <v>15</v>
      </c>
      <c r="F125" s="101">
        <v>7</v>
      </c>
      <c r="G125" s="101">
        <v>25</v>
      </c>
      <c r="H125" s="225">
        <f>17653+2664+2547+3149.5+1301+782+4139+3319+2916+1353+211+25+1358+2067.5+4037+800+2506+138+5334+824.5+3551+1941+5490.5+4535.5+1805</f>
        <v>74447.5</v>
      </c>
      <c r="I125" s="103">
        <f>1861+315+483+453+199+125+780+688+532+250+58+10+324+278+530+160+491+30+1031+128+555+241+801+901+321</f>
        <v>11545</v>
      </c>
      <c r="J125" s="300">
        <f t="shared" si="2"/>
        <v>6.4484625378951925</v>
      </c>
      <c r="K125" s="375"/>
      <c r="L125" s="357"/>
      <c r="M125" s="427"/>
      <c r="N125" s="433"/>
    </row>
    <row r="126" spans="1:14" s="67" customFormat="1" ht="15">
      <c r="A126" s="166">
        <v>123</v>
      </c>
      <c r="B126" s="218" t="s">
        <v>448</v>
      </c>
      <c r="C126" s="98">
        <v>39150</v>
      </c>
      <c r="D126" s="106" t="s">
        <v>174</v>
      </c>
      <c r="E126" s="106" t="s">
        <v>519</v>
      </c>
      <c r="F126" s="99">
        <v>36</v>
      </c>
      <c r="G126" s="99">
        <v>9</v>
      </c>
      <c r="H126" s="225">
        <f>36532.5+12598.5+9503.5+3866+3675.5+2036.5+2184+698+213</f>
        <v>71307.5</v>
      </c>
      <c r="I126" s="103">
        <f>5376+1964+1865+741+753+478+609+121+41</f>
        <v>11948</v>
      </c>
      <c r="J126" s="266">
        <f>+H126/I126</f>
        <v>5.968153665885504</v>
      </c>
      <c r="K126" s="375"/>
      <c r="L126" s="357"/>
      <c r="M126" s="427"/>
      <c r="N126" s="433"/>
    </row>
    <row r="127" spans="1:14" s="67" customFormat="1" ht="15">
      <c r="A127" s="166">
        <v>124</v>
      </c>
      <c r="B127" s="301" t="s">
        <v>369</v>
      </c>
      <c r="C127" s="97">
        <v>39248</v>
      </c>
      <c r="D127" s="153" t="s">
        <v>172</v>
      </c>
      <c r="E127" s="153" t="s">
        <v>187</v>
      </c>
      <c r="F127" s="248">
        <v>43</v>
      </c>
      <c r="G127" s="248">
        <v>10</v>
      </c>
      <c r="H127" s="222">
        <f>42123+14013+3348+3474+2860+1453+1145+277+347+298</f>
        <v>69338</v>
      </c>
      <c r="I127" s="325">
        <f>5045+1702+479+644+570+297+204+89+71+65</f>
        <v>9166</v>
      </c>
      <c r="J127" s="310">
        <f>H127/I127</f>
        <v>7.56469561422649</v>
      </c>
      <c r="K127" s="375"/>
      <c r="L127" s="357"/>
      <c r="M127" s="427"/>
      <c r="N127" s="433"/>
    </row>
    <row r="128" spans="1:14" s="67" customFormat="1" ht="15">
      <c r="A128" s="166">
        <v>125</v>
      </c>
      <c r="B128" s="219" t="s">
        <v>313</v>
      </c>
      <c r="C128" s="98">
        <v>39087</v>
      </c>
      <c r="D128" s="110" t="s">
        <v>5</v>
      </c>
      <c r="E128" s="109" t="s">
        <v>314</v>
      </c>
      <c r="F128" s="101">
        <v>1</v>
      </c>
      <c r="G128" s="101">
        <v>18</v>
      </c>
      <c r="H128" s="225">
        <f>22095+9204+7326+5702+4828+3872.5+1230+1085+707+2852+110.5+1780+1780+1900+49+952+1900+102+49</f>
        <v>67524</v>
      </c>
      <c r="I128" s="103">
        <f>2920+1031+821+648+551+476+146+128+89+713+43+445+445+475+7+238+475+11+6</f>
        <v>9668</v>
      </c>
      <c r="J128" s="266">
        <f>+H128/I128</f>
        <v>6.9842780306164665</v>
      </c>
      <c r="K128" s="375"/>
      <c r="L128" s="357"/>
      <c r="M128" s="427"/>
      <c r="N128" s="433"/>
    </row>
    <row r="129" spans="1:14" s="67" customFormat="1" ht="15">
      <c r="A129" s="166">
        <v>126</v>
      </c>
      <c r="B129" s="301" t="s">
        <v>547</v>
      </c>
      <c r="C129" s="97">
        <v>39234</v>
      </c>
      <c r="D129" s="153" t="s">
        <v>164</v>
      </c>
      <c r="E129" s="153" t="s">
        <v>316</v>
      </c>
      <c r="F129" s="248">
        <v>27</v>
      </c>
      <c r="G129" s="248">
        <v>12</v>
      </c>
      <c r="H129" s="223">
        <f>27092.5+18038+5217+3320.5+3937+2784+1710+1168+1343.5+947+150+213</f>
        <v>65920.5</v>
      </c>
      <c r="I129" s="326">
        <f>3028+2165+821+570+765+513+286+200+227+163+30+39</f>
        <v>8807</v>
      </c>
      <c r="J129" s="310">
        <f>H129/I129</f>
        <v>7.485011922334507</v>
      </c>
      <c r="K129" s="375"/>
      <c r="L129" s="357"/>
      <c r="M129" s="427"/>
      <c r="N129" s="433"/>
    </row>
    <row r="130" spans="1:14" s="67" customFormat="1" ht="15">
      <c r="A130" s="166">
        <v>127</v>
      </c>
      <c r="B130" s="302" t="s">
        <v>441</v>
      </c>
      <c r="C130" s="98">
        <v>39136</v>
      </c>
      <c r="D130" s="152" t="s">
        <v>174</v>
      </c>
      <c r="E130" s="152" t="s">
        <v>175</v>
      </c>
      <c r="F130" s="248">
        <v>7</v>
      </c>
      <c r="G130" s="295">
        <v>10</v>
      </c>
      <c r="H130" s="225">
        <f>23106.5+15905+4970.5+4958+2337+5206+2114+6120.5+60+855</f>
        <v>65632.5</v>
      </c>
      <c r="I130" s="103">
        <f>2469+1725+813+546+379+1021+442+1372+6+109</f>
        <v>8882</v>
      </c>
      <c r="J130" s="266">
        <f>+H130/I130</f>
        <v>7.389383021841928</v>
      </c>
      <c r="K130" s="375"/>
      <c r="L130" s="357"/>
      <c r="M130" s="427"/>
      <c r="N130" s="433"/>
    </row>
    <row r="131" spans="1:14" s="67" customFormat="1" ht="15">
      <c r="A131" s="166">
        <v>128</v>
      </c>
      <c r="B131" s="302" t="s">
        <v>505</v>
      </c>
      <c r="C131" s="98">
        <v>39213</v>
      </c>
      <c r="D131" s="152" t="s">
        <v>174</v>
      </c>
      <c r="E131" s="152" t="s">
        <v>175</v>
      </c>
      <c r="F131" s="295">
        <v>5</v>
      </c>
      <c r="G131" s="295">
        <v>15</v>
      </c>
      <c r="H131" s="221">
        <f>25052+11949.5+3201+4494+4686.5+1784.5+1964.5+1245.5+867+2745+1517+779+696+2285.5+108</f>
        <v>63375</v>
      </c>
      <c r="I131" s="326">
        <f>2528+1205+383+567+687+312+364+233+144+405+270+163+148+551+19</f>
        <v>7979</v>
      </c>
      <c r="J131" s="310">
        <f>H131/I131</f>
        <v>7.942724652212057</v>
      </c>
      <c r="K131" s="375"/>
      <c r="L131" s="357"/>
      <c r="M131" s="427"/>
      <c r="N131" s="433"/>
    </row>
    <row r="132" spans="1:14" s="67" customFormat="1" ht="15">
      <c r="A132" s="166">
        <v>129</v>
      </c>
      <c r="B132" s="301" t="s">
        <v>527</v>
      </c>
      <c r="C132" s="98">
        <v>39227</v>
      </c>
      <c r="D132" s="153" t="s">
        <v>5</v>
      </c>
      <c r="E132" s="153" t="s">
        <v>257</v>
      </c>
      <c r="F132" s="248">
        <v>5</v>
      </c>
      <c r="G132" s="248">
        <v>13</v>
      </c>
      <c r="H132" s="222">
        <v>62263</v>
      </c>
      <c r="I132" s="325">
        <v>7859</v>
      </c>
      <c r="J132" s="310">
        <f>H132/I132</f>
        <v>7.922509225092251</v>
      </c>
      <c r="K132" s="375"/>
      <c r="L132" s="357"/>
      <c r="M132" s="427"/>
      <c r="N132" s="433"/>
    </row>
    <row r="133" spans="1:14" s="67" customFormat="1" ht="15">
      <c r="A133" s="166">
        <v>130</v>
      </c>
      <c r="B133" s="309" t="s">
        <v>359</v>
      </c>
      <c r="C133" s="100">
        <v>39178</v>
      </c>
      <c r="D133" s="108" t="s">
        <v>180</v>
      </c>
      <c r="E133" s="108" t="s">
        <v>432</v>
      </c>
      <c r="F133" s="417">
        <v>20</v>
      </c>
      <c r="G133" s="417">
        <v>16</v>
      </c>
      <c r="H133" s="226">
        <v>61736</v>
      </c>
      <c r="I133" s="455">
        <v>7906</v>
      </c>
      <c r="J133" s="310">
        <f>H133/I133</f>
        <v>7.808752845939792</v>
      </c>
      <c r="K133" s="375"/>
      <c r="L133" s="357"/>
      <c r="M133" s="427"/>
      <c r="N133" s="433"/>
    </row>
    <row r="134" spans="1:14" s="67" customFormat="1" ht="15">
      <c r="A134" s="166">
        <v>131</v>
      </c>
      <c r="B134" s="302" t="s">
        <v>253</v>
      </c>
      <c r="C134" s="98">
        <v>39178</v>
      </c>
      <c r="D134" s="152" t="s">
        <v>174</v>
      </c>
      <c r="E134" s="152" t="s">
        <v>493</v>
      </c>
      <c r="F134" s="295">
        <v>32</v>
      </c>
      <c r="G134" s="295">
        <v>10</v>
      </c>
      <c r="H134" s="225">
        <f>36030.5+15107+2947+2226.5+1741.5+368+21+178.5+160+10</f>
        <v>58790</v>
      </c>
      <c r="I134" s="326">
        <f>5756+2532+606+524+412+75+6+23+51+2</f>
        <v>9987</v>
      </c>
      <c r="J134" s="310">
        <f>H134/I134</f>
        <v>5.8866526484429755</v>
      </c>
      <c r="K134" s="375"/>
      <c r="L134" s="357"/>
      <c r="M134" s="427"/>
      <c r="N134" s="433"/>
    </row>
    <row r="135" spans="1:14" s="67" customFormat="1" ht="15">
      <c r="A135" s="166">
        <v>132</v>
      </c>
      <c r="B135" s="309" t="s">
        <v>34</v>
      </c>
      <c r="C135" s="100">
        <v>39297</v>
      </c>
      <c r="D135" s="154" t="s">
        <v>180</v>
      </c>
      <c r="E135" s="154" t="s">
        <v>432</v>
      </c>
      <c r="F135" s="308">
        <v>10</v>
      </c>
      <c r="G135" s="308">
        <v>3</v>
      </c>
      <c r="H135" s="229">
        <v>53874</v>
      </c>
      <c r="I135" s="327">
        <v>5125</v>
      </c>
      <c r="J135" s="310">
        <f>H135/I135</f>
        <v>10.512</v>
      </c>
      <c r="K135" s="375"/>
      <c r="L135" s="357"/>
      <c r="M135" s="427"/>
      <c r="N135" s="433"/>
    </row>
    <row r="136" spans="1:14" s="67" customFormat="1" ht="15">
      <c r="A136" s="166">
        <v>133</v>
      </c>
      <c r="B136" s="220" t="s">
        <v>370</v>
      </c>
      <c r="C136" s="97">
        <v>39248</v>
      </c>
      <c r="D136" s="107" t="s">
        <v>189</v>
      </c>
      <c r="E136" s="107" t="s">
        <v>301</v>
      </c>
      <c r="F136" s="313" t="s">
        <v>371</v>
      </c>
      <c r="G136" s="313" t="s">
        <v>338</v>
      </c>
      <c r="H136" s="226">
        <v>50308</v>
      </c>
      <c r="I136" s="455">
        <v>6490</v>
      </c>
      <c r="J136" s="266">
        <f>+H136/I136</f>
        <v>7.751617873651772</v>
      </c>
      <c r="K136" s="375"/>
      <c r="L136" s="357"/>
      <c r="M136" s="427"/>
      <c r="N136" s="433"/>
    </row>
    <row r="137" spans="1:14" s="67" customFormat="1" ht="15">
      <c r="A137" s="166">
        <v>134</v>
      </c>
      <c r="B137" s="301" t="s">
        <v>477</v>
      </c>
      <c r="C137" s="98">
        <v>39290</v>
      </c>
      <c r="D137" s="153" t="s">
        <v>5</v>
      </c>
      <c r="E137" s="153" t="s">
        <v>393</v>
      </c>
      <c r="F137" s="248">
        <v>10</v>
      </c>
      <c r="G137" s="248">
        <v>4</v>
      </c>
      <c r="H137" s="222">
        <v>49148</v>
      </c>
      <c r="I137" s="325">
        <v>4814</v>
      </c>
      <c r="J137" s="310">
        <f aca="true" t="shared" si="3" ref="J137:J142">H137/I137</f>
        <v>10.209389281262983</v>
      </c>
      <c r="K137" s="375"/>
      <c r="L137" s="357"/>
      <c r="M137" s="427"/>
      <c r="N137" s="433"/>
    </row>
    <row r="138" spans="1:14" s="67" customFormat="1" ht="15">
      <c r="A138" s="166">
        <v>135</v>
      </c>
      <c r="B138" s="301" t="s">
        <v>272</v>
      </c>
      <c r="C138" s="97">
        <v>39185</v>
      </c>
      <c r="D138" s="153" t="s">
        <v>172</v>
      </c>
      <c r="E138" s="153" t="s">
        <v>37</v>
      </c>
      <c r="F138" s="248">
        <v>18</v>
      </c>
      <c r="G138" s="248">
        <v>13</v>
      </c>
      <c r="H138" s="222">
        <f>30174+1530+1183+615+267+1789+987+401+549+1013+1120+376+867</f>
        <v>40871</v>
      </c>
      <c r="I138" s="325">
        <f>3096+224+261+123+52+470+182+51+89+211+227+77+161</f>
        <v>5224</v>
      </c>
      <c r="J138" s="310">
        <f t="shared" si="3"/>
        <v>7.823698315467075</v>
      </c>
      <c r="K138" s="375"/>
      <c r="L138" s="357"/>
      <c r="M138" s="427"/>
      <c r="N138" s="433"/>
    </row>
    <row r="139" spans="1:14" s="67" customFormat="1" ht="15">
      <c r="A139" s="166">
        <v>136</v>
      </c>
      <c r="B139" s="301" t="s">
        <v>376</v>
      </c>
      <c r="C139" s="98">
        <v>39255</v>
      </c>
      <c r="D139" s="153" t="s">
        <v>5</v>
      </c>
      <c r="E139" s="153" t="s">
        <v>9</v>
      </c>
      <c r="F139" s="248">
        <v>1</v>
      </c>
      <c r="G139" s="248">
        <v>9</v>
      </c>
      <c r="H139" s="222">
        <v>38927.25</v>
      </c>
      <c r="I139" s="325">
        <v>4950</v>
      </c>
      <c r="J139" s="310">
        <f t="shared" si="3"/>
        <v>7.864090909090909</v>
      </c>
      <c r="K139" s="375"/>
      <c r="L139" s="357"/>
      <c r="M139" s="427"/>
      <c r="N139" s="433"/>
    </row>
    <row r="140" spans="1:14" s="67" customFormat="1" ht="15">
      <c r="A140" s="166">
        <v>137</v>
      </c>
      <c r="B140" s="302" t="s">
        <v>484</v>
      </c>
      <c r="C140" s="98">
        <v>39213</v>
      </c>
      <c r="D140" s="152" t="s">
        <v>174</v>
      </c>
      <c r="E140" s="152" t="s">
        <v>175</v>
      </c>
      <c r="F140" s="295">
        <v>1</v>
      </c>
      <c r="G140" s="295">
        <v>15</v>
      </c>
      <c r="H140" s="221">
        <f>23022+3295+935+946+734+524+260+264+324+228+783+301+702+1006+917</f>
        <v>34241</v>
      </c>
      <c r="I140" s="326">
        <f>3601+659+187+99+75+55+28+30+35+44+117+60+110+134+121</f>
        <v>5355</v>
      </c>
      <c r="J140" s="310">
        <f t="shared" si="3"/>
        <v>6.39421101774043</v>
      </c>
      <c r="K140" s="375"/>
      <c r="L140" s="357"/>
      <c r="M140" s="427"/>
      <c r="N140" s="433"/>
    </row>
    <row r="141" spans="1:14" s="67" customFormat="1" ht="15">
      <c r="A141" s="166">
        <v>138</v>
      </c>
      <c r="B141" s="219" t="s">
        <v>507</v>
      </c>
      <c r="C141" s="98">
        <v>39213</v>
      </c>
      <c r="D141" s="153" t="s">
        <v>5</v>
      </c>
      <c r="E141" s="153" t="s">
        <v>109</v>
      </c>
      <c r="F141" s="248">
        <v>4</v>
      </c>
      <c r="G141" s="248">
        <v>14</v>
      </c>
      <c r="H141" s="222">
        <v>24868</v>
      </c>
      <c r="I141" s="325">
        <v>3789</v>
      </c>
      <c r="J141" s="310">
        <f t="shared" si="3"/>
        <v>6.563209290050145</v>
      </c>
      <c r="K141" s="375"/>
      <c r="L141" s="357"/>
      <c r="M141" s="427"/>
      <c r="N141" s="433"/>
    </row>
    <row r="142" spans="1:14" s="67" customFormat="1" ht="15">
      <c r="A142" s="166">
        <v>139</v>
      </c>
      <c r="B142" s="302" t="s">
        <v>361</v>
      </c>
      <c r="C142" s="98">
        <v>39115</v>
      </c>
      <c r="D142" s="152" t="s">
        <v>174</v>
      </c>
      <c r="E142" s="152" t="s">
        <v>20</v>
      </c>
      <c r="F142" s="295">
        <v>10</v>
      </c>
      <c r="G142" s="295">
        <v>9</v>
      </c>
      <c r="H142" s="225">
        <f>17496+3884+1469+240+311+404+472+286+106-100</f>
        <v>24568</v>
      </c>
      <c r="I142" s="103">
        <f>1763+417+239+30+72+92+105+29+22</f>
        <v>2769</v>
      </c>
      <c r="J142" s="310">
        <f t="shared" si="3"/>
        <v>8.872517154207294</v>
      </c>
      <c r="K142" s="375"/>
      <c r="L142" s="357"/>
      <c r="M142" s="427"/>
      <c r="N142" s="433"/>
    </row>
    <row r="143" spans="1:14" s="67" customFormat="1" ht="15">
      <c r="A143" s="166">
        <v>140</v>
      </c>
      <c r="B143" s="220" t="s">
        <v>363</v>
      </c>
      <c r="C143" s="97">
        <v>39206</v>
      </c>
      <c r="D143" s="107" t="s">
        <v>189</v>
      </c>
      <c r="E143" s="107" t="s">
        <v>459</v>
      </c>
      <c r="F143" s="313" t="s">
        <v>227</v>
      </c>
      <c r="G143" s="313" t="s">
        <v>378</v>
      </c>
      <c r="H143" s="226">
        <v>24386</v>
      </c>
      <c r="I143" s="455">
        <v>3082</v>
      </c>
      <c r="J143" s="266">
        <f>+H143/I143</f>
        <v>7.912394548994159</v>
      </c>
      <c r="K143" s="375"/>
      <c r="L143" s="357"/>
      <c r="M143" s="427"/>
      <c r="N143" s="433"/>
    </row>
    <row r="144" spans="1:14" s="67" customFormat="1" ht="15">
      <c r="A144" s="166">
        <v>141</v>
      </c>
      <c r="B144" s="301" t="s">
        <v>535</v>
      </c>
      <c r="C144" s="97">
        <v>39234</v>
      </c>
      <c r="D144" s="153" t="s">
        <v>5</v>
      </c>
      <c r="E144" s="153" t="s">
        <v>0</v>
      </c>
      <c r="F144" s="248">
        <v>15</v>
      </c>
      <c r="G144" s="248">
        <v>11</v>
      </c>
      <c r="H144" s="226">
        <v>23608</v>
      </c>
      <c r="I144" s="325">
        <v>2794</v>
      </c>
      <c r="J144" s="266">
        <f>+H144/I144</f>
        <v>8.449534717251252</v>
      </c>
      <c r="K144" s="375"/>
      <c r="L144" s="357"/>
      <c r="M144" s="427"/>
      <c r="N144" s="433"/>
    </row>
    <row r="145" spans="1:14" s="67" customFormat="1" ht="15">
      <c r="A145" s="166">
        <v>142</v>
      </c>
      <c r="B145" s="302" t="s">
        <v>558</v>
      </c>
      <c r="C145" s="98">
        <v>39311</v>
      </c>
      <c r="D145" s="152" t="s">
        <v>5</v>
      </c>
      <c r="E145" s="152" t="s">
        <v>185</v>
      </c>
      <c r="F145" s="295">
        <v>10</v>
      </c>
      <c r="G145" s="295">
        <v>1</v>
      </c>
      <c r="H145" s="221">
        <v>23228.5</v>
      </c>
      <c r="I145" s="326">
        <v>2020</v>
      </c>
      <c r="J145" s="310">
        <f aca="true" t="shared" si="4" ref="J145:J152">H145/I145</f>
        <v>11.499257425742574</v>
      </c>
      <c r="K145" s="375"/>
      <c r="L145" s="357"/>
      <c r="M145" s="427"/>
      <c r="N145" s="433"/>
    </row>
    <row r="146" spans="1:14" s="67" customFormat="1" ht="15">
      <c r="A146" s="166">
        <v>143</v>
      </c>
      <c r="B146" s="302" t="s">
        <v>362</v>
      </c>
      <c r="C146" s="98">
        <v>39094</v>
      </c>
      <c r="D146" s="318" t="s">
        <v>5</v>
      </c>
      <c r="E146" s="318" t="s">
        <v>324</v>
      </c>
      <c r="F146" s="295">
        <v>2</v>
      </c>
      <c r="G146" s="295">
        <v>10</v>
      </c>
      <c r="H146" s="225">
        <f>1685+7070+4182+870+1068+308+1896+1402+2852+77.5+1294</f>
        <v>22704.5</v>
      </c>
      <c r="I146" s="103">
        <f>480+951+563+174+267+31+416+162+713+29+337</f>
        <v>4123</v>
      </c>
      <c r="J146" s="300">
        <f t="shared" si="4"/>
        <v>5.506791171477079</v>
      </c>
      <c r="K146" s="375"/>
      <c r="L146" s="357"/>
      <c r="M146" s="427"/>
      <c r="N146" s="433"/>
    </row>
    <row r="147" spans="1:14" s="67" customFormat="1" ht="15">
      <c r="A147" s="166">
        <v>144</v>
      </c>
      <c r="B147" s="302" t="s">
        <v>259</v>
      </c>
      <c r="C147" s="98">
        <v>39178</v>
      </c>
      <c r="D147" s="152" t="s">
        <v>5</v>
      </c>
      <c r="E147" s="152" t="s">
        <v>260</v>
      </c>
      <c r="F147" s="295">
        <v>2</v>
      </c>
      <c r="G147" s="295">
        <v>18</v>
      </c>
      <c r="H147" s="225">
        <v>21855.5</v>
      </c>
      <c r="I147" s="326">
        <v>3408</v>
      </c>
      <c r="J147" s="300">
        <f t="shared" si="4"/>
        <v>6.41299882629108</v>
      </c>
      <c r="K147" s="375"/>
      <c r="L147" s="357"/>
      <c r="M147" s="427"/>
      <c r="N147" s="433"/>
    </row>
    <row r="148" spans="1:14" s="67" customFormat="1" ht="15">
      <c r="A148" s="166">
        <v>145</v>
      </c>
      <c r="B148" s="301" t="s">
        <v>403</v>
      </c>
      <c r="C148" s="97">
        <v>39269</v>
      </c>
      <c r="D148" s="153" t="s">
        <v>189</v>
      </c>
      <c r="E148" s="153" t="s">
        <v>301</v>
      </c>
      <c r="F148" s="248" t="s">
        <v>2</v>
      </c>
      <c r="G148" s="248" t="s">
        <v>478</v>
      </c>
      <c r="H148" s="222">
        <v>20676.88</v>
      </c>
      <c r="I148" s="325">
        <v>3401</v>
      </c>
      <c r="J148" s="310">
        <f t="shared" si="4"/>
        <v>6.079647162599236</v>
      </c>
      <c r="K148" s="375"/>
      <c r="L148" s="357"/>
      <c r="M148" s="427"/>
      <c r="N148" s="433"/>
    </row>
    <row r="149" spans="1:14" s="67" customFormat="1" ht="15">
      <c r="A149" s="166">
        <v>146</v>
      </c>
      <c r="B149" s="219" t="s">
        <v>273</v>
      </c>
      <c r="C149" s="98">
        <v>39185</v>
      </c>
      <c r="D149" s="110" t="s">
        <v>5</v>
      </c>
      <c r="E149" s="109" t="s">
        <v>185</v>
      </c>
      <c r="F149" s="101">
        <v>4</v>
      </c>
      <c r="G149" s="101">
        <v>10</v>
      </c>
      <c r="H149" s="225">
        <f>6769.5+3919+2476+254+2374+807+1360+78+65+30</f>
        <v>18132.5</v>
      </c>
      <c r="I149" s="103">
        <f>846+548+607+46+549+101+306+10+13+6</f>
        <v>3032</v>
      </c>
      <c r="J149" s="300">
        <f t="shared" si="4"/>
        <v>5.9803759894459105</v>
      </c>
      <c r="K149" s="375"/>
      <c r="L149" s="357"/>
      <c r="M149" s="427"/>
      <c r="N149" s="433"/>
    </row>
    <row r="150" spans="1:14" s="67" customFormat="1" ht="15">
      <c r="A150" s="166">
        <v>147</v>
      </c>
      <c r="B150" s="301" t="s">
        <v>221</v>
      </c>
      <c r="C150" s="98">
        <v>39157</v>
      </c>
      <c r="D150" s="153" t="s">
        <v>5</v>
      </c>
      <c r="E150" s="153" t="s">
        <v>324</v>
      </c>
      <c r="F150" s="248">
        <v>1</v>
      </c>
      <c r="G150" s="248">
        <v>16</v>
      </c>
      <c r="H150" s="222">
        <v>15733</v>
      </c>
      <c r="I150" s="325">
        <v>2697</v>
      </c>
      <c r="J150" s="310">
        <f t="shared" si="4"/>
        <v>5.833518724508713</v>
      </c>
      <c r="K150" s="375"/>
      <c r="L150" s="357"/>
      <c r="M150" s="427"/>
      <c r="N150" s="433"/>
    </row>
    <row r="151" spans="1:14" s="67" customFormat="1" ht="15">
      <c r="A151" s="166">
        <v>148</v>
      </c>
      <c r="B151" s="219" t="s">
        <v>256</v>
      </c>
      <c r="C151" s="98">
        <v>39178</v>
      </c>
      <c r="D151" s="110" t="s">
        <v>5</v>
      </c>
      <c r="E151" s="109" t="s">
        <v>257</v>
      </c>
      <c r="F151" s="101">
        <v>5</v>
      </c>
      <c r="G151" s="101">
        <v>8</v>
      </c>
      <c r="H151" s="225">
        <f>6989+3492+735+273+101+62+1188+2612</f>
        <v>15452</v>
      </c>
      <c r="I151" s="103">
        <f>870+504+98+37+13+12+297+653</f>
        <v>2484</v>
      </c>
      <c r="J151" s="300">
        <f t="shared" si="4"/>
        <v>6.22061191626409</v>
      </c>
      <c r="K151" s="375"/>
      <c r="L151" s="357"/>
      <c r="M151" s="427"/>
      <c r="N151" s="433"/>
    </row>
    <row r="152" spans="1:14" s="67" customFormat="1" ht="15">
      <c r="A152" s="166">
        <v>149</v>
      </c>
      <c r="B152" s="302" t="s">
        <v>487</v>
      </c>
      <c r="C152" s="98">
        <v>39185</v>
      </c>
      <c r="D152" s="152" t="s">
        <v>174</v>
      </c>
      <c r="E152" s="152" t="s">
        <v>175</v>
      </c>
      <c r="F152" s="295">
        <v>1</v>
      </c>
      <c r="G152" s="295">
        <v>13</v>
      </c>
      <c r="H152" s="221">
        <f>11158+1340+625+166+94+174+151+140+120+76+150+37+129+165</f>
        <v>14525</v>
      </c>
      <c r="I152" s="326">
        <f>1408+268+125+19+11+20+28+15+13+9+30+7+22+32</f>
        <v>2007</v>
      </c>
      <c r="J152" s="310">
        <f t="shared" si="4"/>
        <v>7.23716990533134</v>
      </c>
      <c r="K152" s="375"/>
      <c r="L152" s="357"/>
      <c r="M152" s="427"/>
      <c r="N152" s="433"/>
    </row>
    <row r="153" spans="1:14" s="67" customFormat="1" ht="15">
      <c r="A153" s="166">
        <v>150</v>
      </c>
      <c r="B153" s="301" t="s">
        <v>364</v>
      </c>
      <c r="C153" s="97">
        <v>39178</v>
      </c>
      <c r="D153" s="317" t="s">
        <v>189</v>
      </c>
      <c r="E153" s="317" t="s">
        <v>274</v>
      </c>
      <c r="F153" s="248" t="s">
        <v>230</v>
      </c>
      <c r="G153" s="248" t="s">
        <v>19</v>
      </c>
      <c r="H153" s="226">
        <v>13081</v>
      </c>
      <c r="I153" s="455">
        <v>1608</v>
      </c>
      <c r="J153" s="266">
        <f>+H153/I153</f>
        <v>8.134950248756219</v>
      </c>
      <c r="K153" s="375"/>
      <c r="L153" s="357"/>
      <c r="M153" s="427"/>
      <c r="N153" s="433"/>
    </row>
    <row r="154" spans="1:14" s="67" customFormat="1" ht="15">
      <c r="A154" s="166">
        <v>151</v>
      </c>
      <c r="B154" s="218" t="s">
        <v>481</v>
      </c>
      <c r="C154" s="98">
        <v>39199</v>
      </c>
      <c r="D154" s="106" t="s">
        <v>174</v>
      </c>
      <c r="E154" s="106" t="s">
        <v>175</v>
      </c>
      <c r="F154" s="412" t="s">
        <v>2</v>
      </c>
      <c r="G154" s="99">
        <v>10</v>
      </c>
      <c r="H154" s="225">
        <f>7483+988+550+332+134+125+150+50+71+420+500</f>
        <v>10803</v>
      </c>
      <c r="I154" s="103">
        <f>956+111+62+33+15+31+22+10+11+54+68</f>
        <v>1373</v>
      </c>
      <c r="J154" s="239">
        <f>+H154/I154</f>
        <v>7.868171886380189</v>
      </c>
      <c r="K154" s="366"/>
      <c r="L154" s="357"/>
      <c r="M154" s="427"/>
      <c r="N154" s="433"/>
    </row>
    <row r="155" spans="1:14" s="67" customFormat="1" ht="15">
      <c r="A155" s="166">
        <v>152</v>
      </c>
      <c r="B155" s="301" t="s">
        <v>394</v>
      </c>
      <c r="C155" s="97">
        <v>39262</v>
      </c>
      <c r="D155" s="153" t="s">
        <v>450</v>
      </c>
      <c r="E155" s="153" t="s">
        <v>395</v>
      </c>
      <c r="F155" s="248" t="s">
        <v>19</v>
      </c>
      <c r="G155" s="248" t="s">
        <v>338</v>
      </c>
      <c r="H155" s="222">
        <v>8564</v>
      </c>
      <c r="I155" s="325">
        <v>1087</v>
      </c>
      <c r="J155" s="310">
        <f>H155/I155</f>
        <v>7.878564857405704</v>
      </c>
      <c r="K155" s="373"/>
      <c r="L155" s="358"/>
      <c r="M155" s="428"/>
      <c r="N155" s="434"/>
    </row>
    <row r="156" spans="1:14" s="67" customFormat="1" ht="15">
      <c r="A156" s="166">
        <v>153</v>
      </c>
      <c r="B156" s="301" t="s">
        <v>528</v>
      </c>
      <c r="C156" s="97">
        <v>39227</v>
      </c>
      <c r="D156" s="153" t="s">
        <v>450</v>
      </c>
      <c r="E156" s="153" t="s">
        <v>529</v>
      </c>
      <c r="F156" s="248" t="s">
        <v>19</v>
      </c>
      <c r="G156" s="248" t="s">
        <v>230</v>
      </c>
      <c r="H156" s="222">
        <v>6891</v>
      </c>
      <c r="I156" s="325">
        <v>930</v>
      </c>
      <c r="J156" s="310">
        <f>H156/I156</f>
        <v>7.409677419354839</v>
      </c>
      <c r="K156" s="366"/>
      <c r="L156" s="357"/>
      <c r="M156" s="427"/>
      <c r="N156" s="433"/>
    </row>
    <row r="157" spans="1:14" s="67" customFormat="1" ht="15.75" thickBot="1">
      <c r="A157" s="166">
        <v>154</v>
      </c>
      <c r="B157" s="439" t="s">
        <v>464</v>
      </c>
      <c r="C157" s="323">
        <v>39283</v>
      </c>
      <c r="D157" s="440" t="s">
        <v>189</v>
      </c>
      <c r="E157" s="440" t="s">
        <v>301</v>
      </c>
      <c r="F157" s="441" t="s">
        <v>2</v>
      </c>
      <c r="G157" s="441" t="s">
        <v>19</v>
      </c>
      <c r="H157" s="484">
        <v>5617.25</v>
      </c>
      <c r="I157" s="457">
        <v>1040</v>
      </c>
      <c r="J157" s="365">
        <f>+H157/I157</f>
        <v>5.401201923076923</v>
      </c>
      <c r="K157" s="368"/>
      <c r="L157" s="358"/>
      <c r="M157" s="428"/>
      <c r="N157" s="434"/>
    </row>
    <row r="158" spans="1:14" s="111" customFormat="1" ht="15">
      <c r="A158" s="546" t="s">
        <v>166</v>
      </c>
      <c r="B158" s="547"/>
      <c r="C158" s="160"/>
      <c r="D158" s="160"/>
      <c r="E158" s="160"/>
      <c r="F158" s="161"/>
      <c r="G158" s="160"/>
      <c r="H158" s="162">
        <f>SUM(H4:H157)</f>
        <v>144855296.73999998</v>
      </c>
      <c r="I158" s="163">
        <f>SUM(I4:I157)</f>
        <v>18732554</v>
      </c>
      <c r="J158" s="164">
        <f>H158/I158</f>
        <v>7.732810845760807</v>
      </c>
      <c r="K158" s="347"/>
      <c r="L158" s="340"/>
      <c r="M158" s="347"/>
      <c r="N158" s="340"/>
    </row>
    <row r="159" spans="1:14" s="68" customFormat="1" ht="13.5" thickBot="1">
      <c r="A159" s="76"/>
      <c r="B159" s="69"/>
      <c r="C159" s="70"/>
      <c r="D159" s="70"/>
      <c r="E159" s="70"/>
      <c r="F159" s="70"/>
      <c r="G159" s="70"/>
      <c r="H159" s="71"/>
      <c r="I159" s="83"/>
      <c r="J159" s="72"/>
      <c r="K159" s="348"/>
      <c r="L159" s="341"/>
      <c r="M159" s="348"/>
      <c r="N159" s="341"/>
    </row>
    <row r="160" spans="1:14" s="67" customFormat="1" ht="14.25">
      <c r="A160" s="84"/>
      <c r="B160" s="550" t="s">
        <v>70</v>
      </c>
      <c r="C160" s="550"/>
      <c r="D160" s="539" t="s">
        <v>10</v>
      </c>
      <c r="E160" s="41"/>
      <c r="F160" s="539"/>
      <c r="G160" s="539"/>
      <c r="H160" s="553" t="s">
        <v>74</v>
      </c>
      <c r="I160" s="554"/>
      <c r="J160" s="555" t="s">
        <v>55</v>
      </c>
      <c r="K160" s="346"/>
      <c r="L160" s="339"/>
      <c r="M160" s="346"/>
      <c r="N160" s="339"/>
    </row>
    <row r="161" spans="1:14" s="67" customFormat="1" ht="15" thickBot="1">
      <c r="A161" s="86"/>
      <c r="B161" s="551"/>
      <c r="C161" s="551"/>
      <c r="D161" s="552"/>
      <c r="E161" s="85"/>
      <c r="F161" s="552"/>
      <c r="G161" s="552"/>
      <c r="H161" s="64" t="s">
        <v>56</v>
      </c>
      <c r="I161" s="65" t="s">
        <v>205</v>
      </c>
      <c r="J161" s="556"/>
      <c r="K161" s="346"/>
      <c r="L161" s="339"/>
      <c r="M161" s="346"/>
      <c r="N161" s="339"/>
    </row>
    <row r="162" spans="1:14" s="112" customFormat="1" ht="15">
      <c r="A162" s="272">
        <v>1</v>
      </c>
      <c r="B162" s="273" t="s">
        <v>11</v>
      </c>
      <c r="C162" s="274"/>
      <c r="D162" s="274">
        <v>23</v>
      </c>
      <c r="E162" s="274"/>
      <c r="F162" s="275"/>
      <c r="G162" s="274"/>
      <c r="H162" s="276">
        <v>45023346.9</v>
      </c>
      <c r="I162" s="277">
        <v>6331344</v>
      </c>
      <c r="J162" s="278">
        <f>H162/I162</f>
        <v>7.111183170587477</v>
      </c>
      <c r="K162" s="349"/>
      <c r="L162" s="342"/>
      <c r="M162" s="349"/>
      <c r="N162" s="342"/>
    </row>
    <row r="163" spans="1:14" s="112" customFormat="1" ht="15.75" thickBot="1">
      <c r="A163" s="279">
        <v>2</v>
      </c>
      <c r="B163" s="280" t="s">
        <v>12</v>
      </c>
      <c r="C163" s="281"/>
      <c r="D163" s="281">
        <v>131</v>
      </c>
      <c r="E163" s="281"/>
      <c r="F163" s="282"/>
      <c r="G163" s="281"/>
      <c r="H163" s="283">
        <f>H158-H162</f>
        <v>99831949.83999997</v>
      </c>
      <c r="I163" s="284">
        <f>I158-I162</f>
        <v>12401210</v>
      </c>
      <c r="J163" s="285">
        <f>H163/I163</f>
        <v>8.050178155196145</v>
      </c>
      <c r="K163" s="349"/>
      <c r="L163" s="342"/>
      <c r="M163" s="349"/>
      <c r="N163" s="342"/>
    </row>
    <row r="164" spans="1:14" s="113" customFormat="1" ht="15">
      <c r="A164" s="548"/>
      <c r="B164" s="549"/>
      <c r="C164" s="160"/>
      <c r="D164" s="160">
        <f>SUM(D162:D163)</f>
        <v>154</v>
      </c>
      <c r="E164" s="160"/>
      <c r="F164" s="161"/>
      <c r="G164" s="160"/>
      <c r="H164" s="162">
        <f>SUM(H162:H163)</f>
        <v>144855296.73999998</v>
      </c>
      <c r="I164" s="93">
        <f>SUM(I162:I163)</f>
        <v>18732554</v>
      </c>
      <c r="J164" s="164"/>
      <c r="K164" s="350"/>
      <c r="L164" s="343"/>
      <c r="M164" s="350"/>
      <c r="N164" s="343"/>
    </row>
    <row r="165" spans="1:14" s="114" customFormat="1" ht="15">
      <c r="A165" s="139">
        <v>1</v>
      </c>
      <c r="B165" s="106" t="s">
        <v>65</v>
      </c>
      <c r="C165" s="117"/>
      <c r="D165" s="99"/>
      <c r="E165" s="99"/>
      <c r="F165" s="101"/>
      <c r="G165" s="99"/>
      <c r="H165" s="119">
        <v>6875697.6</v>
      </c>
      <c r="I165" s="103">
        <v>1067879</v>
      </c>
      <c r="J165" s="137">
        <f>H165/I165</f>
        <v>6.438648573480703</v>
      </c>
      <c r="K165" s="349"/>
      <c r="L165" s="342"/>
      <c r="M165" s="432"/>
      <c r="N165" s="438"/>
    </row>
    <row r="166" spans="1:14" s="114" customFormat="1" ht="15">
      <c r="A166" s="139">
        <v>2</v>
      </c>
      <c r="B166" s="106" t="s">
        <v>66</v>
      </c>
      <c r="C166" s="117"/>
      <c r="D166" s="99"/>
      <c r="E166" s="99"/>
      <c r="F166" s="101"/>
      <c r="G166" s="99"/>
      <c r="H166" s="119">
        <v>3736400.8</v>
      </c>
      <c r="I166" s="103">
        <v>525019</v>
      </c>
      <c r="J166" s="137">
        <f>H166/I166</f>
        <v>7.116696348132162</v>
      </c>
      <c r="K166" s="349"/>
      <c r="L166" s="342"/>
      <c r="M166" s="432"/>
      <c r="N166" s="438"/>
    </row>
    <row r="167" spans="1:14" s="38" customFormat="1" ht="15">
      <c r="A167" s="140"/>
      <c r="B167" s="118"/>
      <c r="C167" s="115"/>
      <c r="D167" s="115" t="s">
        <v>567</v>
      </c>
      <c r="E167" s="115"/>
      <c r="F167" s="116"/>
      <c r="G167" s="115"/>
      <c r="H167" s="36">
        <f>SUM(H165:H166)</f>
        <v>10612098.399999999</v>
      </c>
      <c r="I167" s="79">
        <f>SUM(I165:I166)</f>
        <v>1592898</v>
      </c>
      <c r="J167" s="138"/>
      <c r="K167" s="351"/>
      <c r="L167" s="344"/>
      <c r="M167" s="351"/>
      <c r="N167" s="344"/>
    </row>
    <row r="168" spans="1:14" s="112" customFormat="1" ht="15.75" thickBot="1">
      <c r="A168" s="141"/>
      <c r="B168" s="142" t="s">
        <v>300</v>
      </c>
      <c r="C168" s="165"/>
      <c r="D168" s="142"/>
      <c r="E168" s="142"/>
      <c r="F168" s="142"/>
      <c r="G168" s="142"/>
      <c r="H168" s="143">
        <f>H164+H167</f>
        <v>155467395.14</v>
      </c>
      <c r="I168" s="144">
        <f>I164+I167</f>
        <v>20325452</v>
      </c>
      <c r="J168" s="145"/>
      <c r="K168" s="353"/>
      <c r="M168" s="349"/>
      <c r="N168" s="342"/>
    </row>
    <row r="169" spans="8:11" ht="15">
      <c r="H169" s="487"/>
      <c r="I169" s="488"/>
      <c r="K169" s="355"/>
    </row>
    <row r="170" spans="3:10" ht="12.75">
      <c r="C170" s="516" t="s">
        <v>13</v>
      </c>
      <c r="D170" s="516"/>
      <c r="E170" s="516"/>
      <c r="F170" s="516"/>
      <c r="G170" s="516"/>
      <c r="H170" s="516"/>
      <c r="I170" s="516"/>
      <c r="J170" s="516"/>
    </row>
    <row r="171" spans="3:11" ht="15">
      <c r="C171" s="516"/>
      <c r="D171" s="516"/>
      <c r="E171" s="516"/>
      <c r="F171" s="516"/>
      <c r="G171" s="516"/>
      <c r="H171" s="516"/>
      <c r="I171" s="516"/>
      <c r="J171" s="516"/>
      <c r="K171" s="354"/>
    </row>
    <row r="172" spans="3:11" ht="15">
      <c r="C172" s="516"/>
      <c r="D172" s="516"/>
      <c r="E172" s="516"/>
      <c r="F172" s="516"/>
      <c r="G172" s="516"/>
      <c r="H172" s="516"/>
      <c r="I172" s="516"/>
      <c r="J172" s="516"/>
      <c r="K172" s="356"/>
    </row>
    <row r="173" spans="3:10" ht="12.75">
      <c r="C173" s="516"/>
      <c r="D173" s="516"/>
      <c r="E173" s="516"/>
      <c r="F173" s="516"/>
      <c r="G173" s="516"/>
      <c r="H173" s="516"/>
      <c r="I173" s="516"/>
      <c r="J173" s="516"/>
    </row>
    <row r="174" spans="3:10" ht="12.75">
      <c r="C174" s="516"/>
      <c r="D174" s="516"/>
      <c r="E174" s="516"/>
      <c r="F174" s="516"/>
      <c r="G174" s="516"/>
      <c r="H174" s="516"/>
      <c r="I174" s="516"/>
      <c r="J174" s="516"/>
    </row>
    <row r="175" spans="3:10" ht="12.75">
      <c r="C175" s="516"/>
      <c r="D175" s="516"/>
      <c r="E175" s="516"/>
      <c r="F175" s="516"/>
      <c r="G175" s="516"/>
      <c r="H175" s="516"/>
      <c r="I175" s="516"/>
      <c r="J175" s="516"/>
    </row>
    <row r="176" spans="3:10" ht="12.75">
      <c r="C176" s="88"/>
      <c r="D176" s="75"/>
      <c r="E176" s="75"/>
      <c r="F176" s="75"/>
      <c r="G176" s="75"/>
      <c r="H176" s="489"/>
      <c r="I176" s="489"/>
      <c r="J176" s="75"/>
    </row>
    <row r="177" spans="3:10" ht="12.75">
      <c r="C177" s="544" t="s">
        <v>1</v>
      </c>
      <c r="D177" s="544"/>
      <c r="E177" s="544"/>
      <c r="F177" s="544"/>
      <c r="G177" s="544"/>
      <c r="H177" s="544"/>
      <c r="I177" s="544"/>
      <c r="J177" s="544"/>
    </row>
    <row r="178" spans="3:10" ht="12.75">
      <c r="C178" s="544"/>
      <c r="D178" s="544"/>
      <c r="E178" s="544"/>
      <c r="F178" s="544"/>
      <c r="G178" s="544"/>
      <c r="H178" s="544"/>
      <c r="I178" s="544"/>
      <c r="J178" s="544"/>
    </row>
    <row r="179" spans="3:10" ht="12.75">
      <c r="C179" s="544"/>
      <c r="D179" s="544"/>
      <c r="E179" s="544"/>
      <c r="F179" s="544"/>
      <c r="G179" s="544"/>
      <c r="H179" s="544"/>
      <c r="I179" s="544"/>
      <c r="J179" s="544"/>
    </row>
    <row r="180" spans="3:10" ht="12.75">
      <c r="C180" s="544"/>
      <c r="D180" s="544"/>
      <c r="E180" s="544"/>
      <c r="F180" s="544"/>
      <c r="G180" s="544"/>
      <c r="H180" s="544"/>
      <c r="I180" s="544"/>
      <c r="J180" s="544"/>
    </row>
    <row r="181" spans="3:10" ht="12.75">
      <c r="C181" s="544"/>
      <c r="D181" s="544"/>
      <c r="E181" s="544"/>
      <c r="F181" s="544"/>
      <c r="G181" s="544"/>
      <c r="H181" s="544"/>
      <c r="I181" s="544"/>
      <c r="J181" s="544"/>
    </row>
    <row r="182" spans="3:10" ht="12.75">
      <c r="C182" s="544"/>
      <c r="D182" s="544"/>
      <c r="E182" s="544"/>
      <c r="F182" s="544"/>
      <c r="G182" s="544"/>
      <c r="H182" s="544"/>
      <c r="I182" s="544"/>
      <c r="J182" s="544"/>
    </row>
    <row r="183" spans="3:10" ht="12.75">
      <c r="C183" s="544"/>
      <c r="D183" s="544"/>
      <c r="E183" s="544"/>
      <c r="F183" s="544"/>
      <c r="G183" s="544"/>
      <c r="H183" s="544"/>
      <c r="I183" s="544"/>
      <c r="J183" s="544"/>
    </row>
    <row r="185" spans="8:9" ht="12.75">
      <c r="H185" s="490"/>
      <c r="I185" s="491"/>
    </row>
    <row r="186" spans="8:9" ht="12.75">
      <c r="H186" s="490"/>
      <c r="I186" s="491"/>
    </row>
    <row r="187" spans="8:9" ht="12.75">
      <c r="H187" s="492"/>
      <c r="I187" s="493"/>
    </row>
    <row r="188" spans="8:9" ht="12.75">
      <c r="H188" s="492"/>
      <c r="I188" s="493"/>
    </row>
    <row r="189" spans="8:9" ht="12.75">
      <c r="H189" s="494"/>
      <c r="I189" s="495"/>
    </row>
    <row r="190" spans="8:9" ht="12.75">
      <c r="H190" s="494"/>
      <c r="I190" s="495"/>
    </row>
    <row r="191" spans="8:9" ht="12.75">
      <c r="H191" s="496"/>
      <c r="I191" s="497"/>
    </row>
    <row r="192" spans="8:9" ht="12.75">
      <c r="H192" s="496"/>
      <c r="I192" s="497"/>
    </row>
    <row r="193" spans="8:9" ht="12.75">
      <c r="H193" s="496"/>
      <c r="I193" s="497"/>
    </row>
    <row r="194" spans="8:9" ht="12.75">
      <c r="H194" s="496"/>
      <c r="I194" s="497"/>
    </row>
    <row r="195" spans="8:9" ht="12.75">
      <c r="H195" s="496"/>
      <c r="I195" s="497"/>
    </row>
    <row r="196" spans="8:9" ht="12.75">
      <c r="H196" s="496"/>
      <c r="I196" s="497"/>
    </row>
    <row r="197" spans="8:9" ht="12.75">
      <c r="H197" s="496"/>
      <c r="I197" s="497"/>
    </row>
    <row r="198" spans="8:9" ht="12.75">
      <c r="H198" s="496"/>
      <c r="I198" s="497"/>
    </row>
    <row r="199" spans="8:9" ht="12.75">
      <c r="H199" s="496"/>
      <c r="I199" s="497"/>
    </row>
    <row r="200" spans="8:9" ht="12.75">
      <c r="H200" s="496"/>
      <c r="I200" s="497"/>
    </row>
    <row r="201" spans="8:9" ht="12.75">
      <c r="H201" s="496"/>
      <c r="I201" s="497"/>
    </row>
    <row r="202" spans="8:9" ht="12.75">
      <c r="H202" s="496"/>
      <c r="I202" s="497"/>
    </row>
    <row r="203" spans="8:9" ht="12.75">
      <c r="H203" s="496"/>
      <c r="I203" s="497"/>
    </row>
  </sheetData>
  <sheetProtection/>
  <mergeCells count="20">
    <mergeCell ref="B160:B161"/>
    <mergeCell ref="C160:C161"/>
    <mergeCell ref="D160:D161"/>
    <mergeCell ref="F160:F161"/>
    <mergeCell ref="G2:G3"/>
    <mergeCell ref="H2:I2"/>
    <mergeCell ref="J2:J3"/>
    <mergeCell ref="G160:G161"/>
    <mergeCell ref="H160:I160"/>
    <mergeCell ref="J160:J161"/>
    <mergeCell ref="C170:J175"/>
    <mergeCell ref="C177:J183"/>
    <mergeCell ref="A1:J1"/>
    <mergeCell ref="A158:B158"/>
    <mergeCell ref="A164:B164"/>
    <mergeCell ref="B2:B3"/>
    <mergeCell ref="C2:C3"/>
    <mergeCell ref="D2:D3"/>
    <mergeCell ref="E2:E3"/>
    <mergeCell ref="F2:F3"/>
  </mergeCells>
  <printOptions/>
  <pageMargins left="0.87" right="0.58" top="0.18" bottom="0.57" header="0.11811023622047245" footer="0.5"/>
  <pageSetup orientation="portrait" paperSize="9" scale="50"/>
  <ignoredErrors>
    <ignoredError sqref="K100:K104 I7:I98 H86:H98 H7:H10 K105:K122 H100:I104 J100:J105" unlockedFormula="1"/>
    <ignoredError sqref="F11:G85 F105:G157 H146:I157" numberStoredAsText="1"/>
    <ignoredError sqref="H11:H85 H105:I145 J7:J98 K99 K7:K98 J106:J145" numberStoredAsText="1" unlockedFormula="1"/>
    <ignoredError sqref="J7:J98 K99 K7:K98 J106:J145" formula="1" unlockedFormula="1"/>
    <ignoredError sqref="J99 J146:J157" formula="1"/>
  </ignoredErrors>
</worksheet>
</file>

<file path=xl/worksheets/sheet3.xml><?xml version="1.0" encoding="utf-8"?>
<worksheet xmlns="http://schemas.openxmlformats.org/spreadsheetml/2006/main" xmlns:r="http://schemas.openxmlformats.org/officeDocument/2006/relationships">
  <dimension ref="A1:M713"/>
  <sheetViews>
    <sheetView zoomScale="50" zoomScaleNormal="50" zoomScalePageLayoutView="0" workbookViewId="0" topLeftCell="A1">
      <selection activeCell="B2" sqref="B2:B3"/>
    </sheetView>
  </sheetViews>
  <sheetFormatPr defaultColWidth="8.8515625" defaultRowHeight="12.75"/>
  <cols>
    <col min="1" max="1" width="3.8515625" style="0" customWidth="1"/>
    <col min="2" max="2" width="49.28125" style="0" bestFit="1" customWidth="1"/>
    <col min="3" max="3" width="15.57421875" style="311" bestFit="1" customWidth="1"/>
    <col min="4" max="4" width="13.8515625" style="0" bestFit="1" customWidth="1"/>
    <col min="5" max="5" width="20.7109375" style="0" bestFit="1" customWidth="1"/>
    <col min="6" max="6" width="16.140625" style="238" bestFit="1" customWidth="1"/>
    <col min="7" max="7" width="11.57421875" style="149" bestFit="1" customWidth="1"/>
    <col min="8" max="8" width="11.421875" style="0" bestFit="1" customWidth="1"/>
  </cols>
  <sheetData>
    <row r="1" spans="1:7" ht="33.75" thickBot="1">
      <c r="A1" s="560" t="s">
        <v>551</v>
      </c>
      <c r="B1" s="561"/>
      <c r="C1" s="561"/>
      <c r="D1" s="561"/>
      <c r="E1" s="561"/>
      <c r="F1" s="561"/>
      <c r="G1" s="561"/>
    </row>
    <row r="2" spans="1:7" ht="14.25">
      <c r="A2" s="81"/>
      <c r="B2" s="562" t="s">
        <v>70</v>
      </c>
      <c r="C2" s="562" t="s">
        <v>53</v>
      </c>
      <c r="D2" s="562" t="s">
        <v>170</v>
      </c>
      <c r="E2" s="562" t="s">
        <v>169</v>
      </c>
      <c r="F2" s="535" t="s">
        <v>122</v>
      </c>
      <c r="G2" s="564"/>
    </row>
    <row r="3" spans="1:7" ht="15" thickBot="1">
      <c r="A3" s="82"/>
      <c r="B3" s="563"/>
      <c r="C3" s="563"/>
      <c r="D3" s="563"/>
      <c r="E3" s="563"/>
      <c r="F3" s="250" t="s">
        <v>56</v>
      </c>
      <c r="G3" s="251" t="s">
        <v>205</v>
      </c>
    </row>
    <row r="4" spans="1:7" ht="15">
      <c r="A4" s="383">
        <v>1</v>
      </c>
      <c r="B4" s="320" t="s">
        <v>568</v>
      </c>
      <c r="C4" s="158">
        <v>38996</v>
      </c>
      <c r="D4" s="321" t="s">
        <v>5</v>
      </c>
      <c r="E4" s="322" t="s">
        <v>103</v>
      </c>
      <c r="F4" s="224">
        <v>1664</v>
      </c>
      <c r="G4" s="167">
        <v>416</v>
      </c>
    </row>
    <row r="5" spans="1:7" ht="15">
      <c r="A5" s="384">
        <v>2</v>
      </c>
      <c r="B5" s="302" t="s">
        <v>568</v>
      </c>
      <c r="C5" s="98">
        <v>38996</v>
      </c>
      <c r="D5" s="152" t="s">
        <v>5</v>
      </c>
      <c r="E5" s="152" t="s">
        <v>103</v>
      </c>
      <c r="F5" s="221">
        <v>1188</v>
      </c>
      <c r="G5" s="169">
        <v>297</v>
      </c>
    </row>
    <row r="6" spans="1:7" ht="15">
      <c r="A6" s="384">
        <v>3</v>
      </c>
      <c r="B6" s="302" t="s">
        <v>568</v>
      </c>
      <c r="C6" s="98">
        <v>38996</v>
      </c>
      <c r="D6" s="110" t="s">
        <v>5</v>
      </c>
      <c r="E6" s="109" t="s">
        <v>103</v>
      </c>
      <c r="F6" s="221">
        <v>247</v>
      </c>
      <c r="G6" s="169">
        <v>45</v>
      </c>
    </row>
    <row r="7" spans="1:7" ht="15">
      <c r="A7" s="384">
        <v>4</v>
      </c>
      <c r="B7" s="302" t="s">
        <v>568</v>
      </c>
      <c r="C7" s="98">
        <v>38996</v>
      </c>
      <c r="D7" s="110" t="s">
        <v>5</v>
      </c>
      <c r="E7" s="109" t="s">
        <v>103</v>
      </c>
      <c r="F7" s="225">
        <v>170</v>
      </c>
      <c r="G7" s="169">
        <v>34</v>
      </c>
    </row>
    <row r="8" spans="1:7" ht="15">
      <c r="A8" s="384">
        <v>5</v>
      </c>
      <c r="B8" s="302" t="s">
        <v>568</v>
      </c>
      <c r="C8" s="98">
        <v>38996</v>
      </c>
      <c r="D8" s="110" t="s">
        <v>5</v>
      </c>
      <c r="E8" s="109" t="s">
        <v>103</v>
      </c>
      <c r="F8" s="221">
        <v>104</v>
      </c>
      <c r="G8" s="169">
        <v>40</v>
      </c>
    </row>
    <row r="9" spans="1:7" ht="15">
      <c r="A9" s="384">
        <v>6</v>
      </c>
      <c r="B9" s="302" t="s">
        <v>568</v>
      </c>
      <c r="C9" s="98">
        <v>38996</v>
      </c>
      <c r="D9" s="110" t="s">
        <v>5</v>
      </c>
      <c r="E9" s="109" t="s">
        <v>103</v>
      </c>
      <c r="F9" s="221">
        <v>34</v>
      </c>
      <c r="G9" s="169">
        <v>6</v>
      </c>
    </row>
    <row r="10" spans="1:7" ht="15">
      <c r="A10" s="384">
        <v>7</v>
      </c>
      <c r="B10" s="302" t="s">
        <v>544</v>
      </c>
      <c r="C10" s="98">
        <v>38793</v>
      </c>
      <c r="D10" s="152" t="s">
        <v>174</v>
      </c>
      <c r="E10" s="152" t="s">
        <v>545</v>
      </c>
      <c r="F10" s="221">
        <v>1007</v>
      </c>
      <c r="G10" s="169">
        <v>252</v>
      </c>
    </row>
    <row r="11" spans="1:7" ht="15">
      <c r="A11" s="384">
        <v>8</v>
      </c>
      <c r="B11" s="217" t="s">
        <v>385</v>
      </c>
      <c r="C11" s="97">
        <v>38989</v>
      </c>
      <c r="D11" s="105" t="s">
        <v>172</v>
      </c>
      <c r="E11" s="104" t="s">
        <v>386</v>
      </c>
      <c r="F11" s="231">
        <v>10500</v>
      </c>
      <c r="G11" s="172">
        <v>3500</v>
      </c>
    </row>
    <row r="12" spans="1:7" ht="15">
      <c r="A12" s="384">
        <v>9</v>
      </c>
      <c r="B12" s="219" t="s">
        <v>387</v>
      </c>
      <c r="C12" s="98">
        <v>38912</v>
      </c>
      <c r="D12" s="110" t="s">
        <v>5</v>
      </c>
      <c r="E12" s="109" t="s">
        <v>118</v>
      </c>
      <c r="F12" s="221">
        <v>504</v>
      </c>
      <c r="G12" s="169">
        <v>126</v>
      </c>
    </row>
    <row r="13" spans="1:7" ht="15">
      <c r="A13" s="384">
        <v>10</v>
      </c>
      <c r="B13" s="219" t="s">
        <v>387</v>
      </c>
      <c r="C13" s="98">
        <v>38912</v>
      </c>
      <c r="D13" s="110" t="s">
        <v>5</v>
      </c>
      <c r="E13" s="109" t="s">
        <v>118</v>
      </c>
      <c r="F13" s="221">
        <v>504</v>
      </c>
      <c r="G13" s="169">
        <v>126</v>
      </c>
    </row>
    <row r="14" spans="1:7" ht="15">
      <c r="A14" s="384">
        <v>11</v>
      </c>
      <c r="B14" s="124" t="s">
        <v>277</v>
      </c>
      <c r="C14" s="98">
        <v>38982</v>
      </c>
      <c r="D14" s="252" t="s">
        <v>182</v>
      </c>
      <c r="E14" s="252" t="s">
        <v>182</v>
      </c>
      <c r="F14" s="221">
        <v>405</v>
      </c>
      <c r="G14" s="169">
        <v>81</v>
      </c>
    </row>
    <row r="15" spans="1:7" ht="15">
      <c r="A15" s="384">
        <v>12</v>
      </c>
      <c r="B15" s="302" t="s">
        <v>277</v>
      </c>
      <c r="C15" s="98">
        <v>38982</v>
      </c>
      <c r="D15" s="152" t="s">
        <v>182</v>
      </c>
      <c r="E15" s="152" t="s">
        <v>182</v>
      </c>
      <c r="F15" s="221">
        <v>221</v>
      </c>
      <c r="G15" s="169">
        <v>60</v>
      </c>
    </row>
    <row r="16" spans="1:7" ht="15">
      <c r="A16" s="384">
        <v>13</v>
      </c>
      <c r="B16" s="219" t="s">
        <v>6</v>
      </c>
      <c r="C16" s="98">
        <v>38849</v>
      </c>
      <c r="D16" s="110" t="s">
        <v>5</v>
      </c>
      <c r="E16" s="109" t="s">
        <v>7</v>
      </c>
      <c r="F16" s="221">
        <v>2852</v>
      </c>
      <c r="G16" s="169">
        <v>713</v>
      </c>
    </row>
    <row r="17" spans="1:7" ht="15">
      <c r="A17" s="384">
        <v>14</v>
      </c>
      <c r="B17" s="219" t="s">
        <v>6</v>
      </c>
      <c r="C17" s="98">
        <v>38849</v>
      </c>
      <c r="D17" s="110" t="s">
        <v>5</v>
      </c>
      <c r="E17" s="109" t="s">
        <v>7</v>
      </c>
      <c r="F17" s="221">
        <v>1664</v>
      </c>
      <c r="G17" s="169">
        <v>416</v>
      </c>
    </row>
    <row r="18" spans="1:7" ht="15">
      <c r="A18" s="384">
        <v>15</v>
      </c>
      <c r="B18" s="219" t="s">
        <v>6</v>
      </c>
      <c r="C18" s="98">
        <v>38849</v>
      </c>
      <c r="D18" s="110" t="s">
        <v>5</v>
      </c>
      <c r="E18" s="109" t="s">
        <v>7</v>
      </c>
      <c r="F18" s="221">
        <v>832</v>
      </c>
      <c r="G18" s="169">
        <v>208</v>
      </c>
    </row>
    <row r="19" spans="1:7" ht="15">
      <c r="A19" s="384">
        <v>16</v>
      </c>
      <c r="B19" s="125" t="s">
        <v>6</v>
      </c>
      <c r="C19" s="98">
        <v>38849</v>
      </c>
      <c r="D19" s="246" t="s">
        <v>5</v>
      </c>
      <c r="E19" s="247" t="s">
        <v>7</v>
      </c>
      <c r="F19" s="225">
        <v>75.5</v>
      </c>
      <c r="G19" s="134">
        <v>29</v>
      </c>
    </row>
    <row r="20" spans="1:7" ht="15">
      <c r="A20" s="384">
        <v>17</v>
      </c>
      <c r="B20" s="156" t="s">
        <v>6</v>
      </c>
      <c r="C20" s="98">
        <v>38849</v>
      </c>
      <c r="D20" s="152" t="s">
        <v>5</v>
      </c>
      <c r="E20" s="152" t="s">
        <v>7</v>
      </c>
      <c r="F20" s="221">
        <v>36</v>
      </c>
      <c r="G20" s="169">
        <v>7</v>
      </c>
    </row>
    <row r="21" spans="1:7" ht="15">
      <c r="A21" s="384">
        <v>18</v>
      </c>
      <c r="B21" s="125" t="s">
        <v>6</v>
      </c>
      <c r="C21" s="98">
        <v>38849</v>
      </c>
      <c r="D21" s="110" t="s">
        <v>5</v>
      </c>
      <c r="E21" s="109" t="s">
        <v>7</v>
      </c>
      <c r="F21" s="225">
        <v>27</v>
      </c>
      <c r="G21" s="134">
        <v>5</v>
      </c>
    </row>
    <row r="22" spans="1:7" ht="15">
      <c r="A22" s="384">
        <v>19</v>
      </c>
      <c r="B22" s="220" t="s">
        <v>136</v>
      </c>
      <c r="C22" s="97">
        <v>38743</v>
      </c>
      <c r="D22" s="107" t="s">
        <v>27</v>
      </c>
      <c r="E22" s="107" t="s">
        <v>137</v>
      </c>
      <c r="F22" s="222">
        <v>297</v>
      </c>
      <c r="G22" s="168">
        <v>99</v>
      </c>
    </row>
    <row r="23" spans="1:7" ht="15">
      <c r="A23" s="384">
        <v>20</v>
      </c>
      <c r="B23" s="220" t="s">
        <v>136</v>
      </c>
      <c r="C23" s="97">
        <v>38743</v>
      </c>
      <c r="D23" s="107" t="s">
        <v>27</v>
      </c>
      <c r="E23" s="107" t="s">
        <v>137</v>
      </c>
      <c r="F23" s="222">
        <v>225</v>
      </c>
      <c r="G23" s="168">
        <v>75</v>
      </c>
    </row>
    <row r="24" spans="1:7" ht="15">
      <c r="A24" s="384">
        <v>21</v>
      </c>
      <c r="B24" s="122" t="s">
        <v>50</v>
      </c>
      <c r="C24" s="97">
        <v>38968</v>
      </c>
      <c r="D24" s="105" t="s">
        <v>172</v>
      </c>
      <c r="E24" s="104" t="s">
        <v>80</v>
      </c>
      <c r="F24" s="222">
        <v>1950</v>
      </c>
      <c r="G24" s="168">
        <v>531</v>
      </c>
    </row>
    <row r="25" spans="1:7" ht="15">
      <c r="A25" s="384">
        <v>22</v>
      </c>
      <c r="B25" s="217" t="s">
        <v>50</v>
      </c>
      <c r="C25" s="97">
        <v>38968</v>
      </c>
      <c r="D25" s="105" t="s">
        <v>172</v>
      </c>
      <c r="E25" s="104" t="s">
        <v>80</v>
      </c>
      <c r="F25" s="222">
        <v>1946</v>
      </c>
      <c r="G25" s="168">
        <v>529</v>
      </c>
    </row>
    <row r="26" spans="1:13" ht="15">
      <c r="A26" s="384">
        <v>23</v>
      </c>
      <c r="B26" s="122" t="s">
        <v>50</v>
      </c>
      <c r="C26" s="97">
        <v>38968</v>
      </c>
      <c r="D26" s="105" t="s">
        <v>172</v>
      </c>
      <c r="E26" s="104" t="s">
        <v>80</v>
      </c>
      <c r="F26" s="226">
        <v>1728</v>
      </c>
      <c r="G26" s="131">
        <v>313</v>
      </c>
      <c r="M26" s="509"/>
    </row>
    <row r="27" spans="1:7" ht="15">
      <c r="A27" s="384">
        <v>24</v>
      </c>
      <c r="B27" s="155" t="s">
        <v>50</v>
      </c>
      <c r="C27" s="97">
        <v>38968</v>
      </c>
      <c r="D27" s="153" t="s">
        <v>172</v>
      </c>
      <c r="E27" s="153" t="s">
        <v>80</v>
      </c>
      <c r="F27" s="222">
        <v>1727</v>
      </c>
      <c r="G27" s="168">
        <v>487</v>
      </c>
    </row>
    <row r="28" spans="1:7" ht="15">
      <c r="A28" s="384">
        <v>25</v>
      </c>
      <c r="B28" s="122" t="s">
        <v>50</v>
      </c>
      <c r="C28" s="97">
        <v>38968</v>
      </c>
      <c r="D28" s="105" t="s">
        <v>172</v>
      </c>
      <c r="E28" s="104" t="s">
        <v>80</v>
      </c>
      <c r="F28" s="222">
        <v>1662</v>
      </c>
      <c r="G28" s="168">
        <v>474</v>
      </c>
    </row>
    <row r="29" spans="1:7" ht="15">
      <c r="A29" s="384">
        <v>26</v>
      </c>
      <c r="B29" s="125" t="s">
        <v>4</v>
      </c>
      <c r="C29" s="98">
        <v>38996</v>
      </c>
      <c r="D29" s="110" t="s">
        <v>5</v>
      </c>
      <c r="E29" s="109" t="s">
        <v>39</v>
      </c>
      <c r="F29" s="225">
        <v>209.6</v>
      </c>
      <c r="G29" s="134">
        <v>131</v>
      </c>
    </row>
    <row r="30" spans="1:7" ht="15">
      <c r="A30" s="384">
        <v>27</v>
      </c>
      <c r="B30" s="217" t="s">
        <v>486</v>
      </c>
      <c r="C30" s="97">
        <v>38996</v>
      </c>
      <c r="D30" s="108" t="s">
        <v>180</v>
      </c>
      <c r="E30" s="104" t="s">
        <v>9</v>
      </c>
      <c r="F30" s="222">
        <v>166</v>
      </c>
      <c r="G30" s="168">
        <v>14</v>
      </c>
    </row>
    <row r="31" spans="1:7" ht="15">
      <c r="A31" s="384">
        <v>28</v>
      </c>
      <c r="B31" s="123" t="s">
        <v>62</v>
      </c>
      <c r="C31" s="126">
        <v>39073</v>
      </c>
      <c r="D31" s="121" t="s">
        <v>182</v>
      </c>
      <c r="E31" s="121" t="s">
        <v>182</v>
      </c>
      <c r="F31" s="227">
        <v>155630</v>
      </c>
      <c r="G31" s="132">
        <v>18932</v>
      </c>
    </row>
    <row r="32" spans="1:7" ht="15">
      <c r="A32" s="384">
        <v>29</v>
      </c>
      <c r="B32" s="156" t="s">
        <v>62</v>
      </c>
      <c r="C32" s="98">
        <v>39073</v>
      </c>
      <c r="D32" s="152" t="s">
        <v>182</v>
      </c>
      <c r="E32" s="152" t="s">
        <v>182</v>
      </c>
      <c r="F32" s="221">
        <v>55982</v>
      </c>
      <c r="G32" s="169">
        <v>7628</v>
      </c>
    </row>
    <row r="33" spans="1:7" ht="15">
      <c r="A33" s="384">
        <v>30</v>
      </c>
      <c r="B33" s="124" t="s">
        <v>62</v>
      </c>
      <c r="C33" s="98">
        <v>39073</v>
      </c>
      <c r="D33" s="121" t="s">
        <v>182</v>
      </c>
      <c r="E33" s="152" t="s">
        <v>182</v>
      </c>
      <c r="F33" s="221">
        <v>15271</v>
      </c>
      <c r="G33" s="169">
        <v>2641</v>
      </c>
    </row>
    <row r="34" spans="1:7" ht="15">
      <c r="A34" s="384">
        <v>31</v>
      </c>
      <c r="B34" s="218" t="s">
        <v>62</v>
      </c>
      <c r="C34" s="98">
        <v>39073</v>
      </c>
      <c r="D34" s="106" t="s">
        <v>174</v>
      </c>
      <c r="E34" s="106" t="s">
        <v>182</v>
      </c>
      <c r="F34" s="225">
        <v>11300.5</v>
      </c>
      <c r="G34" s="169">
        <v>2010</v>
      </c>
    </row>
    <row r="35" spans="1:7" ht="15">
      <c r="A35" s="384">
        <v>32</v>
      </c>
      <c r="B35" s="124" t="s">
        <v>62</v>
      </c>
      <c r="C35" s="98">
        <v>39073</v>
      </c>
      <c r="D35" s="106" t="s">
        <v>182</v>
      </c>
      <c r="E35" s="106" t="s">
        <v>182</v>
      </c>
      <c r="F35" s="221">
        <v>9440</v>
      </c>
      <c r="G35" s="169">
        <v>1724</v>
      </c>
    </row>
    <row r="36" spans="1:7" ht="15">
      <c r="A36" s="384">
        <v>33</v>
      </c>
      <c r="B36" s="218" t="s">
        <v>62</v>
      </c>
      <c r="C36" s="98">
        <v>39073</v>
      </c>
      <c r="D36" s="106" t="s">
        <v>182</v>
      </c>
      <c r="E36" s="106" t="s">
        <v>182</v>
      </c>
      <c r="F36" s="221">
        <v>7453.5</v>
      </c>
      <c r="G36" s="169">
        <v>1317</v>
      </c>
    </row>
    <row r="37" spans="1:7" ht="15">
      <c r="A37" s="384">
        <v>34</v>
      </c>
      <c r="B37" s="123" t="s">
        <v>62</v>
      </c>
      <c r="C37" s="126">
        <v>39073</v>
      </c>
      <c r="D37" s="244" t="s">
        <v>182</v>
      </c>
      <c r="E37" s="243" t="s">
        <v>182</v>
      </c>
      <c r="F37" s="227">
        <v>7141.5</v>
      </c>
      <c r="G37" s="132">
        <v>1184</v>
      </c>
    </row>
    <row r="38" spans="1:7" ht="15">
      <c r="A38" s="384">
        <v>35</v>
      </c>
      <c r="B38" s="218" t="s">
        <v>62</v>
      </c>
      <c r="C38" s="98">
        <v>39073</v>
      </c>
      <c r="D38" s="106" t="s">
        <v>174</v>
      </c>
      <c r="E38" s="106" t="s">
        <v>182</v>
      </c>
      <c r="F38" s="225">
        <v>4621</v>
      </c>
      <c r="G38" s="134">
        <v>1001</v>
      </c>
    </row>
    <row r="39" spans="1:7" ht="15">
      <c r="A39" s="384">
        <v>36</v>
      </c>
      <c r="B39" s="253" t="s">
        <v>62</v>
      </c>
      <c r="C39" s="126">
        <v>39073</v>
      </c>
      <c r="D39" s="244" t="s">
        <v>182</v>
      </c>
      <c r="E39" s="244" t="s">
        <v>182</v>
      </c>
      <c r="F39" s="227">
        <v>2945</v>
      </c>
      <c r="G39" s="132">
        <v>655</v>
      </c>
    </row>
    <row r="40" spans="1:7" ht="15">
      <c r="A40" s="384">
        <v>37</v>
      </c>
      <c r="B40" s="124" t="s">
        <v>62</v>
      </c>
      <c r="C40" s="98">
        <v>39073</v>
      </c>
      <c r="D40" s="252" t="s">
        <v>174</v>
      </c>
      <c r="E40" s="252" t="s">
        <v>182</v>
      </c>
      <c r="F40" s="221">
        <v>2772.5</v>
      </c>
      <c r="G40" s="169">
        <v>553</v>
      </c>
    </row>
    <row r="41" spans="1:7" ht="15">
      <c r="A41" s="384">
        <v>38</v>
      </c>
      <c r="B41" s="218" t="s">
        <v>62</v>
      </c>
      <c r="C41" s="98">
        <v>39073</v>
      </c>
      <c r="D41" s="106" t="s">
        <v>174</v>
      </c>
      <c r="E41" s="106" t="s">
        <v>182</v>
      </c>
      <c r="F41" s="221">
        <v>431</v>
      </c>
      <c r="G41" s="169">
        <v>131</v>
      </c>
    </row>
    <row r="42" spans="1:7" ht="15">
      <c r="A42" s="384">
        <v>39</v>
      </c>
      <c r="B42" s="218" t="s">
        <v>62</v>
      </c>
      <c r="C42" s="98">
        <v>39073</v>
      </c>
      <c r="D42" s="106" t="s">
        <v>182</v>
      </c>
      <c r="E42" s="106" t="s">
        <v>182</v>
      </c>
      <c r="F42" s="221">
        <v>226</v>
      </c>
      <c r="G42" s="169">
        <v>24</v>
      </c>
    </row>
    <row r="43" spans="1:7" ht="15">
      <c r="A43" s="384">
        <v>40</v>
      </c>
      <c r="B43" s="218" t="s">
        <v>62</v>
      </c>
      <c r="C43" s="98">
        <v>39073</v>
      </c>
      <c r="D43" s="106" t="s">
        <v>81</v>
      </c>
      <c r="E43" s="106" t="s">
        <v>182</v>
      </c>
      <c r="F43" s="221">
        <v>30</v>
      </c>
      <c r="G43" s="169">
        <v>5</v>
      </c>
    </row>
    <row r="44" spans="1:7" ht="15">
      <c r="A44" s="384">
        <v>41</v>
      </c>
      <c r="B44" s="218" t="s">
        <v>482</v>
      </c>
      <c r="C44" s="98">
        <v>39073</v>
      </c>
      <c r="D44" s="106" t="s">
        <v>182</v>
      </c>
      <c r="E44" s="106" t="s">
        <v>182</v>
      </c>
      <c r="F44" s="221">
        <v>400</v>
      </c>
      <c r="G44" s="169">
        <v>110</v>
      </c>
    </row>
    <row r="45" spans="1:7" ht="15">
      <c r="A45" s="384">
        <v>42</v>
      </c>
      <c r="B45" s="218" t="s">
        <v>482</v>
      </c>
      <c r="C45" s="98">
        <v>39073</v>
      </c>
      <c r="D45" s="106" t="s">
        <v>182</v>
      </c>
      <c r="E45" s="106" t="s">
        <v>182</v>
      </c>
      <c r="F45" s="221">
        <v>118</v>
      </c>
      <c r="G45" s="169">
        <v>22</v>
      </c>
    </row>
    <row r="46" spans="1:7" ht="15">
      <c r="A46" s="384">
        <v>43</v>
      </c>
      <c r="B46" s="219" t="s">
        <v>236</v>
      </c>
      <c r="C46" s="98">
        <v>38170</v>
      </c>
      <c r="D46" s="287" t="s">
        <v>5</v>
      </c>
      <c r="E46" s="287" t="s">
        <v>113</v>
      </c>
      <c r="F46" s="221">
        <v>476</v>
      </c>
      <c r="G46" s="169">
        <v>119</v>
      </c>
    </row>
    <row r="47" spans="1:7" ht="15">
      <c r="A47" s="384">
        <v>44</v>
      </c>
      <c r="B47" s="218" t="s">
        <v>384</v>
      </c>
      <c r="C47" s="98">
        <v>38674</v>
      </c>
      <c r="D47" s="106" t="s">
        <v>174</v>
      </c>
      <c r="E47" s="106" t="s">
        <v>450</v>
      </c>
      <c r="F47" s="221">
        <v>1782</v>
      </c>
      <c r="G47" s="169">
        <v>357</v>
      </c>
    </row>
    <row r="48" spans="1:7" ht="15">
      <c r="A48" s="384">
        <v>45</v>
      </c>
      <c r="B48" s="218" t="s">
        <v>384</v>
      </c>
      <c r="C48" s="98">
        <v>38674</v>
      </c>
      <c r="D48" s="106" t="s">
        <v>174</v>
      </c>
      <c r="E48" s="106" t="s">
        <v>450</v>
      </c>
      <c r="F48" s="221">
        <v>1188</v>
      </c>
      <c r="G48" s="169">
        <v>297</v>
      </c>
    </row>
    <row r="49" spans="1:7" ht="15">
      <c r="A49" s="384">
        <v>46</v>
      </c>
      <c r="B49" s="218" t="s">
        <v>159</v>
      </c>
      <c r="C49" s="98">
        <v>38674</v>
      </c>
      <c r="D49" s="106" t="s">
        <v>174</v>
      </c>
      <c r="E49" s="106" t="s">
        <v>450</v>
      </c>
      <c r="F49" s="221">
        <v>5035</v>
      </c>
      <c r="G49" s="169">
        <v>1007</v>
      </c>
    </row>
    <row r="50" spans="1:7" ht="15">
      <c r="A50" s="384">
        <v>47</v>
      </c>
      <c r="B50" s="302" t="s">
        <v>159</v>
      </c>
      <c r="C50" s="98">
        <v>38674</v>
      </c>
      <c r="D50" s="152" t="s">
        <v>174</v>
      </c>
      <c r="E50" s="152" t="s">
        <v>450</v>
      </c>
      <c r="F50" s="221">
        <v>4027.5</v>
      </c>
      <c r="G50" s="169">
        <v>806</v>
      </c>
    </row>
    <row r="51" spans="1:7" ht="15">
      <c r="A51" s="384">
        <v>48</v>
      </c>
      <c r="B51" s="302" t="s">
        <v>159</v>
      </c>
      <c r="C51" s="98">
        <v>38674</v>
      </c>
      <c r="D51" s="152" t="s">
        <v>174</v>
      </c>
      <c r="E51" s="152" t="s">
        <v>450</v>
      </c>
      <c r="F51" s="221">
        <v>3565</v>
      </c>
      <c r="G51" s="169">
        <v>891</v>
      </c>
    </row>
    <row r="52" spans="1:7" ht="15">
      <c r="A52" s="384">
        <v>49</v>
      </c>
      <c r="B52" s="302" t="s">
        <v>159</v>
      </c>
      <c r="C52" s="98">
        <v>38674</v>
      </c>
      <c r="D52" s="152" t="s">
        <v>174</v>
      </c>
      <c r="E52" s="152" t="s">
        <v>450</v>
      </c>
      <c r="F52" s="442">
        <v>3564</v>
      </c>
      <c r="G52" s="512">
        <v>891</v>
      </c>
    </row>
    <row r="53" spans="1:7" ht="15">
      <c r="A53" s="384">
        <v>50</v>
      </c>
      <c r="B53" s="218" t="s">
        <v>159</v>
      </c>
      <c r="C53" s="98">
        <v>38674</v>
      </c>
      <c r="D53" s="106" t="s">
        <v>174</v>
      </c>
      <c r="E53" s="106" t="s">
        <v>160</v>
      </c>
      <c r="F53" s="221">
        <v>2013.5</v>
      </c>
      <c r="G53" s="169">
        <v>503</v>
      </c>
    </row>
    <row r="54" spans="1:7" ht="15">
      <c r="A54" s="384">
        <v>51</v>
      </c>
      <c r="B54" s="124" t="s">
        <v>159</v>
      </c>
      <c r="C54" s="98">
        <v>38674</v>
      </c>
      <c r="D54" s="252" t="s">
        <v>174</v>
      </c>
      <c r="E54" s="252" t="s">
        <v>160</v>
      </c>
      <c r="F54" s="221">
        <v>493</v>
      </c>
      <c r="G54" s="169">
        <v>96</v>
      </c>
    </row>
    <row r="55" spans="1:7" ht="15">
      <c r="A55" s="384">
        <v>52</v>
      </c>
      <c r="B55" s="124" t="s">
        <v>17</v>
      </c>
      <c r="C55" s="126">
        <v>39031</v>
      </c>
      <c r="D55" s="244" t="s">
        <v>173</v>
      </c>
      <c r="E55" s="244" t="s">
        <v>187</v>
      </c>
      <c r="F55" s="227">
        <v>175616</v>
      </c>
      <c r="G55" s="132">
        <v>19998</v>
      </c>
    </row>
    <row r="56" spans="1:7" ht="15">
      <c r="A56" s="384">
        <v>53</v>
      </c>
      <c r="B56" s="218" t="s">
        <v>17</v>
      </c>
      <c r="C56" s="98">
        <v>39031</v>
      </c>
      <c r="D56" s="106" t="s">
        <v>173</v>
      </c>
      <c r="E56" s="106" t="s">
        <v>187</v>
      </c>
      <c r="F56" s="221">
        <v>20934</v>
      </c>
      <c r="G56" s="169">
        <v>2628</v>
      </c>
    </row>
    <row r="57" spans="1:7" ht="15">
      <c r="A57" s="384">
        <v>54</v>
      </c>
      <c r="B57" s="124" t="s">
        <v>17</v>
      </c>
      <c r="C57" s="126">
        <v>39031</v>
      </c>
      <c r="D57" s="244" t="s">
        <v>173</v>
      </c>
      <c r="E57" s="244" t="s">
        <v>187</v>
      </c>
      <c r="F57" s="227">
        <v>2926</v>
      </c>
      <c r="G57" s="132">
        <v>966</v>
      </c>
    </row>
    <row r="58" spans="1:7" ht="15">
      <c r="A58" s="384">
        <v>55</v>
      </c>
      <c r="B58" s="218" t="s">
        <v>17</v>
      </c>
      <c r="C58" s="98">
        <v>39031</v>
      </c>
      <c r="D58" s="106" t="s">
        <v>173</v>
      </c>
      <c r="E58" s="106" t="s">
        <v>187</v>
      </c>
      <c r="F58" s="221">
        <v>2709</v>
      </c>
      <c r="G58" s="169">
        <v>376</v>
      </c>
    </row>
    <row r="59" spans="1:7" ht="15">
      <c r="A59" s="384">
        <v>56</v>
      </c>
      <c r="B59" s="218" t="s">
        <v>17</v>
      </c>
      <c r="C59" s="98">
        <v>39031</v>
      </c>
      <c r="D59" s="106" t="s">
        <v>173</v>
      </c>
      <c r="E59" s="106" t="s">
        <v>187</v>
      </c>
      <c r="F59" s="227">
        <v>2367</v>
      </c>
      <c r="G59" s="132">
        <v>702</v>
      </c>
    </row>
    <row r="60" spans="1:7" ht="15">
      <c r="A60" s="384">
        <v>57</v>
      </c>
      <c r="B60" s="123" t="s">
        <v>17</v>
      </c>
      <c r="C60" s="126">
        <v>39031</v>
      </c>
      <c r="D60" s="106" t="s">
        <v>173</v>
      </c>
      <c r="E60" s="121" t="s">
        <v>187</v>
      </c>
      <c r="F60" s="227">
        <v>2330</v>
      </c>
      <c r="G60" s="132">
        <v>725</v>
      </c>
    </row>
    <row r="61" spans="1:7" ht="15">
      <c r="A61" s="384">
        <v>58</v>
      </c>
      <c r="B61" s="218" t="s">
        <v>17</v>
      </c>
      <c r="C61" s="98">
        <v>39031</v>
      </c>
      <c r="D61" s="106" t="s">
        <v>173</v>
      </c>
      <c r="E61" s="106" t="s">
        <v>187</v>
      </c>
      <c r="F61" s="221">
        <v>1427</v>
      </c>
      <c r="G61" s="169">
        <v>281</v>
      </c>
    </row>
    <row r="62" spans="1:7" ht="15">
      <c r="A62" s="384">
        <v>59</v>
      </c>
      <c r="B62" s="124" t="s">
        <v>17</v>
      </c>
      <c r="C62" s="98">
        <v>39031</v>
      </c>
      <c r="D62" s="106" t="s">
        <v>173</v>
      </c>
      <c r="E62" s="106" t="s">
        <v>187</v>
      </c>
      <c r="F62" s="221">
        <v>1155</v>
      </c>
      <c r="G62" s="169">
        <v>350</v>
      </c>
    </row>
    <row r="63" spans="1:7" ht="15">
      <c r="A63" s="384">
        <v>60</v>
      </c>
      <c r="B63" s="156" t="s">
        <v>17</v>
      </c>
      <c r="C63" s="98">
        <v>39031</v>
      </c>
      <c r="D63" s="152" t="s">
        <v>173</v>
      </c>
      <c r="E63" s="152" t="s">
        <v>187</v>
      </c>
      <c r="F63" s="221">
        <v>1155</v>
      </c>
      <c r="G63" s="169">
        <v>350</v>
      </c>
    </row>
    <row r="64" spans="1:7" ht="15">
      <c r="A64" s="384">
        <v>61</v>
      </c>
      <c r="B64" s="302" t="s">
        <v>17</v>
      </c>
      <c r="C64" s="98">
        <v>39031</v>
      </c>
      <c r="D64" s="152" t="s">
        <v>173</v>
      </c>
      <c r="E64" s="152" t="s">
        <v>187</v>
      </c>
      <c r="F64" s="221">
        <v>740</v>
      </c>
      <c r="G64" s="169">
        <v>282</v>
      </c>
    </row>
    <row r="65" spans="1:7" ht="15">
      <c r="A65" s="384">
        <v>62</v>
      </c>
      <c r="B65" s="218" t="s">
        <v>17</v>
      </c>
      <c r="C65" s="98">
        <v>39031</v>
      </c>
      <c r="D65" s="106" t="s">
        <v>173</v>
      </c>
      <c r="E65" s="106" t="s">
        <v>187</v>
      </c>
      <c r="F65" s="225">
        <v>704</v>
      </c>
      <c r="G65" s="169">
        <v>91</v>
      </c>
    </row>
    <row r="66" spans="1:7" ht="15">
      <c r="A66" s="384">
        <v>63</v>
      </c>
      <c r="B66" s="299" t="s">
        <v>17</v>
      </c>
      <c r="C66" s="293">
        <v>39031</v>
      </c>
      <c r="D66" s="292" t="s">
        <v>173</v>
      </c>
      <c r="E66" s="292" t="s">
        <v>187</v>
      </c>
      <c r="F66" s="304">
        <v>661</v>
      </c>
      <c r="G66" s="306">
        <v>238</v>
      </c>
    </row>
    <row r="67" spans="1:7" ht="15">
      <c r="A67" s="384">
        <v>64</v>
      </c>
      <c r="B67" s="219" t="s">
        <v>17</v>
      </c>
      <c r="C67" s="98">
        <v>39031</v>
      </c>
      <c r="D67" s="287" t="s">
        <v>173</v>
      </c>
      <c r="E67" s="287" t="s">
        <v>187</v>
      </c>
      <c r="F67" s="221">
        <v>646</v>
      </c>
      <c r="G67" s="169">
        <v>53</v>
      </c>
    </row>
    <row r="68" spans="1:7" ht="15">
      <c r="A68" s="384">
        <v>65</v>
      </c>
      <c r="B68" s="124" t="s">
        <v>132</v>
      </c>
      <c r="C68" s="98">
        <v>38779</v>
      </c>
      <c r="D68" s="106" t="s">
        <v>173</v>
      </c>
      <c r="E68" s="106" t="s">
        <v>176</v>
      </c>
      <c r="F68" s="221">
        <v>1156</v>
      </c>
      <c r="G68" s="169">
        <v>350</v>
      </c>
    </row>
    <row r="69" spans="1:7" ht="15">
      <c r="A69" s="384">
        <v>66</v>
      </c>
      <c r="B69" s="123" t="s">
        <v>38</v>
      </c>
      <c r="C69" s="126">
        <v>39010</v>
      </c>
      <c r="D69" s="106" t="s">
        <v>173</v>
      </c>
      <c r="E69" s="121" t="s">
        <v>181</v>
      </c>
      <c r="F69" s="227">
        <v>5487</v>
      </c>
      <c r="G69" s="132">
        <v>1043</v>
      </c>
    </row>
    <row r="70" spans="1:7" ht="15">
      <c r="A70" s="384">
        <v>67</v>
      </c>
      <c r="B70" s="156" t="s">
        <v>38</v>
      </c>
      <c r="C70" s="98">
        <v>39010</v>
      </c>
      <c r="D70" s="152" t="s">
        <v>173</v>
      </c>
      <c r="E70" s="152" t="s">
        <v>181</v>
      </c>
      <c r="F70" s="221">
        <v>3402</v>
      </c>
      <c r="G70" s="169">
        <v>724</v>
      </c>
    </row>
    <row r="71" spans="1:7" ht="15">
      <c r="A71" s="384">
        <v>68</v>
      </c>
      <c r="B71" s="124" t="s">
        <v>38</v>
      </c>
      <c r="C71" s="98">
        <v>39010</v>
      </c>
      <c r="D71" s="106" t="s">
        <v>173</v>
      </c>
      <c r="E71" s="106" t="s">
        <v>181</v>
      </c>
      <c r="F71" s="221">
        <v>2468</v>
      </c>
      <c r="G71" s="169">
        <v>1189</v>
      </c>
    </row>
    <row r="72" spans="1:7" ht="15">
      <c r="A72" s="384">
        <v>69</v>
      </c>
      <c r="B72" s="218" t="s">
        <v>38</v>
      </c>
      <c r="C72" s="98">
        <v>39010</v>
      </c>
      <c r="D72" s="106" t="s">
        <v>173</v>
      </c>
      <c r="E72" s="106" t="s">
        <v>181</v>
      </c>
      <c r="F72" s="225">
        <v>2375</v>
      </c>
      <c r="G72" s="169">
        <v>705</v>
      </c>
    </row>
    <row r="73" spans="1:7" ht="15">
      <c r="A73" s="384">
        <v>70</v>
      </c>
      <c r="B73" s="218" t="s">
        <v>38</v>
      </c>
      <c r="C73" s="98">
        <v>39010</v>
      </c>
      <c r="D73" s="106" t="s">
        <v>173</v>
      </c>
      <c r="E73" s="106" t="s">
        <v>181</v>
      </c>
      <c r="F73" s="221">
        <v>1304</v>
      </c>
      <c r="G73" s="169">
        <v>163</v>
      </c>
    </row>
    <row r="74" spans="1:7" ht="15">
      <c r="A74" s="384">
        <v>71</v>
      </c>
      <c r="B74" s="299" t="s">
        <v>38</v>
      </c>
      <c r="C74" s="293">
        <v>39010</v>
      </c>
      <c r="D74" s="292" t="s">
        <v>173</v>
      </c>
      <c r="E74" s="292" t="s">
        <v>181</v>
      </c>
      <c r="F74" s="304">
        <v>400</v>
      </c>
      <c r="G74" s="306">
        <v>20</v>
      </c>
    </row>
    <row r="75" spans="1:7" ht="15">
      <c r="A75" s="384">
        <v>72</v>
      </c>
      <c r="B75" s="218" t="s">
        <v>38</v>
      </c>
      <c r="C75" s="98">
        <v>39010</v>
      </c>
      <c r="D75" s="106" t="s">
        <v>173</v>
      </c>
      <c r="E75" s="106" t="s">
        <v>181</v>
      </c>
      <c r="F75" s="221">
        <v>238</v>
      </c>
      <c r="G75" s="169">
        <v>46</v>
      </c>
    </row>
    <row r="76" spans="1:7" ht="15">
      <c r="A76" s="384">
        <v>73</v>
      </c>
      <c r="B76" s="302" t="s">
        <v>423</v>
      </c>
      <c r="C76" s="98">
        <v>38989</v>
      </c>
      <c r="D76" s="152" t="s">
        <v>174</v>
      </c>
      <c r="E76" s="152" t="s">
        <v>424</v>
      </c>
      <c r="F76" s="221">
        <v>1782</v>
      </c>
      <c r="G76" s="169">
        <v>446</v>
      </c>
    </row>
    <row r="77" spans="1:7" ht="15">
      <c r="A77" s="384">
        <v>74</v>
      </c>
      <c r="B77" s="253" t="s">
        <v>423</v>
      </c>
      <c r="C77" s="126">
        <v>38989</v>
      </c>
      <c r="D77" s="244" t="s">
        <v>174</v>
      </c>
      <c r="E77" s="244" t="s">
        <v>424</v>
      </c>
      <c r="F77" s="227">
        <v>1511</v>
      </c>
      <c r="G77" s="132">
        <v>303</v>
      </c>
    </row>
    <row r="78" spans="1:7" ht="15">
      <c r="A78" s="384">
        <v>75</v>
      </c>
      <c r="B78" s="124" t="s">
        <v>423</v>
      </c>
      <c r="C78" s="98">
        <v>38989</v>
      </c>
      <c r="D78" s="252" t="s">
        <v>174</v>
      </c>
      <c r="E78" s="252" t="s">
        <v>424</v>
      </c>
      <c r="F78" s="221">
        <v>202</v>
      </c>
      <c r="G78" s="169">
        <v>23</v>
      </c>
    </row>
    <row r="79" spans="1:7" ht="15">
      <c r="A79" s="384">
        <v>76</v>
      </c>
      <c r="B79" s="302" t="s">
        <v>104</v>
      </c>
      <c r="C79" s="98">
        <v>38905</v>
      </c>
      <c r="D79" s="152" t="s">
        <v>5</v>
      </c>
      <c r="E79" s="152" t="s">
        <v>105</v>
      </c>
      <c r="F79" s="221">
        <v>1188</v>
      </c>
      <c r="G79" s="169">
        <v>297</v>
      </c>
    </row>
    <row r="80" spans="1:7" ht="15">
      <c r="A80" s="384">
        <v>77</v>
      </c>
      <c r="B80" s="219" t="s">
        <v>104</v>
      </c>
      <c r="C80" s="98">
        <v>38905</v>
      </c>
      <c r="D80" s="110" t="s">
        <v>5</v>
      </c>
      <c r="E80" s="109" t="s">
        <v>105</v>
      </c>
      <c r="F80" s="221">
        <v>262.4</v>
      </c>
      <c r="G80" s="169">
        <v>164</v>
      </c>
    </row>
    <row r="81" spans="1:7" ht="15">
      <c r="A81" s="384">
        <v>78</v>
      </c>
      <c r="B81" s="123" t="s">
        <v>196</v>
      </c>
      <c r="C81" s="126">
        <v>39052</v>
      </c>
      <c r="D81" s="121" t="s">
        <v>174</v>
      </c>
      <c r="E81" s="121" t="s">
        <v>175</v>
      </c>
      <c r="F81" s="227">
        <v>2938</v>
      </c>
      <c r="G81" s="132">
        <v>448</v>
      </c>
    </row>
    <row r="82" spans="1:7" ht="15">
      <c r="A82" s="384">
        <v>79</v>
      </c>
      <c r="B82" s="124" t="s">
        <v>196</v>
      </c>
      <c r="C82" s="98">
        <v>39052</v>
      </c>
      <c r="D82" s="106" t="s">
        <v>174</v>
      </c>
      <c r="E82" s="106" t="s">
        <v>175</v>
      </c>
      <c r="F82" s="221">
        <v>2306</v>
      </c>
      <c r="G82" s="169">
        <v>733</v>
      </c>
    </row>
    <row r="83" spans="1:7" ht="15">
      <c r="A83" s="384">
        <v>80</v>
      </c>
      <c r="B83" s="156" t="s">
        <v>196</v>
      </c>
      <c r="C83" s="98">
        <v>39052</v>
      </c>
      <c r="D83" s="152" t="s">
        <v>174</v>
      </c>
      <c r="E83" s="152" t="s">
        <v>175</v>
      </c>
      <c r="F83" s="221">
        <v>1587.5</v>
      </c>
      <c r="G83" s="169">
        <v>252</v>
      </c>
    </row>
    <row r="84" spans="1:7" ht="15">
      <c r="A84" s="384">
        <v>81</v>
      </c>
      <c r="B84" s="125" t="s">
        <v>63</v>
      </c>
      <c r="C84" s="98">
        <v>39073</v>
      </c>
      <c r="D84" s="110" t="s">
        <v>5</v>
      </c>
      <c r="E84" s="109" t="s">
        <v>44</v>
      </c>
      <c r="F84" s="225">
        <v>2937</v>
      </c>
      <c r="G84" s="134">
        <v>367</v>
      </c>
    </row>
    <row r="85" spans="1:7" ht="15">
      <c r="A85" s="384">
        <v>82</v>
      </c>
      <c r="B85" s="125" t="s">
        <v>63</v>
      </c>
      <c r="C85" s="98">
        <v>39073</v>
      </c>
      <c r="D85" s="246" t="s">
        <v>5</v>
      </c>
      <c r="E85" s="247" t="s">
        <v>44</v>
      </c>
      <c r="F85" s="221">
        <v>1780</v>
      </c>
      <c r="G85" s="169">
        <v>445</v>
      </c>
    </row>
    <row r="86" spans="1:7" ht="15">
      <c r="A86" s="384">
        <v>83</v>
      </c>
      <c r="B86" s="219" t="s">
        <v>63</v>
      </c>
      <c r="C86" s="98">
        <v>39073</v>
      </c>
      <c r="D86" s="246" t="s">
        <v>5</v>
      </c>
      <c r="E86" s="247" t="s">
        <v>44</v>
      </c>
      <c r="F86" s="225">
        <v>1780</v>
      </c>
      <c r="G86" s="134">
        <v>445</v>
      </c>
    </row>
    <row r="87" spans="1:7" ht="15">
      <c r="A87" s="384">
        <v>84</v>
      </c>
      <c r="B87" s="125" t="s">
        <v>63</v>
      </c>
      <c r="C87" s="98">
        <v>39073</v>
      </c>
      <c r="D87" s="246" t="s">
        <v>5</v>
      </c>
      <c r="E87" s="247" t="s">
        <v>44</v>
      </c>
      <c r="F87" s="225">
        <v>1015</v>
      </c>
      <c r="G87" s="134">
        <v>135</v>
      </c>
    </row>
    <row r="88" spans="1:7" ht="15">
      <c r="A88" s="384">
        <v>85</v>
      </c>
      <c r="B88" s="156" t="s">
        <v>63</v>
      </c>
      <c r="C88" s="98">
        <v>39073</v>
      </c>
      <c r="D88" s="152" t="s">
        <v>5</v>
      </c>
      <c r="E88" s="152" t="s">
        <v>44</v>
      </c>
      <c r="F88" s="221">
        <v>796</v>
      </c>
      <c r="G88" s="169">
        <v>81</v>
      </c>
    </row>
    <row r="89" spans="1:7" ht="15">
      <c r="A89" s="384">
        <v>86</v>
      </c>
      <c r="B89" s="219" t="s">
        <v>63</v>
      </c>
      <c r="C89" s="98">
        <v>39073</v>
      </c>
      <c r="D89" s="110" t="s">
        <v>5</v>
      </c>
      <c r="E89" s="109" t="s">
        <v>44</v>
      </c>
      <c r="F89" s="221">
        <v>464</v>
      </c>
      <c r="G89" s="169">
        <v>63</v>
      </c>
    </row>
    <row r="90" spans="1:7" ht="15">
      <c r="A90" s="384">
        <v>87</v>
      </c>
      <c r="B90" s="302" t="s">
        <v>63</v>
      </c>
      <c r="C90" s="98">
        <v>39073</v>
      </c>
      <c r="D90" s="152" t="s">
        <v>5</v>
      </c>
      <c r="E90" s="152" t="s">
        <v>44</v>
      </c>
      <c r="F90" s="221">
        <v>233</v>
      </c>
      <c r="G90" s="169">
        <v>49</v>
      </c>
    </row>
    <row r="91" spans="1:7" ht="15">
      <c r="A91" s="384">
        <v>88</v>
      </c>
      <c r="B91" s="125" t="s">
        <v>63</v>
      </c>
      <c r="C91" s="98">
        <v>39073</v>
      </c>
      <c r="D91" s="110" t="s">
        <v>5</v>
      </c>
      <c r="E91" s="109" t="s">
        <v>44</v>
      </c>
      <c r="F91" s="221">
        <v>64</v>
      </c>
      <c r="G91" s="169">
        <v>7</v>
      </c>
    </row>
    <row r="92" spans="1:7" ht="15">
      <c r="A92" s="384">
        <v>89</v>
      </c>
      <c r="B92" s="219" t="s">
        <v>63</v>
      </c>
      <c r="C92" s="98">
        <v>39073</v>
      </c>
      <c r="D92" s="110" t="s">
        <v>5</v>
      </c>
      <c r="E92" s="109" t="s">
        <v>44</v>
      </c>
      <c r="F92" s="225">
        <v>30</v>
      </c>
      <c r="G92" s="134">
        <v>12</v>
      </c>
    </row>
    <row r="93" spans="1:7" ht="15">
      <c r="A93" s="384">
        <v>90</v>
      </c>
      <c r="B93" s="220" t="s">
        <v>344</v>
      </c>
      <c r="C93" s="97">
        <v>38639</v>
      </c>
      <c r="D93" s="107" t="s">
        <v>99</v>
      </c>
      <c r="E93" s="107" t="s">
        <v>182</v>
      </c>
      <c r="F93" s="222">
        <v>831</v>
      </c>
      <c r="G93" s="168">
        <v>277</v>
      </c>
    </row>
    <row r="94" spans="1:7" ht="15">
      <c r="A94" s="384">
        <v>91</v>
      </c>
      <c r="B94" s="219" t="s">
        <v>106</v>
      </c>
      <c r="C94" s="98">
        <v>38870</v>
      </c>
      <c r="D94" s="110" t="s">
        <v>5</v>
      </c>
      <c r="E94" s="109" t="s">
        <v>107</v>
      </c>
      <c r="F94" s="221">
        <v>1664</v>
      </c>
      <c r="G94" s="169">
        <v>416</v>
      </c>
    </row>
    <row r="95" spans="1:7" ht="15">
      <c r="A95" s="384">
        <v>92</v>
      </c>
      <c r="B95" s="302" t="s">
        <v>106</v>
      </c>
      <c r="C95" s="98">
        <v>38870</v>
      </c>
      <c r="D95" s="152" t="s">
        <v>5</v>
      </c>
      <c r="E95" s="152" t="s">
        <v>107</v>
      </c>
      <c r="F95" s="221">
        <v>538.5</v>
      </c>
      <c r="G95" s="169">
        <v>150</v>
      </c>
    </row>
    <row r="96" spans="1:7" ht="15">
      <c r="A96" s="384">
        <v>93</v>
      </c>
      <c r="B96" s="219" t="s">
        <v>106</v>
      </c>
      <c r="C96" s="98">
        <v>38870</v>
      </c>
      <c r="D96" s="110" t="s">
        <v>5</v>
      </c>
      <c r="E96" s="109" t="s">
        <v>107</v>
      </c>
      <c r="F96" s="221">
        <v>204</v>
      </c>
      <c r="G96" s="169">
        <v>40</v>
      </c>
    </row>
    <row r="97" spans="1:7" ht="15">
      <c r="A97" s="384">
        <v>94</v>
      </c>
      <c r="B97" s="302" t="s">
        <v>106</v>
      </c>
      <c r="C97" s="98">
        <v>38870</v>
      </c>
      <c r="D97" s="152" t="s">
        <v>5</v>
      </c>
      <c r="E97" s="152" t="s">
        <v>107</v>
      </c>
      <c r="F97" s="221">
        <v>41</v>
      </c>
      <c r="G97" s="169">
        <v>16</v>
      </c>
    </row>
    <row r="98" spans="1:7" ht="15">
      <c r="A98" s="384">
        <v>95</v>
      </c>
      <c r="B98" s="124" t="s">
        <v>8</v>
      </c>
      <c r="C98" s="98">
        <v>38975</v>
      </c>
      <c r="D98" s="106" t="s">
        <v>173</v>
      </c>
      <c r="E98" s="106" t="s">
        <v>176</v>
      </c>
      <c r="F98" s="221">
        <v>7149</v>
      </c>
      <c r="G98" s="169">
        <v>1229</v>
      </c>
    </row>
    <row r="99" spans="1:7" ht="15">
      <c r="A99" s="384">
        <v>96</v>
      </c>
      <c r="B99" s="218" t="s">
        <v>8</v>
      </c>
      <c r="C99" s="98">
        <v>38975</v>
      </c>
      <c r="D99" s="106" t="s">
        <v>173</v>
      </c>
      <c r="E99" s="106" t="s">
        <v>176</v>
      </c>
      <c r="F99" s="225">
        <v>2635</v>
      </c>
      <c r="G99" s="169">
        <v>667</v>
      </c>
    </row>
    <row r="100" spans="1:7" ht="15">
      <c r="A100" s="384">
        <v>97</v>
      </c>
      <c r="B100" s="123" t="s">
        <v>8</v>
      </c>
      <c r="C100" s="126">
        <v>38975</v>
      </c>
      <c r="D100" s="106" t="s">
        <v>173</v>
      </c>
      <c r="E100" s="121" t="s">
        <v>176</v>
      </c>
      <c r="F100" s="227">
        <v>2120</v>
      </c>
      <c r="G100" s="132">
        <v>369</v>
      </c>
    </row>
    <row r="101" spans="1:7" ht="15">
      <c r="A101" s="384">
        <v>98</v>
      </c>
      <c r="B101" s="123" t="s">
        <v>8</v>
      </c>
      <c r="C101" s="126">
        <v>38975</v>
      </c>
      <c r="D101" s="244" t="s">
        <v>173</v>
      </c>
      <c r="E101" s="244" t="s">
        <v>176</v>
      </c>
      <c r="F101" s="227">
        <v>2115</v>
      </c>
      <c r="G101" s="132">
        <v>582</v>
      </c>
    </row>
    <row r="102" spans="1:7" ht="15">
      <c r="A102" s="384">
        <v>99</v>
      </c>
      <c r="B102" s="156" t="s">
        <v>8</v>
      </c>
      <c r="C102" s="98">
        <v>38975</v>
      </c>
      <c r="D102" s="152" t="s">
        <v>173</v>
      </c>
      <c r="E102" s="152" t="s">
        <v>176</v>
      </c>
      <c r="F102" s="221">
        <v>887</v>
      </c>
      <c r="G102" s="169">
        <v>160</v>
      </c>
    </row>
    <row r="103" spans="1:7" ht="15">
      <c r="A103" s="384">
        <v>100</v>
      </c>
      <c r="B103" s="124" t="s">
        <v>8</v>
      </c>
      <c r="C103" s="98">
        <v>38975</v>
      </c>
      <c r="D103" s="106" t="s">
        <v>173</v>
      </c>
      <c r="E103" s="106" t="s">
        <v>176</v>
      </c>
      <c r="F103" s="221">
        <v>284</v>
      </c>
      <c r="G103" s="169">
        <v>47</v>
      </c>
    </row>
    <row r="104" spans="1:7" ht="15">
      <c r="A104" s="384">
        <v>101</v>
      </c>
      <c r="B104" s="218" t="s">
        <v>8</v>
      </c>
      <c r="C104" s="98">
        <v>38975</v>
      </c>
      <c r="D104" s="106" t="s">
        <v>173</v>
      </c>
      <c r="E104" s="106" t="s">
        <v>176</v>
      </c>
      <c r="F104" s="221">
        <v>247</v>
      </c>
      <c r="G104" s="169">
        <v>41</v>
      </c>
    </row>
    <row r="105" spans="1:7" ht="15">
      <c r="A105" s="384">
        <v>102</v>
      </c>
      <c r="B105" s="122" t="s">
        <v>23</v>
      </c>
      <c r="C105" s="97">
        <v>39038</v>
      </c>
      <c r="D105" s="105" t="s">
        <v>172</v>
      </c>
      <c r="E105" s="104" t="s">
        <v>177</v>
      </c>
      <c r="F105" s="226">
        <v>7970</v>
      </c>
      <c r="G105" s="131">
        <v>1455</v>
      </c>
    </row>
    <row r="106" spans="1:7" ht="15">
      <c r="A106" s="384">
        <v>103</v>
      </c>
      <c r="B106" s="217" t="s">
        <v>23</v>
      </c>
      <c r="C106" s="97">
        <v>39038</v>
      </c>
      <c r="D106" s="105" t="s">
        <v>172</v>
      </c>
      <c r="E106" s="104" t="s">
        <v>177</v>
      </c>
      <c r="F106" s="222">
        <v>6458</v>
      </c>
      <c r="G106" s="168">
        <v>1814</v>
      </c>
    </row>
    <row r="107" spans="1:7" ht="15">
      <c r="A107" s="384">
        <v>104</v>
      </c>
      <c r="B107" s="155" t="s">
        <v>23</v>
      </c>
      <c r="C107" s="97">
        <v>39038</v>
      </c>
      <c r="D107" s="153" t="s">
        <v>172</v>
      </c>
      <c r="E107" s="153" t="s">
        <v>177</v>
      </c>
      <c r="F107" s="222">
        <v>2372</v>
      </c>
      <c r="G107" s="168">
        <v>338</v>
      </c>
    </row>
    <row r="108" spans="1:7" ht="15">
      <c r="A108" s="384">
        <v>105</v>
      </c>
      <c r="B108" s="122" t="s">
        <v>23</v>
      </c>
      <c r="C108" s="97">
        <v>39038</v>
      </c>
      <c r="D108" s="105" t="s">
        <v>172</v>
      </c>
      <c r="E108" s="104" t="s">
        <v>177</v>
      </c>
      <c r="F108" s="222">
        <v>1812</v>
      </c>
      <c r="G108" s="168">
        <v>360</v>
      </c>
    </row>
    <row r="109" spans="1:7" ht="15">
      <c r="A109" s="384">
        <v>106</v>
      </c>
      <c r="B109" s="217" t="s">
        <v>23</v>
      </c>
      <c r="C109" s="97">
        <v>39038</v>
      </c>
      <c r="D109" s="105" t="s">
        <v>172</v>
      </c>
      <c r="E109" s="104" t="s">
        <v>177</v>
      </c>
      <c r="F109" s="222">
        <v>986</v>
      </c>
      <c r="G109" s="168">
        <v>181</v>
      </c>
    </row>
    <row r="110" spans="1:7" ht="15">
      <c r="A110" s="384">
        <v>107</v>
      </c>
      <c r="B110" s="217" t="s">
        <v>23</v>
      </c>
      <c r="C110" s="97">
        <v>39038</v>
      </c>
      <c r="D110" s="242" t="s">
        <v>172</v>
      </c>
      <c r="E110" s="243" t="s">
        <v>177</v>
      </c>
      <c r="F110" s="226">
        <v>523</v>
      </c>
      <c r="G110" s="131">
        <v>69</v>
      </c>
    </row>
    <row r="111" spans="1:7" ht="15">
      <c r="A111" s="384">
        <v>108</v>
      </c>
      <c r="B111" s="122" t="s">
        <v>23</v>
      </c>
      <c r="C111" s="97">
        <v>39038</v>
      </c>
      <c r="D111" s="105" t="s">
        <v>172</v>
      </c>
      <c r="E111" s="104" t="s">
        <v>177</v>
      </c>
      <c r="F111" s="222">
        <v>406</v>
      </c>
      <c r="G111" s="168">
        <v>59</v>
      </c>
    </row>
    <row r="112" spans="1:7" ht="15">
      <c r="A112" s="384">
        <v>109</v>
      </c>
      <c r="B112" s="217" t="s">
        <v>23</v>
      </c>
      <c r="C112" s="97">
        <v>39038</v>
      </c>
      <c r="D112" s="105" t="s">
        <v>172</v>
      </c>
      <c r="E112" s="104" t="s">
        <v>177</v>
      </c>
      <c r="F112" s="226">
        <v>362</v>
      </c>
      <c r="G112" s="168">
        <v>51</v>
      </c>
    </row>
    <row r="113" spans="1:7" ht="15">
      <c r="A113" s="384">
        <v>110</v>
      </c>
      <c r="B113" s="122" t="s">
        <v>23</v>
      </c>
      <c r="C113" s="97">
        <v>39038</v>
      </c>
      <c r="D113" s="242" t="s">
        <v>172</v>
      </c>
      <c r="E113" s="243" t="s">
        <v>177</v>
      </c>
      <c r="F113" s="222">
        <v>237</v>
      </c>
      <c r="G113" s="168">
        <v>32</v>
      </c>
    </row>
    <row r="114" spans="1:7" ht="15">
      <c r="A114" s="384">
        <v>111</v>
      </c>
      <c r="B114" s="122" t="s">
        <v>23</v>
      </c>
      <c r="C114" s="97">
        <v>39038</v>
      </c>
      <c r="D114" s="242" t="s">
        <v>172</v>
      </c>
      <c r="E114" s="243" t="s">
        <v>177</v>
      </c>
      <c r="F114" s="226">
        <v>171</v>
      </c>
      <c r="G114" s="131">
        <v>23</v>
      </c>
    </row>
    <row r="115" spans="1:7" ht="15">
      <c r="A115" s="384">
        <v>112</v>
      </c>
      <c r="B115" s="123" t="s">
        <v>293</v>
      </c>
      <c r="C115" s="126">
        <v>39066</v>
      </c>
      <c r="D115" s="121" t="s">
        <v>174</v>
      </c>
      <c r="E115" s="121" t="s">
        <v>60</v>
      </c>
      <c r="F115" s="227">
        <v>41050.5</v>
      </c>
      <c r="G115" s="132">
        <v>5261</v>
      </c>
    </row>
    <row r="116" spans="1:7" ht="15">
      <c r="A116" s="384">
        <v>113</v>
      </c>
      <c r="B116" s="156" t="s">
        <v>293</v>
      </c>
      <c r="C116" s="98">
        <v>39066</v>
      </c>
      <c r="D116" s="152" t="s">
        <v>174</v>
      </c>
      <c r="E116" s="152" t="s">
        <v>60</v>
      </c>
      <c r="F116" s="221">
        <v>19306.5</v>
      </c>
      <c r="G116" s="169">
        <v>3088</v>
      </c>
    </row>
    <row r="117" spans="1:7" ht="15">
      <c r="A117" s="384">
        <v>114</v>
      </c>
      <c r="B117" s="124" t="s">
        <v>293</v>
      </c>
      <c r="C117" s="98">
        <v>39066</v>
      </c>
      <c r="D117" s="106" t="s">
        <v>174</v>
      </c>
      <c r="E117" s="106" t="s">
        <v>60</v>
      </c>
      <c r="F117" s="221">
        <v>6896.5</v>
      </c>
      <c r="G117" s="169">
        <v>1472</v>
      </c>
    </row>
    <row r="118" spans="1:7" ht="15">
      <c r="A118" s="384">
        <v>115</v>
      </c>
      <c r="B118" s="123" t="s">
        <v>293</v>
      </c>
      <c r="C118" s="126">
        <v>39066</v>
      </c>
      <c r="D118" s="244" t="s">
        <v>174</v>
      </c>
      <c r="E118" s="243" t="s">
        <v>60</v>
      </c>
      <c r="F118" s="227">
        <v>5538.5</v>
      </c>
      <c r="G118" s="132">
        <v>1614</v>
      </c>
    </row>
    <row r="119" spans="1:7" ht="15">
      <c r="A119" s="384">
        <v>116</v>
      </c>
      <c r="B119" s="218" t="s">
        <v>293</v>
      </c>
      <c r="C119" s="98">
        <v>39066</v>
      </c>
      <c r="D119" s="106" t="s">
        <v>174</v>
      </c>
      <c r="E119" s="106" t="s">
        <v>60</v>
      </c>
      <c r="F119" s="221">
        <v>4531.5</v>
      </c>
      <c r="G119" s="169">
        <v>906</v>
      </c>
    </row>
    <row r="120" spans="1:7" ht="15">
      <c r="A120" s="384">
        <v>117</v>
      </c>
      <c r="B120" s="219" t="s">
        <v>293</v>
      </c>
      <c r="C120" s="98">
        <v>39066</v>
      </c>
      <c r="D120" s="287" t="s">
        <v>174</v>
      </c>
      <c r="E120" s="287" t="s">
        <v>60</v>
      </c>
      <c r="F120" s="221">
        <v>3021</v>
      </c>
      <c r="G120" s="169">
        <v>605</v>
      </c>
    </row>
    <row r="121" spans="1:7" ht="15">
      <c r="A121" s="384">
        <v>118</v>
      </c>
      <c r="B121" s="124" t="s">
        <v>293</v>
      </c>
      <c r="C121" s="98">
        <v>39066</v>
      </c>
      <c r="D121" s="106" t="s">
        <v>174</v>
      </c>
      <c r="E121" s="106" t="s">
        <v>60</v>
      </c>
      <c r="F121" s="221">
        <v>2843</v>
      </c>
      <c r="G121" s="169">
        <v>581</v>
      </c>
    </row>
    <row r="122" spans="1:7" ht="15">
      <c r="A122" s="384">
        <v>119</v>
      </c>
      <c r="B122" s="302" t="s">
        <v>293</v>
      </c>
      <c r="C122" s="98">
        <v>39066</v>
      </c>
      <c r="D122" s="152" t="s">
        <v>174</v>
      </c>
      <c r="E122" s="152" t="s">
        <v>60</v>
      </c>
      <c r="F122" s="221">
        <v>2376</v>
      </c>
      <c r="G122" s="169">
        <v>475</v>
      </c>
    </row>
    <row r="123" spans="1:7" ht="15">
      <c r="A123" s="384">
        <v>120</v>
      </c>
      <c r="B123" s="218" t="s">
        <v>293</v>
      </c>
      <c r="C123" s="98">
        <v>39066</v>
      </c>
      <c r="D123" s="106" t="s">
        <v>174</v>
      </c>
      <c r="E123" s="106" t="s">
        <v>60</v>
      </c>
      <c r="F123" s="225">
        <v>2025</v>
      </c>
      <c r="G123" s="169">
        <v>379</v>
      </c>
    </row>
    <row r="124" spans="1:7" ht="15">
      <c r="A124" s="384">
        <v>121</v>
      </c>
      <c r="B124" s="218" t="s">
        <v>293</v>
      </c>
      <c r="C124" s="98">
        <v>39066</v>
      </c>
      <c r="D124" s="106" t="s">
        <v>174</v>
      </c>
      <c r="E124" s="106" t="s">
        <v>60</v>
      </c>
      <c r="F124" s="221">
        <v>1781</v>
      </c>
      <c r="G124" s="169">
        <v>334</v>
      </c>
    </row>
    <row r="125" spans="1:7" ht="15">
      <c r="A125" s="384">
        <v>122</v>
      </c>
      <c r="B125" s="302" t="s">
        <v>293</v>
      </c>
      <c r="C125" s="98">
        <v>39066</v>
      </c>
      <c r="D125" s="152" t="s">
        <v>174</v>
      </c>
      <c r="E125" s="152" t="s">
        <v>60</v>
      </c>
      <c r="F125" s="221">
        <v>1007</v>
      </c>
      <c r="G125" s="169">
        <v>252</v>
      </c>
    </row>
    <row r="126" spans="1:7" ht="15">
      <c r="A126" s="384">
        <v>123</v>
      </c>
      <c r="B126" s="253" t="s">
        <v>293</v>
      </c>
      <c r="C126" s="126">
        <v>39066</v>
      </c>
      <c r="D126" s="244" t="s">
        <v>174</v>
      </c>
      <c r="E126" s="244" t="s">
        <v>60</v>
      </c>
      <c r="F126" s="227">
        <v>831</v>
      </c>
      <c r="G126" s="132">
        <v>256</v>
      </c>
    </row>
    <row r="127" spans="1:7" ht="15">
      <c r="A127" s="384">
        <v>124</v>
      </c>
      <c r="B127" s="124" t="s">
        <v>293</v>
      </c>
      <c r="C127" s="98">
        <v>39066</v>
      </c>
      <c r="D127" s="252" t="s">
        <v>174</v>
      </c>
      <c r="E127" s="252" t="s">
        <v>60</v>
      </c>
      <c r="F127" s="221">
        <v>533</v>
      </c>
      <c r="G127" s="169">
        <v>148</v>
      </c>
    </row>
    <row r="128" spans="1:7" ht="15">
      <c r="A128" s="384">
        <v>125</v>
      </c>
      <c r="B128" s="218" t="s">
        <v>293</v>
      </c>
      <c r="C128" s="98">
        <v>39066</v>
      </c>
      <c r="D128" s="106" t="s">
        <v>81</v>
      </c>
      <c r="E128" s="106" t="s">
        <v>60</v>
      </c>
      <c r="F128" s="221">
        <v>160</v>
      </c>
      <c r="G128" s="169">
        <v>32</v>
      </c>
    </row>
    <row r="129" spans="1:7" ht="15">
      <c r="A129" s="384">
        <v>126</v>
      </c>
      <c r="B129" s="124" t="s">
        <v>293</v>
      </c>
      <c r="C129" s="98">
        <v>39066</v>
      </c>
      <c r="D129" s="252" t="s">
        <v>174</v>
      </c>
      <c r="E129" s="252" t="s">
        <v>60</v>
      </c>
      <c r="F129" s="221">
        <v>96</v>
      </c>
      <c r="G129" s="169">
        <v>10</v>
      </c>
    </row>
    <row r="130" spans="1:7" ht="15">
      <c r="A130" s="384">
        <v>127</v>
      </c>
      <c r="B130" s="218" t="s">
        <v>293</v>
      </c>
      <c r="C130" s="98">
        <v>39066</v>
      </c>
      <c r="D130" s="106" t="s">
        <v>174</v>
      </c>
      <c r="E130" s="106" t="s">
        <v>60</v>
      </c>
      <c r="F130" s="221">
        <v>49</v>
      </c>
      <c r="G130" s="169">
        <v>7</v>
      </c>
    </row>
    <row r="131" spans="1:7" ht="15">
      <c r="A131" s="384">
        <v>128</v>
      </c>
      <c r="B131" s="123" t="s">
        <v>302</v>
      </c>
      <c r="C131" s="126">
        <v>38807</v>
      </c>
      <c r="D131" s="121" t="s">
        <v>189</v>
      </c>
      <c r="E131" s="121" t="s">
        <v>303</v>
      </c>
      <c r="F131" s="227">
        <v>1430</v>
      </c>
      <c r="G131" s="132">
        <v>286</v>
      </c>
    </row>
    <row r="132" spans="1:7" ht="15">
      <c r="A132" s="384">
        <v>129</v>
      </c>
      <c r="B132" s="124" t="s">
        <v>197</v>
      </c>
      <c r="C132" s="98">
        <v>39052</v>
      </c>
      <c r="D132" s="106" t="s">
        <v>171</v>
      </c>
      <c r="E132" s="106" t="s">
        <v>171</v>
      </c>
      <c r="F132" s="225">
        <v>6236</v>
      </c>
      <c r="G132" s="134">
        <v>855</v>
      </c>
    </row>
    <row r="133" spans="1:7" ht="15">
      <c r="A133" s="384">
        <v>130</v>
      </c>
      <c r="B133" s="124" t="s">
        <v>197</v>
      </c>
      <c r="C133" s="98">
        <v>39052</v>
      </c>
      <c r="D133" s="106" t="s">
        <v>171</v>
      </c>
      <c r="E133" s="106" t="s">
        <v>171</v>
      </c>
      <c r="F133" s="221">
        <v>2023</v>
      </c>
      <c r="G133" s="169">
        <v>433</v>
      </c>
    </row>
    <row r="134" spans="1:7" ht="15">
      <c r="A134" s="384">
        <v>131</v>
      </c>
      <c r="B134" s="156" t="s">
        <v>197</v>
      </c>
      <c r="C134" s="98">
        <v>39052</v>
      </c>
      <c r="D134" s="152" t="s">
        <v>171</v>
      </c>
      <c r="E134" s="152" t="s">
        <v>171</v>
      </c>
      <c r="F134" s="221">
        <v>1507</v>
      </c>
      <c r="G134" s="169">
        <v>276</v>
      </c>
    </row>
    <row r="135" spans="1:7" ht="15">
      <c r="A135" s="384">
        <v>132</v>
      </c>
      <c r="B135" s="302" t="s">
        <v>197</v>
      </c>
      <c r="C135" s="98">
        <v>39052</v>
      </c>
      <c r="D135" s="152" t="s">
        <v>171</v>
      </c>
      <c r="E135" s="152" t="s">
        <v>179</v>
      </c>
      <c r="F135" s="221">
        <v>1141</v>
      </c>
      <c r="G135" s="169">
        <v>202</v>
      </c>
    </row>
    <row r="136" spans="1:7" ht="15">
      <c r="A136" s="384">
        <v>133</v>
      </c>
      <c r="B136" s="218" t="s">
        <v>197</v>
      </c>
      <c r="C136" s="98">
        <v>39052</v>
      </c>
      <c r="D136" s="106" t="s">
        <v>171</v>
      </c>
      <c r="E136" s="106" t="s">
        <v>179</v>
      </c>
      <c r="F136" s="221">
        <v>287</v>
      </c>
      <c r="G136" s="169">
        <v>70</v>
      </c>
    </row>
    <row r="137" spans="1:7" ht="15">
      <c r="A137" s="384">
        <v>134</v>
      </c>
      <c r="B137" s="302" t="s">
        <v>197</v>
      </c>
      <c r="C137" s="98">
        <v>39052</v>
      </c>
      <c r="D137" s="152" t="s">
        <v>171</v>
      </c>
      <c r="E137" s="152" t="s">
        <v>179</v>
      </c>
      <c r="F137" s="221">
        <v>82</v>
      </c>
      <c r="G137" s="169">
        <v>20</v>
      </c>
    </row>
    <row r="138" spans="1:7" ht="15">
      <c r="A138" s="384">
        <v>135</v>
      </c>
      <c r="B138" s="122" t="s">
        <v>89</v>
      </c>
      <c r="C138" s="97">
        <v>38982</v>
      </c>
      <c r="D138" s="105" t="s">
        <v>172</v>
      </c>
      <c r="E138" s="104" t="s">
        <v>177</v>
      </c>
      <c r="F138" s="222">
        <v>880</v>
      </c>
      <c r="G138" s="168">
        <v>165</v>
      </c>
    </row>
    <row r="139" spans="1:7" ht="15">
      <c r="A139" s="384">
        <v>136</v>
      </c>
      <c r="B139" s="217" t="s">
        <v>89</v>
      </c>
      <c r="C139" s="97">
        <v>38982</v>
      </c>
      <c r="D139" s="105" t="s">
        <v>172</v>
      </c>
      <c r="E139" s="104" t="s">
        <v>177</v>
      </c>
      <c r="F139" s="222">
        <v>785</v>
      </c>
      <c r="G139" s="168">
        <v>151</v>
      </c>
    </row>
    <row r="140" spans="1:7" ht="15">
      <c r="A140" s="384">
        <v>137</v>
      </c>
      <c r="B140" s="302" t="s">
        <v>135</v>
      </c>
      <c r="C140" s="98">
        <v>38849</v>
      </c>
      <c r="D140" s="153" t="s">
        <v>99</v>
      </c>
      <c r="E140" s="153" t="s">
        <v>99</v>
      </c>
      <c r="F140" s="443">
        <v>758</v>
      </c>
      <c r="G140" s="514">
        <v>131</v>
      </c>
    </row>
    <row r="141" spans="1:7" ht="15">
      <c r="A141" s="384">
        <v>138</v>
      </c>
      <c r="B141" s="301" t="s">
        <v>135</v>
      </c>
      <c r="C141" s="97">
        <v>38849</v>
      </c>
      <c r="D141" s="153" t="s">
        <v>99</v>
      </c>
      <c r="E141" s="153" t="s">
        <v>99</v>
      </c>
      <c r="F141" s="221">
        <v>594</v>
      </c>
      <c r="G141" s="169">
        <v>198</v>
      </c>
    </row>
    <row r="142" spans="1:7" ht="15">
      <c r="A142" s="384">
        <v>139</v>
      </c>
      <c r="B142" s="120" t="s">
        <v>135</v>
      </c>
      <c r="C142" s="97">
        <v>38849</v>
      </c>
      <c r="D142" s="107" t="s">
        <v>99</v>
      </c>
      <c r="E142" s="107" t="s">
        <v>182</v>
      </c>
      <c r="F142" s="222">
        <v>354</v>
      </c>
      <c r="G142" s="168">
        <v>118</v>
      </c>
    </row>
    <row r="143" spans="1:7" ht="15">
      <c r="A143" s="384">
        <v>140</v>
      </c>
      <c r="B143" s="218" t="s">
        <v>431</v>
      </c>
      <c r="C143" s="98">
        <v>38982</v>
      </c>
      <c r="D143" s="108" t="s">
        <v>180</v>
      </c>
      <c r="E143" s="108" t="s">
        <v>9</v>
      </c>
      <c r="F143" s="222">
        <v>680</v>
      </c>
      <c r="G143" s="168">
        <v>85</v>
      </c>
    </row>
    <row r="144" spans="1:7" ht="15">
      <c r="A144" s="384">
        <v>141</v>
      </c>
      <c r="B144" s="218" t="s">
        <v>431</v>
      </c>
      <c r="C144" s="100">
        <v>38982</v>
      </c>
      <c r="D144" s="106" t="s">
        <v>180</v>
      </c>
      <c r="E144" s="107" t="s">
        <v>432</v>
      </c>
      <c r="F144" s="229">
        <v>156</v>
      </c>
      <c r="G144" s="171">
        <v>52</v>
      </c>
    </row>
    <row r="145" spans="1:7" ht="15">
      <c r="A145" s="384">
        <v>142</v>
      </c>
      <c r="B145" s="219" t="s">
        <v>275</v>
      </c>
      <c r="C145" s="98">
        <v>38905</v>
      </c>
      <c r="D145" s="110" t="s">
        <v>5</v>
      </c>
      <c r="E145" s="109" t="s">
        <v>276</v>
      </c>
      <c r="F145" s="221">
        <v>1664</v>
      </c>
      <c r="G145" s="169">
        <v>416</v>
      </c>
    </row>
    <row r="146" spans="1:7" ht="15">
      <c r="A146" s="384">
        <v>143</v>
      </c>
      <c r="B146" s="302" t="s">
        <v>275</v>
      </c>
      <c r="C146" s="98">
        <v>38905</v>
      </c>
      <c r="D146" s="152" t="s">
        <v>5</v>
      </c>
      <c r="E146" s="152" t="s">
        <v>276</v>
      </c>
      <c r="F146" s="221">
        <v>1188</v>
      </c>
      <c r="G146" s="169">
        <v>297</v>
      </c>
    </row>
    <row r="147" spans="1:7" ht="15">
      <c r="A147" s="384">
        <v>144</v>
      </c>
      <c r="B147" s="122" t="s">
        <v>90</v>
      </c>
      <c r="C147" s="97">
        <v>38961</v>
      </c>
      <c r="D147" s="105" t="s">
        <v>172</v>
      </c>
      <c r="E147" s="104" t="s">
        <v>187</v>
      </c>
      <c r="F147" s="222">
        <v>349</v>
      </c>
      <c r="G147" s="168">
        <v>84</v>
      </c>
    </row>
    <row r="148" spans="1:7" ht="15">
      <c r="A148" s="384">
        <v>145</v>
      </c>
      <c r="B148" s="219" t="s">
        <v>234</v>
      </c>
      <c r="C148" s="98">
        <v>38359</v>
      </c>
      <c r="D148" s="287" t="s">
        <v>5</v>
      </c>
      <c r="E148" s="287" t="s">
        <v>235</v>
      </c>
      <c r="F148" s="221">
        <v>712</v>
      </c>
      <c r="G148" s="169">
        <v>178</v>
      </c>
    </row>
    <row r="149" spans="1:7" ht="15">
      <c r="A149" s="384">
        <v>146</v>
      </c>
      <c r="B149" s="123" t="s">
        <v>295</v>
      </c>
      <c r="C149" s="126">
        <v>39059</v>
      </c>
      <c r="D149" s="121" t="s">
        <v>174</v>
      </c>
      <c r="E149" s="121" t="s">
        <v>296</v>
      </c>
      <c r="F149" s="227">
        <v>10528</v>
      </c>
      <c r="G149" s="132">
        <v>2058</v>
      </c>
    </row>
    <row r="150" spans="1:7" ht="15">
      <c r="A150" s="384">
        <v>147</v>
      </c>
      <c r="B150" s="156" t="s">
        <v>295</v>
      </c>
      <c r="C150" s="98">
        <v>39059</v>
      </c>
      <c r="D150" s="152" t="s">
        <v>174</v>
      </c>
      <c r="E150" s="152" t="s">
        <v>296</v>
      </c>
      <c r="F150" s="221">
        <v>5718</v>
      </c>
      <c r="G150" s="169">
        <v>1187</v>
      </c>
    </row>
    <row r="151" spans="1:7" ht="15">
      <c r="A151" s="384">
        <v>148</v>
      </c>
      <c r="B151" s="302" t="s">
        <v>295</v>
      </c>
      <c r="C151" s="98">
        <v>39059</v>
      </c>
      <c r="D151" s="152" t="s">
        <v>174</v>
      </c>
      <c r="E151" s="152" t="s">
        <v>296</v>
      </c>
      <c r="F151" s="442">
        <v>3202</v>
      </c>
      <c r="G151" s="512">
        <v>801</v>
      </c>
    </row>
    <row r="152" spans="1:7" ht="15">
      <c r="A152" s="384">
        <v>149</v>
      </c>
      <c r="B152" s="124" t="s">
        <v>295</v>
      </c>
      <c r="C152" s="98">
        <v>39059</v>
      </c>
      <c r="D152" s="106" t="s">
        <v>174</v>
      </c>
      <c r="E152" s="106" t="s">
        <v>296</v>
      </c>
      <c r="F152" s="221">
        <v>2752.5</v>
      </c>
      <c r="G152" s="169">
        <v>997</v>
      </c>
    </row>
    <row r="153" spans="1:7" ht="15">
      <c r="A153" s="384">
        <v>150</v>
      </c>
      <c r="B153" s="124" t="s">
        <v>295</v>
      </c>
      <c r="C153" s="98">
        <v>39059</v>
      </c>
      <c r="D153" s="106" t="s">
        <v>174</v>
      </c>
      <c r="E153" s="106" t="s">
        <v>296</v>
      </c>
      <c r="F153" s="221">
        <v>2645</v>
      </c>
      <c r="G153" s="169">
        <v>552</v>
      </c>
    </row>
    <row r="154" spans="1:7" ht="15">
      <c r="A154" s="384">
        <v>151</v>
      </c>
      <c r="B154" s="253" t="s">
        <v>295</v>
      </c>
      <c r="C154" s="126">
        <v>39059</v>
      </c>
      <c r="D154" s="244" t="s">
        <v>174</v>
      </c>
      <c r="E154" s="244" t="s">
        <v>296</v>
      </c>
      <c r="F154" s="227">
        <v>299</v>
      </c>
      <c r="G154" s="132">
        <v>67</v>
      </c>
    </row>
    <row r="155" spans="1:7" ht="15">
      <c r="A155" s="384">
        <v>152</v>
      </c>
      <c r="B155" s="218" t="s">
        <v>295</v>
      </c>
      <c r="C155" s="98">
        <v>39059</v>
      </c>
      <c r="D155" s="106" t="s">
        <v>81</v>
      </c>
      <c r="E155" s="106" t="s">
        <v>296</v>
      </c>
      <c r="F155" s="221">
        <v>297</v>
      </c>
      <c r="G155" s="169">
        <v>64</v>
      </c>
    </row>
    <row r="156" spans="1:7" ht="15">
      <c r="A156" s="384">
        <v>153</v>
      </c>
      <c r="B156" s="218" t="s">
        <v>485</v>
      </c>
      <c r="C156" s="98">
        <v>38940</v>
      </c>
      <c r="D156" s="106" t="s">
        <v>182</v>
      </c>
      <c r="E156" s="106" t="s">
        <v>182</v>
      </c>
      <c r="F156" s="221">
        <v>265</v>
      </c>
      <c r="G156" s="169">
        <v>31</v>
      </c>
    </row>
    <row r="157" spans="1:7" ht="15">
      <c r="A157" s="384">
        <v>154</v>
      </c>
      <c r="B157" s="217" t="s">
        <v>466</v>
      </c>
      <c r="C157" s="97">
        <v>39048</v>
      </c>
      <c r="D157" s="105" t="s">
        <v>172</v>
      </c>
      <c r="E157" s="104" t="s">
        <v>80</v>
      </c>
      <c r="F157" s="222">
        <v>2014</v>
      </c>
      <c r="G157" s="168">
        <v>202</v>
      </c>
    </row>
    <row r="158" spans="1:7" ht="15">
      <c r="A158" s="384">
        <v>155</v>
      </c>
      <c r="B158" s="301" t="s">
        <v>466</v>
      </c>
      <c r="C158" s="97">
        <v>39048</v>
      </c>
      <c r="D158" s="152" t="s">
        <v>172</v>
      </c>
      <c r="E158" s="153" t="s">
        <v>80</v>
      </c>
      <c r="F158" s="222">
        <v>1782</v>
      </c>
      <c r="G158" s="168">
        <v>297</v>
      </c>
    </row>
    <row r="159" spans="1:7" ht="15">
      <c r="A159" s="384">
        <v>156</v>
      </c>
      <c r="B159" s="217" t="s">
        <v>433</v>
      </c>
      <c r="C159" s="97">
        <v>39048</v>
      </c>
      <c r="D159" s="105" t="s">
        <v>172</v>
      </c>
      <c r="E159" s="104" t="s">
        <v>80</v>
      </c>
      <c r="F159" s="222">
        <v>191667</v>
      </c>
      <c r="G159" s="168">
        <v>20779</v>
      </c>
    </row>
    <row r="160" spans="1:7" ht="15">
      <c r="A160" s="384">
        <v>157</v>
      </c>
      <c r="B160" s="217" t="s">
        <v>433</v>
      </c>
      <c r="C160" s="97">
        <v>39048</v>
      </c>
      <c r="D160" s="105" t="s">
        <v>172</v>
      </c>
      <c r="E160" s="104" t="s">
        <v>80</v>
      </c>
      <c r="F160" s="222">
        <v>99293</v>
      </c>
      <c r="G160" s="168">
        <v>11789</v>
      </c>
    </row>
    <row r="161" spans="1:7" ht="15">
      <c r="A161" s="384">
        <v>158</v>
      </c>
      <c r="B161" s="217" t="s">
        <v>433</v>
      </c>
      <c r="C161" s="97">
        <v>39048</v>
      </c>
      <c r="D161" s="153" t="s">
        <v>172</v>
      </c>
      <c r="E161" s="153" t="s">
        <v>80</v>
      </c>
      <c r="F161" s="222">
        <v>24707</v>
      </c>
      <c r="G161" s="168">
        <v>4942</v>
      </c>
    </row>
    <row r="162" spans="1:7" ht="15">
      <c r="A162" s="384">
        <v>159</v>
      </c>
      <c r="B162" s="217" t="s">
        <v>433</v>
      </c>
      <c r="C162" s="97">
        <v>39048</v>
      </c>
      <c r="D162" s="105" t="s">
        <v>172</v>
      </c>
      <c r="E162" s="104" t="s">
        <v>80</v>
      </c>
      <c r="F162" s="226">
        <v>23989</v>
      </c>
      <c r="G162" s="131">
        <v>4418</v>
      </c>
    </row>
    <row r="163" spans="1:7" ht="15">
      <c r="A163" s="384">
        <v>160</v>
      </c>
      <c r="B163" s="217" t="s">
        <v>433</v>
      </c>
      <c r="C163" s="97">
        <v>39048</v>
      </c>
      <c r="D163" s="105" t="s">
        <v>172</v>
      </c>
      <c r="E163" s="104" t="s">
        <v>80</v>
      </c>
      <c r="F163" s="222">
        <v>13479</v>
      </c>
      <c r="G163" s="168">
        <v>2620</v>
      </c>
    </row>
    <row r="164" spans="1:7" ht="15">
      <c r="A164" s="384">
        <v>161</v>
      </c>
      <c r="B164" s="220" t="s">
        <v>433</v>
      </c>
      <c r="C164" s="97">
        <v>39048</v>
      </c>
      <c r="D164" s="286" t="s">
        <v>172</v>
      </c>
      <c r="E164" s="286" t="s">
        <v>80</v>
      </c>
      <c r="F164" s="222">
        <v>6621</v>
      </c>
      <c r="G164" s="168">
        <v>1562</v>
      </c>
    </row>
    <row r="165" spans="1:7" ht="15">
      <c r="A165" s="384">
        <v>162</v>
      </c>
      <c r="B165" s="217" t="s">
        <v>433</v>
      </c>
      <c r="C165" s="97">
        <v>39048</v>
      </c>
      <c r="D165" s="105" t="s">
        <v>172</v>
      </c>
      <c r="E165" s="104" t="s">
        <v>80</v>
      </c>
      <c r="F165" s="226">
        <v>3660</v>
      </c>
      <c r="G165" s="168">
        <v>633</v>
      </c>
    </row>
    <row r="166" spans="1:7" ht="15">
      <c r="A166" s="384">
        <v>163</v>
      </c>
      <c r="B166" s="298" t="s">
        <v>433</v>
      </c>
      <c r="C166" s="291">
        <v>39048</v>
      </c>
      <c r="D166" s="290" t="s">
        <v>172</v>
      </c>
      <c r="E166" s="290" t="s">
        <v>80</v>
      </c>
      <c r="F166" s="222">
        <v>3414</v>
      </c>
      <c r="G166" s="168">
        <v>960</v>
      </c>
    </row>
    <row r="167" spans="1:7" ht="15">
      <c r="A167" s="384">
        <v>164</v>
      </c>
      <c r="B167" s="217" t="s">
        <v>433</v>
      </c>
      <c r="C167" s="97">
        <v>39048</v>
      </c>
      <c r="D167" s="242" t="s">
        <v>172</v>
      </c>
      <c r="E167" s="243" t="s">
        <v>80</v>
      </c>
      <c r="F167" s="222">
        <v>2752</v>
      </c>
      <c r="G167" s="168">
        <v>553</v>
      </c>
    </row>
    <row r="168" spans="1:7" ht="15">
      <c r="A168" s="384">
        <v>165</v>
      </c>
      <c r="B168" s="301" t="s">
        <v>433</v>
      </c>
      <c r="C168" s="97">
        <v>39048</v>
      </c>
      <c r="D168" s="153" t="s">
        <v>172</v>
      </c>
      <c r="E168" s="153" t="s">
        <v>80</v>
      </c>
      <c r="F168" s="443">
        <v>1782</v>
      </c>
      <c r="G168" s="514">
        <v>510</v>
      </c>
    </row>
    <row r="169" spans="1:7" ht="15">
      <c r="A169" s="384">
        <v>166</v>
      </c>
      <c r="B169" s="301" t="s">
        <v>433</v>
      </c>
      <c r="C169" s="97">
        <v>39048</v>
      </c>
      <c r="D169" s="153" t="s">
        <v>172</v>
      </c>
      <c r="E169" s="153" t="s">
        <v>80</v>
      </c>
      <c r="F169" s="222">
        <v>1721</v>
      </c>
      <c r="G169" s="168">
        <v>460</v>
      </c>
    </row>
    <row r="170" spans="1:7" ht="15">
      <c r="A170" s="384">
        <v>167</v>
      </c>
      <c r="B170" s="217" t="s">
        <v>433</v>
      </c>
      <c r="C170" s="97">
        <v>39048</v>
      </c>
      <c r="D170" s="105" t="s">
        <v>172</v>
      </c>
      <c r="E170" s="104" t="s">
        <v>80</v>
      </c>
      <c r="F170" s="222">
        <v>875</v>
      </c>
      <c r="G170" s="168">
        <v>136</v>
      </c>
    </row>
    <row r="171" spans="1:7" ht="15">
      <c r="A171" s="384">
        <v>168</v>
      </c>
      <c r="B171" s="302" t="s">
        <v>518</v>
      </c>
      <c r="C171" s="98">
        <v>38828</v>
      </c>
      <c r="D171" s="152" t="s">
        <v>540</v>
      </c>
      <c r="E171" s="152" t="s">
        <v>540</v>
      </c>
      <c r="F171" s="221">
        <v>1246</v>
      </c>
      <c r="G171" s="169">
        <v>220</v>
      </c>
    </row>
    <row r="172" spans="1:7" ht="15">
      <c r="A172" s="384">
        <v>169</v>
      </c>
      <c r="B172" s="218" t="s">
        <v>518</v>
      </c>
      <c r="C172" s="98">
        <v>38828</v>
      </c>
      <c r="D172" s="106" t="s">
        <v>174</v>
      </c>
      <c r="E172" s="106" t="s">
        <v>182</v>
      </c>
      <c r="F172" s="221">
        <v>718</v>
      </c>
      <c r="G172" s="169">
        <v>179</v>
      </c>
    </row>
    <row r="173" spans="1:7" ht="15">
      <c r="A173" s="384">
        <v>170</v>
      </c>
      <c r="B173" s="302" t="s">
        <v>518</v>
      </c>
      <c r="C173" s="98">
        <v>38828</v>
      </c>
      <c r="D173" s="152" t="s">
        <v>182</v>
      </c>
      <c r="E173" s="152" t="s">
        <v>182</v>
      </c>
      <c r="F173" s="442">
        <v>672</v>
      </c>
      <c r="G173" s="512">
        <v>110</v>
      </c>
    </row>
    <row r="174" spans="1:7" ht="15">
      <c r="A174" s="384">
        <v>171</v>
      </c>
      <c r="B174" s="218" t="s">
        <v>518</v>
      </c>
      <c r="C174" s="98">
        <v>38828</v>
      </c>
      <c r="D174" s="106" t="s">
        <v>182</v>
      </c>
      <c r="E174" s="106" t="s">
        <v>182</v>
      </c>
      <c r="F174" s="221">
        <v>614</v>
      </c>
      <c r="G174" s="169">
        <v>87</v>
      </c>
    </row>
    <row r="175" spans="1:7" ht="15">
      <c r="A175" s="384">
        <v>172</v>
      </c>
      <c r="B175" s="218" t="s">
        <v>518</v>
      </c>
      <c r="C175" s="98">
        <v>38828</v>
      </c>
      <c r="D175" s="106" t="s">
        <v>182</v>
      </c>
      <c r="E175" s="106" t="s">
        <v>182</v>
      </c>
      <c r="F175" s="221">
        <v>612</v>
      </c>
      <c r="G175" s="169">
        <v>102</v>
      </c>
    </row>
    <row r="176" spans="1:7" ht="15">
      <c r="A176" s="384">
        <v>173</v>
      </c>
      <c r="B176" s="218" t="s">
        <v>518</v>
      </c>
      <c r="C176" s="98">
        <v>38828</v>
      </c>
      <c r="D176" s="106" t="s">
        <v>182</v>
      </c>
      <c r="E176" s="106" t="s">
        <v>182</v>
      </c>
      <c r="F176" s="221">
        <v>440</v>
      </c>
      <c r="G176" s="169">
        <v>110</v>
      </c>
    </row>
    <row r="177" spans="1:7" ht="15">
      <c r="A177" s="384">
        <v>174</v>
      </c>
      <c r="B177" s="123" t="s">
        <v>3</v>
      </c>
      <c r="C177" s="126">
        <v>38996</v>
      </c>
      <c r="D177" s="121" t="s">
        <v>174</v>
      </c>
      <c r="E177" s="121" t="s">
        <v>175</v>
      </c>
      <c r="F177" s="227">
        <v>3021</v>
      </c>
      <c r="G177" s="132">
        <v>605</v>
      </c>
    </row>
    <row r="178" spans="1:7" ht="15">
      <c r="A178" s="384">
        <v>175</v>
      </c>
      <c r="B178" s="218" t="s">
        <v>3</v>
      </c>
      <c r="C178" s="98">
        <v>38996</v>
      </c>
      <c r="D178" s="106" t="s">
        <v>174</v>
      </c>
      <c r="E178" s="106" t="s">
        <v>175</v>
      </c>
      <c r="F178" s="221">
        <v>1590</v>
      </c>
      <c r="G178" s="169">
        <v>265</v>
      </c>
    </row>
    <row r="179" spans="1:7" ht="15">
      <c r="A179" s="384">
        <v>176</v>
      </c>
      <c r="B179" s="218" t="s">
        <v>3</v>
      </c>
      <c r="C179" s="98">
        <v>38996</v>
      </c>
      <c r="D179" s="106" t="s">
        <v>174</v>
      </c>
      <c r="E179" s="106" t="s">
        <v>175</v>
      </c>
      <c r="F179" s="221">
        <v>16</v>
      </c>
      <c r="G179" s="169">
        <v>2</v>
      </c>
    </row>
    <row r="180" spans="1:7" ht="15">
      <c r="A180" s="384">
        <v>177</v>
      </c>
      <c r="B180" s="219" t="s">
        <v>237</v>
      </c>
      <c r="C180" s="98">
        <v>37771</v>
      </c>
      <c r="D180" s="287" t="s">
        <v>5</v>
      </c>
      <c r="E180" s="287" t="s">
        <v>7</v>
      </c>
      <c r="F180" s="221">
        <v>476</v>
      </c>
      <c r="G180" s="169">
        <v>119</v>
      </c>
    </row>
    <row r="181" spans="1:7" ht="15">
      <c r="A181" s="384">
        <v>178</v>
      </c>
      <c r="B181" s="123" t="s">
        <v>191</v>
      </c>
      <c r="C181" s="126">
        <v>39045</v>
      </c>
      <c r="D181" s="121" t="s">
        <v>174</v>
      </c>
      <c r="E181" s="121" t="s">
        <v>192</v>
      </c>
      <c r="F181" s="227">
        <v>386155</v>
      </c>
      <c r="G181" s="132">
        <v>61261</v>
      </c>
    </row>
    <row r="182" spans="1:7" ht="15">
      <c r="A182" s="384">
        <v>179</v>
      </c>
      <c r="B182" s="156" t="s">
        <v>191</v>
      </c>
      <c r="C182" s="98">
        <v>39045</v>
      </c>
      <c r="D182" s="152" t="s">
        <v>174</v>
      </c>
      <c r="E182" s="152" t="s">
        <v>192</v>
      </c>
      <c r="F182" s="221">
        <v>185586</v>
      </c>
      <c r="G182" s="169">
        <v>32646</v>
      </c>
    </row>
    <row r="183" spans="1:7" ht="15">
      <c r="A183" s="384">
        <v>180</v>
      </c>
      <c r="B183" s="124" t="s">
        <v>191</v>
      </c>
      <c r="C183" s="98">
        <v>39045</v>
      </c>
      <c r="D183" s="106" t="s">
        <v>174</v>
      </c>
      <c r="E183" s="106" t="s">
        <v>192</v>
      </c>
      <c r="F183" s="221">
        <v>78557</v>
      </c>
      <c r="G183" s="169">
        <v>14471</v>
      </c>
    </row>
    <row r="184" spans="1:7" ht="15">
      <c r="A184" s="384">
        <v>181</v>
      </c>
      <c r="B184" s="218" t="s">
        <v>191</v>
      </c>
      <c r="C184" s="98">
        <v>39045</v>
      </c>
      <c r="D184" s="106" t="s">
        <v>174</v>
      </c>
      <c r="E184" s="106" t="s">
        <v>192</v>
      </c>
      <c r="F184" s="221">
        <v>38487.5</v>
      </c>
      <c r="G184" s="169">
        <v>9345</v>
      </c>
    </row>
    <row r="185" spans="1:7" ht="15">
      <c r="A185" s="384">
        <v>182</v>
      </c>
      <c r="B185" s="218" t="s">
        <v>191</v>
      </c>
      <c r="C185" s="98">
        <v>39045</v>
      </c>
      <c r="D185" s="106" t="s">
        <v>174</v>
      </c>
      <c r="E185" s="106" t="s">
        <v>192</v>
      </c>
      <c r="F185" s="221">
        <v>20659.5</v>
      </c>
      <c r="G185" s="169">
        <v>4132</v>
      </c>
    </row>
    <row r="186" spans="1:7" ht="15">
      <c r="A186" s="384">
        <v>183</v>
      </c>
      <c r="B186" s="124" t="s">
        <v>191</v>
      </c>
      <c r="C186" s="98">
        <v>39045</v>
      </c>
      <c r="D186" s="106" t="s">
        <v>174</v>
      </c>
      <c r="E186" s="106" t="s">
        <v>192</v>
      </c>
      <c r="F186" s="221">
        <v>19951.5</v>
      </c>
      <c r="G186" s="169">
        <v>4644</v>
      </c>
    </row>
    <row r="187" spans="1:7" ht="15">
      <c r="A187" s="384">
        <v>184</v>
      </c>
      <c r="B187" s="302" t="s">
        <v>191</v>
      </c>
      <c r="C187" s="98">
        <v>39045</v>
      </c>
      <c r="D187" s="152" t="s">
        <v>174</v>
      </c>
      <c r="E187" s="152" t="s">
        <v>192</v>
      </c>
      <c r="F187" s="221">
        <v>10330</v>
      </c>
      <c r="G187" s="169">
        <v>2583</v>
      </c>
    </row>
    <row r="188" spans="1:7" ht="15">
      <c r="A188" s="384">
        <v>185</v>
      </c>
      <c r="B188" s="123" t="s">
        <v>191</v>
      </c>
      <c r="C188" s="126">
        <v>39045</v>
      </c>
      <c r="D188" s="244" t="s">
        <v>174</v>
      </c>
      <c r="E188" s="243" t="s">
        <v>192</v>
      </c>
      <c r="F188" s="227">
        <v>9203</v>
      </c>
      <c r="G188" s="132">
        <v>1591</v>
      </c>
    </row>
    <row r="189" spans="1:7" ht="15">
      <c r="A189" s="384">
        <v>186</v>
      </c>
      <c r="B189" s="218" t="s">
        <v>191</v>
      </c>
      <c r="C189" s="98">
        <v>39045</v>
      </c>
      <c r="D189" s="106" t="s">
        <v>174</v>
      </c>
      <c r="E189" s="106" t="s">
        <v>192</v>
      </c>
      <c r="F189" s="221">
        <v>8910</v>
      </c>
      <c r="G189" s="169">
        <v>2228</v>
      </c>
    </row>
    <row r="190" spans="1:7" ht="15">
      <c r="A190" s="384">
        <v>187</v>
      </c>
      <c r="B190" s="218" t="s">
        <v>191</v>
      </c>
      <c r="C190" s="98">
        <v>39045</v>
      </c>
      <c r="D190" s="106" t="s">
        <v>174</v>
      </c>
      <c r="E190" s="106" t="s">
        <v>192</v>
      </c>
      <c r="F190" s="221">
        <v>5034</v>
      </c>
      <c r="G190" s="169">
        <v>1259</v>
      </c>
    </row>
    <row r="191" spans="1:7" ht="15">
      <c r="A191" s="384">
        <v>188</v>
      </c>
      <c r="B191" s="218" t="s">
        <v>191</v>
      </c>
      <c r="C191" s="98">
        <v>39045</v>
      </c>
      <c r="D191" s="106" t="s">
        <v>174</v>
      </c>
      <c r="E191" s="106" t="s">
        <v>192</v>
      </c>
      <c r="F191" s="225">
        <v>3795.5</v>
      </c>
      <c r="G191" s="169">
        <v>1018</v>
      </c>
    </row>
    <row r="192" spans="1:7" ht="15">
      <c r="A192" s="384">
        <v>189</v>
      </c>
      <c r="B192" s="218" t="s">
        <v>191</v>
      </c>
      <c r="C192" s="98">
        <v>39045</v>
      </c>
      <c r="D192" s="106" t="s">
        <v>174</v>
      </c>
      <c r="E192" s="106" t="s">
        <v>192</v>
      </c>
      <c r="F192" s="221">
        <v>3564</v>
      </c>
      <c r="G192" s="169">
        <v>891</v>
      </c>
    </row>
    <row r="193" spans="1:7" ht="15">
      <c r="A193" s="384">
        <v>190</v>
      </c>
      <c r="B193" s="124" t="s">
        <v>191</v>
      </c>
      <c r="C193" s="98">
        <v>39045</v>
      </c>
      <c r="D193" s="252" t="s">
        <v>174</v>
      </c>
      <c r="E193" s="252" t="s">
        <v>192</v>
      </c>
      <c r="F193" s="221">
        <v>2435</v>
      </c>
      <c r="G193" s="169">
        <v>487</v>
      </c>
    </row>
    <row r="194" spans="1:7" ht="15">
      <c r="A194" s="384">
        <v>191</v>
      </c>
      <c r="B194" s="218" t="s">
        <v>191</v>
      </c>
      <c r="C194" s="98">
        <v>39045</v>
      </c>
      <c r="D194" s="106" t="s">
        <v>174</v>
      </c>
      <c r="E194" s="106" t="s">
        <v>192</v>
      </c>
      <c r="F194" s="221">
        <v>2376</v>
      </c>
      <c r="G194" s="169">
        <v>594</v>
      </c>
    </row>
    <row r="195" spans="1:7" ht="15">
      <c r="A195" s="384">
        <v>192</v>
      </c>
      <c r="B195" s="302" t="s">
        <v>191</v>
      </c>
      <c r="C195" s="98">
        <v>39045</v>
      </c>
      <c r="D195" s="152" t="s">
        <v>174</v>
      </c>
      <c r="E195" s="152" t="s">
        <v>192</v>
      </c>
      <c r="F195" s="221">
        <v>2376</v>
      </c>
      <c r="G195" s="169">
        <v>475</v>
      </c>
    </row>
    <row r="196" spans="1:7" ht="15">
      <c r="A196" s="384">
        <v>193</v>
      </c>
      <c r="B196" s="218" t="s">
        <v>191</v>
      </c>
      <c r="C196" s="98">
        <v>39045</v>
      </c>
      <c r="D196" s="106" t="s">
        <v>174</v>
      </c>
      <c r="E196" s="106" t="s">
        <v>192</v>
      </c>
      <c r="F196" s="225">
        <v>2267.5</v>
      </c>
      <c r="G196" s="169">
        <v>561</v>
      </c>
    </row>
    <row r="197" spans="1:7" ht="15">
      <c r="A197" s="384">
        <v>194</v>
      </c>
      <c r="B197" s="302" t="s">
        <v>191</v>
      </c>
      <c r="C197" s="98">
        <v>39045</v>
      </c>
      <c r="D197" s="152" t="s">
        <v>174</v>
      </c>
      <c r="E197" s="152" t="s">
        <v>192</v>
      </c>
      <c r="F197" s="221">
        <v>1284</v>
      </c>
      <c r="G197" s="169">
        <v>303</v>
      </c>
    </row>
    <row r="198" spans="1:7" ht="15">
      <c r="A198" s="384">
        <v>195</v>
      </c>
      <c r="B198" s="253" t="s">
        <v>191</v>
      </c>
      <c r="C198" s="126">
        <v>39045</v>
      </c>
      <c r="D198" s="244" t="s">
        <v>174</v>
      </c>
      <c r="E198" s="244" t="s">
        <v>192</v>
      </c>
      <c r="F198" s="227">
        <v>1210</v>
      </c>
      <c r="G198" s="132">
        <v>300</v>
      </c>
    </row>
    <row r="199" spans="1:7" ht="15">
      <c r="A199" s="384">
        <v>196</v>
      </c>
      <c r="B199" s="302" t="s">
        <v>191</v>
      </c>
      <c r="C199" s="98">
        <v>39045</v>
      </c>
      <c r="D199" s="152" t="s">
        <v>174</v>
      </c>
      <c r="E199" s="152" t="s">
        <v>192</v>
      </c>
      <c r="F199" s="221">
        <v>1033</v>
      </c>
      <c r="G199" s="169">
        <v>241</v>
      </c>
    </row>
    <row r="200" spans="1:7" ht="15">
      <c r="A200" s="384">
        <v>197</v>
      </c>
      <c r="B200" s="302" t="s">
        <v>191</v>
      </c>
      <c r="C200" s="98">
        <v>39045</v>
      </c>
      <c r="D200" s="152" t="s">
        <v>174</v>
      </c>
      <c r="E200" s="152" t="s">
        <v>192</v>
      </c>
      <c r="F200" s="442">
        <v>972</v>
      </c>
      <c r="G200" s="512">
        <v>162</v>
      </c>
    </row>
    <row r="201" spans="1:7" ht="15">
      <c r="A201" s="384">
        <v>198</v>
      </c>
      <c r="B201" s="218" t="s">
        <v>191</v>
      </c>
      <c r="C201" s="98">
        <v>39045</v>
      </c>
      <c r="D201" s="106" t="s">
        <v>81</v>
      </c>
      <c r="E201" s="106" t="s">
        <v>192</v>
      </c>
      <c r="F201" s="221">
        <v>836</v>
      </c>
      <c r="G201" s="169">
        <v>161</v>
      </c>
    </row>
    <row r="202" spans="1:7" ht="15">
      <c r="A202" s="384">
        <v>199</v>
      </c>
      <c r="B202" s="218" t="s">
        <v>191</v>
      </c>
      <c r="C202" s="98">
        <v>39045</v>
      </c>
      <c r="D202" s="106" t="s">
        <v>174</v>
      </c>
      <c r="E202" s="106" t="s">
        <v>192</v>
      </c>
      <c r="F202" s="221">
        <v>108</v>
      </c>
      <c r="G202" s="169">
        <v>13</v>
      </c>
    </row>
    <row r="203" spans="1:7" ht="15">
      <c r="A203" s="384">
        <v>200</v>
      </c>
      <c r="B203" s="219" t="s">
        <v>224</v>
      </c>
      <c r="C203" s="98">
        <v>37785</v>
      </c>
      <c r="D203" s="110" t="s">
        <v>5</v>
      </c>
      <c r="E203" s="109" t="s">
        <v>225</v>
      </c>
      <c r="F203" s="225">
        <v>592</v>
      </c>
      <c r="G203" s="169">
        <v>148</v>
      </c>
    </row>
    <row r="204" spans="1:7" ht="15">
      <c r="A204" s="384">
        <v>201</v>
      </c>
      <c r="B204" s="218" t="s">
        <v>517</v>
      </c>
      <c r="C204" s="98">
        <v>38436</v>
      </c>
      <c r="D204" s="106" t="s">
        <v>174</v>
      </c>
      <c r="E204" s="106" t="s">
        <v>182</v>
      </c>
      <c r="F204" s="221">
        <v>4533</v>
      </c>
      <c r="G204" s="169">
        <v>906</v>
      </c>
    </row>
    <row r="205" spans="1:7" ht="15">
      <c r="A205" s="384">
        <v>202</v>
      </c>
      <c r="B205" s="124" t="s">
        <v>127</v>
      </c>
      <c r="C205" s="98">
        <v>38072</v>
      </c>
      <c r="D205" s="107" t="s">
        <v>128</v>
      </c>
      <c r="E205" s="107" t="s">
        <v>129</v>
      </c>
      <c r="F205" s="221">
        <v>354</v>
      </c>
      <c r="G205" s="169">
        <v>118</v>
      </c>
    </row>
    <row r="206" spans="1:7" ht="15">
      <c r="A206" s="384">
        <v>203</v>
      </c>
      <c r="B206" s="155" t="s">
        <v>68</v>
      </c>
      <c r="C206" s="97">
        <v>39066</v>
      </c>
      <c r="D206" s="105" t="s">
        <v>172</v>
      </c>
      <c r="E206" s="104" t="s">
        <v>185</v>
      </c>
      <c r="F206" s="226">
        <v>1057112</v>
      </c>
      <c r="G206" s="131">
        <v>151061</v>
      </c>
    </row>
    <row r="207" spans="1:7" ht="15">
      <c r="A207" s="384">
        <v>204</v>
      </c>
      <c r="B207" s="155" t="s">
        <v>68</v>
      </c>
      <c r="C207" s="97">
        <v>39066</v>
      </c>
      <c r="D207" s="153" t="s">
        <v>172</v>
      </c>
      <c r="E207" s="153" t="s">
        <v>185</v>
      </c>
      <c r="F207" s="222">
        <f>222438-23</f>
        <v>222415</v>
      </c>
      <c r="G207" s="168">
        <v>33037</v>
      </c>
    </row>
    <row r="208" spans="1:7" ht="15">
      <c r="A208" s="384">
        <v>205</v>
      </c>
      <c r="B208" s="122" t="s">
        <v>68</v>
      </c>
      <c r="C208" s="97">
        <v>39066</v>
      </c>
      <c r="D208" s="105" t="s">
        <v>172</v>
      </c>
      <c r="E208" s="104" t="s">
        <v>185</v>
      </c>
      <c r="F208" s="222">
        <v>32518</v>
      </c>
      <c r="G208" s="168">
        <v>6240</v>
      </c>
    </row>
    <row r="209" spans="1:7" ht="15">
      <c r="A209" s="384">
        <v>206</v>
      </c>
      <c r="B209" s="155" t="s">
        <v>68</v>
      </c>
      <c r="C209" s="97">
        <v>39066</v>
      </c>
      <c r="D209" s="105" t="s">
        <v>172</v>
      </c>
      <c r="E209" s="104" t="s">
        <v>185</v>
      </c>
      <c r="F209" s="222">
        <v>14705</v>
      </c>
      <c r="G209" s="168">
        <v>4042</v>
      </c>
    </row>
    <row r="210" spans="1:7" ht="15">
      <c r="A210" s="384">
        <v>207</v>
      </c>
      <c r="B210" s="122" t="s">
        <v>68</v>
      </c>
      <c r="C210" s="97">
        <v>39066</v>
      </c>
      <c r="D210" s="105" t="s">
        <v>172</v>
      </c>
      <c r="E210" s="104" t="s">
        <v>185</v>
      </c>
      <c r="F210" s="222">
        <v>6718</v>
      </c>
      <c r="G210" s="168">
        <v>1655</v>
      </c>
    </row>
    <row r="211" spans="1:7" ht="15">
      <c r="A211" s="384">
        <v>208</v>
      </c>
      <c r="B211" s="217" t="s">
        <v>68</v>
      </c>
      <c r="C211" s="97">
        <v>39066</v>
      </c>
      <c r="D211" s="105" t="s">
        <v>172</v>
      </c>
      <c r="E211" s="104" t="s">
        <v>185</v>
      </c>
      <c r="F211" s="226">
        <v>2937</v>
      </c>
      <c r="G211" s="168">
        <v>674</v>
      </c>
    </row>
    <row r="212" spans="1:7" ht="15">
      <c r="A212" s="384">
        <v>209</v>
      </c>
      <c r="B212" s="122" t="s">
        <v>68</v>
      </c>
      <c r="C212" s="97">
        <v>39066</v>
      </c>
      <c r="D212" s="242" t="s">
        <v>172</v>
      </c>
      <c r="E212" s="243" t="s">
        <v>185</v>
      </c>
      <c r="F212" s="222">
        <v>2701</v>
      </c>
      <c r="G212" s="168">
        <v>740</v>
      </c>
    </row>
    <row r="213" spans="1:7" ht="15">
      <c r="A213" s="384">
        <v>210</v>
      </c>
      <c r="B213" s="217" t="s">
        <v>68</v>
      </c>
      <c r="C213" s="97">
        <v>39066</v>
      </c>
      <c r="D213" s="242" t="s">
        <v>172</v>
      </c>
      <c r="E213" s="243" t="s">
        <v>185</v>
      </c>
      <c r="F213" s="226">
        <v>2526</v>
      </c>
      <c r="G213" s="131">
        <v>706</v>
      </c>
    </row>
    <row r="214" spans="1:7" ht="15">
      <c r="A214" s="384">
        <v>211</v>
      </c>
      <c r="B214" s="301" t="s">
        <v>68</v>
      </c>
      <c r="C214" s="97">
        <v>39066</v>
      </c>
      <c r="D214" s="153" t="s">
        <v>172</v>
      </c>
      <c r="E214" s="153" t="s">
        <v>185</v>
      </c>
      <c r="F214" s="222">
        <v>1782</v>
      </c>
      <c r="G214" s="168">
        <v>510</v>
      </c>
    </row>
    <row r="215" spans="1:7" ht="15">
      <c r="A215" s="384">
        <v>212</v>
      </c>
      <c r="B215" s="122" t="s">
        <v>68</v>
      </c>
      <c r="C215" s="97">
        <v>39066</v>
      </c>
      <c r="D215" s="242" t="s">
        <v>172</v>
      </c>
      <c r="E215" s="243" t="s">
        <v>185</v>
      </c>
      <c r="F215" s="226">
        <v>500</v>
      </c>
      <c r="G215" s="131">
        <v>92</v>
      </c>
    </row>
    <row r="216" spans="1:7" ht="15">
      <c r="A216" s="384">
        <v>213</v>
      </c>
      <c r="B216" s="217" t="s">
        <v>68</v>
      </c>
      <c r="C216" s="97">
        <v>39066</v>
      </c>
      <c r="D216" s="105" t="s">
        <v>172</v>
      </c>
      <c r="E216" s="104" t="s">
        <v>185</v>
      </c>
      <c r="F216" s="222">
        <v>346</v>
      </c>
      <c r="G216" s="168">
        <v>65</v>
      </c>
    </row>
    <row r="217" spans="1:7" ht="15">
      <c r="A217" s="384">
        <v>214</v>
      </c>
      <c r="B217" s="217" t="s">
        <v>68</v>
      </c>
      <c r="C217" s="97">
        <v>39066</v>
      </c>
      <c r="D217" s="105" t="s">
        <v>172</v>
      </c>
      <c r="E217" s="104" t="s">
        <v>185</v>
      </c>
      <c r="F217" s="222">
        <v>252</v>
      </c>
      <c r="G217" s="168">
        <v>36</v>
      </c>
    </row>
    <row r="218" spans="1:7" ht="15">
      <c r="A218" s="384">
        <v>215</v>
      </c>
      <c r="B218" s="220" t="s">
        <v>68</v>
      </c>
      <c r="C218" s="97">
        <v>39066</v>
      </c>
      <c r="D218" s="286" t="s">
        <v>172</v>
      </c>
      <c r="E218" s="286" t="s">
        <v>185</v>
      </c>
      <c r="F218" s="222">
        <v>231</v>
      </c>
      <c r="G218" s="168">
        <v>33</v>
      </c>
    </row>
    <row r="219" spans="1:7" ht="15">
      <c r="A219" s="384">
        <v>216</v>
      </c>
      <c r="B219" s="301" t="s">
        <v>68</v>
      </c>
      <c r="C219" s="97">
        <v>39066</v>
      </c>
      <c r="D219" s="153" t="s">
        <v>172</v>
      </c>
      <c r="E219" s="153" t="s">
        <v>185</v>
      </c>
      <c r="F219" s="222">
        <v>168</v>
      </c>
      <c r="G219" s="168">
        <v>24</v>
      </c>
    </row>
    <row r="220" spans="1:7" ht="15">
      <c r="A220" s="384">
        <v>217</v>
      </c>
      <c r="B220" s="298" t="s">
        <v>68</v>
      </c>
      <c r="C220" s="291">
        <v>39066</v>
      </c>
      <c r="D220" s="290" t="s">
        <v>172</v>
      </c>
      <c r="E220" s="290" t="s">
        <v>185</v>
      </c>
      <c r="F220" s="222">
        <v>168</v>
      </c>
      <c r="G220" s="168">
        <v>24</v>
      </c>
    </row>
    <row r="221" spans="1:7" ht="15">
      <c r="A221" s="384">
        <v>218</v>
      </c>
      <c r="B221" s="217" t="s">
        <v>68</v>
      </c>
      <c r="C221" s="97">
        <v>39066</v>
      </c>
      <c r="D221" s="105" t="s">
        <v>172</v>
      </c>
      <c r="E221" s="104" t="s">
        <v>185</v>
      </c>
      <c r="F221" s="226">
        <v>140</v>
      </c>
      <c r="G221" s="168">
        <v>20</v>
      </c>
    </row>
    <row r="222" spans="1:7" ht="15">
      <c r="A222" s="384">
        <v>219</v>
      </c>
      <c r="B222" s="301" t="s">
        <v>68</v>
      </c>
      <c r="C222" s="97">
        <v>39066</v>
      </c>
      <c r="D222" s="153" t="s">
        <v>172</v>
      </c>
      <c r="E222" s="153" t="s">
        <v>185</v>
      </c>
      <c r="F222" s="222">
        <v>126</v>
      </c>
      <c r="G222" s="168">
        <v>18</v>
      </c>
    </row>
    <row r="223" spans="1:7" ht="15">
      <c r="A223" s="384">
        <v>220</v>
      </c>
      <c r="B223" s="217" t="s">
        <v>68</v>
      </c>
      <c r="C223" s="97">
        <v>39066</v>
      </c>
      <c r="D223" s="105" t="s">
        <v>172</v>
      </c>
      <c r="E223" s="104" t="s">
        <v>185</v>
      </c>
      <c r="F223" s="226">
        <v>112</v>
      </c>
      <c r="G223" s="131">
        <v>16</v>
      </c>
    </row>
    <row r="224" spans="1:7" ht="15">
      <c r="A224" s="384">
        <v>221</v>
      </c>
      <c r="B224" s="301" t="s">
        <v>68</v>
      </c>
      <c r="C224" s="97">
        <v>39066</v>
      </c>
      <c r="D224" s="153" t="s">
        <v>172</v>
      </c>
      <c r="E224" s="153" t="s">
        <v>185</v>
      </c>
      <c r="F224" s="222">
        <v>84</v>
      </c>
      <c r="G224" s="168">
        <v>12</v>
      </c>
    </row>
    <row r="225" spans="1:7" ht="15">
      <c r="A225" s="384">
        <v>222</v>
      </c>
      <c r="B225" s="123" t="s">
        <v>58</v>
      </c>
      <c r="C225" s="126">
        <v>39066</v>
      </c>
      <c r="D225" s="121" t="s">
        <v>174</v>
      </c>
      <c r="E225" s="121" t="s">
        <v>175</v>
      </c>
      <c r="F225" s="227">
        <v>144826</v>
      </c>
      <c r="G225" s="132">
        <v>18766</v>
      </c>
    </row>
    <row r="226" spans="1:7" ht="15">
      <c r="A226" s="384">
        <v>223</v>
      </c>
      <c r="B226" s="156" t="s">
        <v>58</v>
      </c>
      <c r="C226" s="98">
        <v>39066</v>
      </c>
      <c r="D226" s="152" t="s">
        <v>174</v>
      </c>
      <c r="E226" s="152" t="s">
        <v>175</v>
      </c>
      <c r="F226" s="221">
        <v>34457</v>
      </c>
      <c r="G226" s="169">
        <v>4967</v>
      </c>
    </row>
    <row r="227" spans="1:7" ht="15">
      <c r="A227" s="384">
        <v>224</v>
      </c>
      <c r="B227" s="124" t="s">
        <v>58</v>
      </c>
      <c r="C227" s="98">
        <v>39066</v>
      </c>
      <c r="D227" s="106" t="s">
        <v>174</v>
      </c>
      <c r="E227" s="106" t="s">
        <v>175</v>
      </c>
      <c r="F227" s="221">
        <v>11124</v>
      </c>
      <c r="G227" s="169">
        <v>1852</v>
      </c>
    </row>
    <row r="228" spans="1:7" ht="15">
      <c r="A228" s="384">
        <v>225</v>
      </c>
      <c r="B228" s="124" t="s">
        <v>58</v>
      </c>
      <c r="C228" s="98">
        <v>39066</v>
      </c>
      <c r="D228" s="106" t="s">
        <v>174</v>
      </c>
      <c r="E228" s="106" t="s">
        <v>175</v>
      </c>
      <c r="F228" s="221">
        <v>6963</v>
      </c>
      <c r="G228" s="169">
        <v>1244</v>
      </c>
    </row>
    <row r="229" spans="1:7" ht="15">
      <c r="A229" s="384">
        <v>226</v>
      </c>
      <c r="B229" s="218" t="s">
        <v>58</v>
      </c>
      <c r="C229" s="98">
        <v>39066</v>
      </c>
      <c r="D229" s="106" t="s">
        <v>174</v>
      </c>
      <c r="E229" s="106" t="s">
        <v>175</v>
      </c>
      <c r="F229" s="221">
        <v>4855</v>
      </c>
      <c r="G229" s="169">
        <v>788</v>
      </c>
    </row>
    <row r="230" spans="1:7" ht="15">
      <c r="A230" s="384">
        <v>227</v>
      </c>
      <c r="B230" s="123" t="s">
        <v>58</v>
      </c>
      <c r="C230" s="126">
        <v>39066</v>
      </c>
      <c r="D230" s="244" t="s">
        <v>174</v>
      </c>
      <c r="E230" s="243" t="s">
        <v>175</v>
      </c>
      <c r="F230" s="227">
        <v>4250</v>
      </c>
      <c r="G230" s="132">
        <v>551</v>
      </c>
    </row>
    <row r="231" spans="1:7" ht="15">
      <c r="A231" s="384">
        <v>228</v>
      </c>
      <c r="B231" s="124" t="s">
        <v>58</v>
      </c>
      <c r="C231" s="98">
        <v>39066</v>
      </c>
      <c r="D231" s="252" t="s">
        <v>174</v>
      </c>
      <c r="E231" s="252" t="s">
        <v>175</v>
      </c>
      <c r="F231" s="221">
        <v>4097</v>
      </c>
      <c r="G231" s="169">
        <v>838</v>
      </c>
    </row>
    <row r="232" spans="1:7" ht="15">
      <c r="A232" s="384">
        <v>229</v>
      </c>
      <c r="B232" s="253" t="s">
        <v>58</v>
      </c>
      <c r="C232" s="126">
        <v>39066</v>
      </c>
      <c r="D232" s="244" t="s">
        <v>174</v>
      </c>
      <c r="E232" s="244" t="s">
        <v>175</v>
      </c>
      <c r="F232" s="227">
        <v>1477</v>
      </c>
      <c r="G232" s="132">
        <v>305</v>
      </c>
    </row>
    <row r="233" spans="1:7" ht="15">
      <c r="A233" s="384">
        <v>230</v>
      </c>
      <c r="B233" s="218" t="s">
        <v>58</v>
      </c>
      <c r="C233" s="98">
        <v>39066</v>
      </c>
      <c r="D233" s="106" t="s">
        <v>174</v>
      </c>
      <c r="E233" s="106" t="s">
        <v>175</v>
      </c>
      <c r="F233" s="225">
        <v>1425</v>
      </c>
      <c r="G233" s="169">
        <v>168</v>
      </c>
    </row>
    <row r="234" spans="1:7" ht="15">
      <c r="A234" s="384">
        <v>231</v>
      </c>
      <c r="B234" s="218" t="s">
        <v>58</v>
      </c>
      <c r="C234" s="98">
        <v>39066</v>
      </c>
      <c r="D234" s="106" t="s">
        <v>81</v>
      </c>
      <c r="E234" s="106" t="s">
        <v>175</v>
      </c>
      <c r="F234" s="221">
        <v>76</v>
      </c>
      <c r="G234" s="169">
        <v>19</v>
      </c>
    </row>
    <row r="235" spans="1:7" ht="15">
      <c r="A235" s="384">
        <v>232</v>
      </c>
      <c r="B235" s="302" t="s">
        <v>58</v>
      </c>
      <c r="C235" s="98">
        <v>39066</v>
      </c>
      <c r="D235" s="152" t="s">
        <v>174</v>
      </c>
      <c r="E235" s="152" t="s">
        <v>175</v>
      </c>
      <c r="F235" s="221">
        <v>10</v>
      </c>
      <c r="G235" s="169">
        <v>1</v>
      </c>
    </row>
    <row r="236" spans="1:7" ht="15">
      <c r="A236" s="384">
        <v>233</v>
      </c>
      <c r="B236" s="219" t="s">
        <v>108</v>
      </c>
      <c r="C236" s="98">
        <v>38863</v>
      </c>
      <c r="D236" s="287" t="s">
        <v>5</v>
      </c>
      <c r="E236" s="287" t="s">
        <v>82</v>
      </c>
      <c r="F236" s="221">
        <v>1780</v>
      </c>
      <c r="G236" s="169">
        <v>445</v>
      </c>
    </row>
    <row r="237" spans="1:7" ht="15">
      <c r="A237" s="384">
        <v>234</v>
      </c>
      <c r="B237" s="219" t="s">
        <v>108</v>
      </c>
      <c r="C237" s="98">
        <v>38863</v>
      </c>
      <c r="D237" s="110" t="s">
        <v>5</v>
      </c>
      <c r="E237" s="109" t="s">
        <v>82</v>
      </c>
      <c r="F237" s="221">
        <v>952</v>
      </c>
      <c r="G237" s="169">
        <v>238</v>
      </c>
    </row>
    <row r="238" spans="1:7" ht="15">
      <c r="A238" s="384">
        <v>235</v>
      </c>
      <c r="B238" s="219" t="s">
        <v>108</v>
      </c>
      <c r="C238" s="98">
        <v>38863</v>
      </c>
      <c r="D238" s="110" t="s">
        <v>5</v>
      </c>
      <c r="E238" s="109" t="s">
        <v>82</v>
      </c>
      <c r="F238" s="221">
        <v>952</v>
      </c>
      <c r="G238" s="169">
        <v>238</v>
      </c>
    </row>
    <row r="239" spans="1:7" ht="15">
      <c r="A239" s="384">
        <v>236</v>
      </c>
      <c r="B239" s="219" t="s">
        <v>108</v>
      </c>
      <c r="C239" s="98">
        <v>38863</v>
      </c>
      <c r="D239" s="110" t="s">
        <v>5</v>
      </c>
      <c r="E239" s="109" t="s">
        <v>82</v>
      </c>
      <c r="F239" s="225">
        <v>353.6</v>
      </c>
      <c r="G239" s="169">
        <v>221</v>
      </c>
    </row>
    <row r="240" spans="1:7" ht="15">
      <c r="A240" s="384">
        <v>237</v>
      </c>
      <c r="B240" s="218" t="s">
        <v>297</v>
      </c>
      <c r="C240" s="98">
        <v>39024</v>
      </c>
      <c r="D240" s="106" t="s">
        <v>174</v>
      </c>
      <c r="E240" s="106" t="s">
        <v>15</v>
      </c>
      <c r="F240" s="225">
        <v>5313</v>
      </c>
      <c r="G240" s="169">
        <v>1142</v>
      </c>
    </row>
    <row r="241" spans="1:7" ht="15">
      <c r="A241" s="384">
        <v>238</v>
      </c>
      <c r="B241" s="156" t="s">
        <v>297</v>
      </c>
      <c r="C241" s="98">
        <v>39024</v>
      </c>
      <c r="D241" s="152" t="s">
        <v>174</v>
      </c>
      <c r="E241" s="152" t="s">
        <v>15</v>
      </c>
      <c r="F241" s="221">
        <v>2927</v>
      </c>
      <c r="G241" s="169">
        <v>723</v>
      </c>
    </row>
    <row r="242" spans="1:7" ht="15">
      <c r="A242" s="384">
        <v>239</v>
      </c>
      <c r="B242" s="302" t="s">
        <v>297</v>
      </c>
      <c r="C242" s="98">
        <v>39024</v>
      </c>
      <c r="D242" s="152" t="s">
        <v>174</v>
      </c>
      <c r="E242" s="152" t="s">
        <v>15</v>
      </c>
      <c r="F242" s="221">
        <v>2376</v>
      </c>
      <c r="G242" s="169">
        <v>475</v>
      </c>
    </row>
    <row r="243" spans="1:7" ht="15">
      <c r="A243" s="384">
        <v>240</v>
      </c>
      <c r="B243" s="123" t="s">
        <v>297</v>
      </c>
      <c r="C243" s="126">
        <v>39024</v>
      </c>
      <c r="D243" s="244" t="s">
        <v>174</v>
      </c>
      <c r="E243" s="243" t="s">
        <v>15</v>
      </c>
      <c r="F243" s="227">
        <v>1928</v>
      </c>
      <c r="G243" s="132">
        <v>386</v>
      </c>
    </row>
    <row r="244" spans="1:7" ht="15">
      <c r="A244" s="384">
        <v>241</v>
      </c>
      <c r="B244" s="302" t="s">
        <v>297</v>
      </c>
      <c r="C244" s="98">
        <v>39024</v>
      </c>
      <c r="D244" s="152" t="s">
        <v>174</v>
      </c>
      <c r="E244" s="152" t="s">
        <v>15</v>
      </c>
      <c r="F244" s="221">
        <v>1782</v>
      </c>
      <c r="G244" s="169">
        <v>446</v>
      </c>
    </row>
    <row r="245" spans="1:7" ht="15">
      <c r="A245" s="384">
        <v>242</v>
      </c>
      <c r="B245" s="123" t="s">
        <v>297</v>
      </c>
      <c r="C245" s="126">
        <v>39024</v>
      </c>
      <c r="D245" s="121" t="s">
        <v>174</v>
      </c>
      <c r="E245" s="121" t="s">
        <v>15</v>
      </c>
      <c r="F245" s="227">
        <v>1598</v>
      </c>
      <c r="G245" s="132">
        <v>301</v>
      </c>
    </row>
    <row r="246" spans="1:7" ht="15">
      <c r="A246" s="384">
        <v>243</v>
      </c>
      <c r="B246" s="124" t="s">
        <v>297</v>
      </c>
      <c r="C246" s="98">
        <v>39024</v>
      </c>
      <c r="D246" s="106" t="s">
        <v>174</v>
      </c>
      <c r="E246" s="106" t="s">
        <v>15</v>
      </c>
      <c r="F246" s="221">
        <v>1432</v>
      </c>
      <c r="G246" s="169">
        <v>434</v>
      </c>
    </row>
    <row r="247" spans="1:7" ht="15">
      <c r="A247" s="384">
        <v>244</v>
      </c>
      <c r="B247" s="218" t="s">
        <v>297</v>
      </c>
      <c r="C247" s="98">
        <v>39024</v>
      </c>
      <c r="D247" s="106" t="s">
        <v>174</v>
      </c>
      <c r="E247" s="106" t="s">
        <v>15</v>
      </c>
      <c r="F247" s="221">
        <v>1198</v>
      </c>
      <c r="G247" s="169">
        <v>255</v>
      </c>
    </row>
    <row r="248" spans="1:7" ht="15">
      <c r="A248" s="384">
        <v>245</v>
      </c>
      <c r="B248" s="124" t="s">
        <v>297</v>
      </c>
      <c r="C248" s="98">
        <v>39024</v>
      </c>
      <c r="D248" s="106" t="s">
        <v>174</v>
      </c>
      <c r="E248" s="106" t="s">
        <v>15</v>
      </c>
      <c r="F248" s="221">
        <v>1126</v>
      </c>
      <c r="G248" s="169">
        <v>363</v>
      </c>
    </row>
    <row r="249" spans="1:7" ht="15">
      <c r="A249" s="384">
        <v>246</v>
      </c>
      <c r="B249" s="124" t="s">
        <v>297</v>
      </c>
      <c r="C249" s="98">
        <v>39024</v>
      </c>
      <c r="D249" s="252" t="s">
        <v>174</v>
      </c>
      <c r="E249" s="252" t="s">
        <v>15</v>
      </c>
      <c r="F249" s="221">
        <v>224</v>
      </c>
      <c r="G249" s="169">
        <v>28</v>
      </c>
    </row>
    <row r="250" spans="1:7" ht="15">
      <c r="A250" s="384">
        <v>247</v>
      </c>
      <c r="B250" s="302" t="s">
        <v>297</v>
      </c>
      <c r="C250" s="98">
        <v>39024</v>
      </c>
      <c r="D250" s="152" t="s">
        <v>174</v>
      </c>
      <c r="E250" s="152" t="s">
        <v>15</v>
      </c>
      <c r="F250" s="221">
        <v>213</v>
      </c>
      <c r="G250" s="169">
        <v>48</v>
      </c>
    </row>
    <row r="251" spans="1:7" ht="15">
      <c r="A251" s="384">
        <v>248</v>
      </c>
      <c r="B251" s="218" t="s">
        <v>297</v>
      </c>
      <c r="C251" s="98">
        <v>39024</v>
      </c>
      <c r="D251" s="106" t="s">
        <v>174</v>
      </c>
      <c r="E251" s="106" t="s">
        <v>15</v>
      </c>
      <c r="F251" s="221">
        <v>10</v>
      </c>
      <c r="G251" s="169">
        <v>2</v>
      </c>
    </row>
    <row r="252" spans="1:7" ht="15">
      <c r="A252" s="384">
        <v>249</v>
      </c>
      <c r="B252" s="218" t="s">
        <v>297</v>
      </c>
      <c r="C252" s="98">
        <v>39024</v>
      </c>
      <c r="D252" s="106" t="s">
        <v>174</v>
      </c>
      <c r="E252" s="106" t="s">
        <v>15</v>
      </c>
      <c r="F252" s="221">
        <v>8</v>
      </c>
      <c r="G252" s="169">
        <v>1</v>
      </c>
    </row>
    <row r="253" spans="1:7" ht="15">
      <c r="A253" s="384">
        <v>250</v>
      </c>
      <c r="B253" s="123" t="s">
        <v>291</v>
      </c>
      <c r="C253" s="126">
        <v>39073</v>
      </c>
      <c r="D253" s="121" t="s">
        <v>174</v>
      </c>
      <c r="E253" s="121" t="s">
        <v>174</v>
      </c>
      <c r="F253" s="227">
        <v>996891</v>
      </c>
      <c r="G253" s="132">
        <v>140459</v>
      </c>
    </row>
    <row r="254" spans="1:7" ht="15">
      <c r="A254" s="384">
        <v>251</v>
      </c>
      <c r="B254" s="156" t="s">
        <v>291</v>
      </c>
      <c r="C254" s="98">
        <v>39073</v>
      </c>
      <c r="D254" s="152" t="s">
        <v>174</v>
      </c>
      <c r="E254" s="152" t="s">
        <v>174</v>
      </c>
      <c r="F254" s="221">
        <v>491242.5</v>
      </c>
      <c r="G254" s="169">
        <v>66355</v>
      </c>
    </row>
    <row r="255" spans="1:7" ht="15">
      <c r="A255" s="384">
        <v>252</v>
      </c>
      <c r="B255" s="124" t="s">
        <v>291</v>
      </c>
      <c r="C255" s="98">
        <v>39073</v>
      </c>
      <c r="D255" s="106" t="s">
        <v>174</v>
      </c>
      <c r="E255" s="106" t="s">
        <v>174</v>
      </c>
      <c r="F255" s="221">
        <v>184490.5</v>
      </c>
      <c r="G255" s="169">
        <v>26647</v>
      </c>
    </row>
    <row r="256" spans="1:7" ht="15">
      <c r="A256" s="384">
        <v>253</v>
      </c>
      <c r="B256" s="218" t="s">
        <v>291</v>
      </c>
      <c r="C256" s="98">
        <v>39073</v>
      </c>
      <c r="D256" s="106" t="s">
        <v>174</v>
      </c>
      <c r="E256" s="106" t="s">
        <v>174</v>
      </c>
      <c r="F256" s="221">
        <v>82961.5</v>
      </c>
      <c r="G256" s="169">
        <v>26647</v>
      </c>
    </row>
    <row r="257" spans="1:7" ht="15">
      <c r="A257" s="384">
        <v>254</v>
      </c>
      <c r="B257" s="123" t="s">
        <v>291</v>
      </c>
      <c r="C257" s="126">
        <v>39073</v>
      </c>
      <c r="D257" s="244" t="s">
        <v>174</v>
      </c>
      <c r="E257" s="243" t="s">
        <v>174</v>
      </c>
      <c r="F257" s="227">
        <v>24501.5</v>
      </c>
      <c r="G257" s="132">
        <v>4854</v>
      </c>
    </row>
    <row r="258" spans="1:7" ht="15">
      <c r="A258" s="384">
        <v>255</v>
      </c>
      <c r="B258" s="124" t="s">
        <v>291</v>
      </c>
      <c r="C258" s="98">
        <v>39073</v>
      </c>
      <c r="D258" s="106" t="s">
        <v>174</v>
      </c>
      <c r="E258" s="106" t="s">
        <v>174</v>
      </c>
      <c r="F258" s="221">
        <v>17956.5</v>
      </c>
      <c r="G258" s="169">
        <v>3232</v>
      </c>
    </row>
    <row r="259" spans="1:7" ht="15">
      <c r="A259" s="384">
        <v>256</v>
      </c>
      <c r="B259" s="124" t="s">
        <v>291</v>
      </c>
      <c r="C259" s="98">
        <v>39073</v>
      </c>
      <c r="D259" s="252" t="s">
        <v>174</v>
      </c>
      <c r="E259" s="252" t="s">
        <v>174</v>
      </c>
      <c r="F259" s="221">
        <v>8405</v>
      </c>
      <c r="G259" s="169">
        <v>1984</v>
      </c>
    </row>
    <row r="260" spans="1:7" ht="15">
      <c r="A260" s="384">
        <v>257</v>
      </c>
      <c r="B260" s="218" t="s">
        <v>291</v>
      </c>
      <c r="C260" s="98">
        <v>39073</v>
      </c>
      <c r="D260" s="106" t="s">
        <v>174</v>
      </c>
      <c r="E260" s="106" t="s">
        <v>174</v>
      </c>
      <c r="F260" s="221">
        <v>3378.5</v>
      </c>
      <c r="G260" s="169">
        <v>1198</v>
      </c>
    </row>
    <row r="261" spans="1:7" ht="15">
      <c r="A261" s="384">
        <v>258</v>
      </c>
      <c r="B261" s="218" t="s">
        <v>291</v>
      </c>
      <c r="C261" s="98">
        <v>39073</v>
      </c>
      <c r="D261" s="106" t="s">
        <v>174</v>
      </c>
      <c r="E261" s="106" t="s">
        <v>174</v>
      </c>
      <c r="F261" s="225">
        <v>2380</v>
      </c>
      <c r="G261" s="169">
        <v>430</v>
      </c>
    </row>
    <row r="262" spans="1:7" ht="15">
      <c r="A262" s="384">
        <v>259</v>
      </c>
      <c r="B262" s="302" t="s">
        <v>291</v>
      </c>
      <c r="C262" s="98">
        <v>39073</v>
      </c>
      <c r="D262" s="152" t="s">
        <v>174</v>
      </c>
      <c r="E262" s="152" t="s">
        <v>174</v>
      </c>
      <c r="F262" s="221">
        <v>1782</v>
      </c>
      <c r="G262" s="169">
        <v>446</v>
      </c>
    </row>
    <row r="263" spans="1:7" ht="15">
      <c r="A263" s="384">
        <v>260</v>
      </c>
      <c r="B263" s="218" t="s">
        <v>291</v>
      </c>
      <c r="C263" s="98">
        <v>39073</v>
      </c>
      <c r="D263" s="106" t="s">
        <v>174</v>
      </c>
      <c r="E263" s="106" t="s">
        <v>174</v>
      </c>
      <c r="F263" s="221">
        <v>1510.5</v>
      </c>
      <c r="G263" s="169">
        <v>378</v>
      </c>
    </row>
    <row r="264" spans="1:7" ht="15">
      <c r="A264" s="384">
        <v>261</v>
      </c>
      <c r="B264" s="218" t="s">
        <v>291</v>
      </c>
      <c r="C264" s="98">
        <v>39073</v>
      </c>
      <c r="D264" s="106" t="s">
        <v>81</v>
      </c>
      <c r="E264" s="106" t="s">
        <v>174</v>
      </c>
      <c r="F264" s="221">
        <v>848</v>
      </c>
      <c r="G264" s="169">
        <v>350</v>
      </c>
    </row>
    <row r="265" spans="1:7" ht="15">
      <c r="A265" s="384">
        <v>262</v>
      </c>
      <c r="B265" s="218" t="s">
        <v>291</v>
      </c>
      <c r="C265" s="98">
        <v>39073</v>
      </c>
      <c r="D265" s="106" t="s">
        <v>174</v>
      </c>
      <c r="E265" s="106" t="s">
        <v>174</v>
      </c>
      <c r="F265" s="221">
        <v>497.5</v>
      </c>
      <c r="G265" s="169">
        <v>100</v>
      </c>
    </row>
    <row r="266" spans="1:7" ht="15">
      <c r="A266" s="384">
        <v>263</v>
      </c>
      <c r="B266" s="218" t="s">
        <v>291</v>
      </c>
      <c r="C266" s="98">
        <v>39073</v>
      </c>
      <c r="D266" s="106" t="s">
        <v>174</v>
      </c>
      <c r="E266" s="106" t="s">
        <v>174</v>
      </c>
      <c r="F266" s="221">
        <v>178</v>
      </c>
      <c r="G266" s="169">
        <v>18</v>
      </c>
    </row>
    <row r="267" spans="1:7" ht="15">
      <c r="A267" s="384">
        <v>264</v>
      </c>
      <c r="B267" s="299" t="s">
        <v>291</v>
      </c>
      <c r="C267" s="293">
        <v>39073</v>
      </c>
      <c r="D267" s="292" t="s">
        <v>174</v>
      </c>
      <c r="E267" s="292" t="s">
        <v>174</v>
      </c>
      <c r="F267" s="304">
        <v>140</v>
      </c>
      <c r="G267" s="306">
        <v>35</v>
      </c>
    </row>
    <row r="268" spans="1:7" ht="15">
      <c r="A268" s="384">
        <v>265</v>
      </c>
      <c r="B268" s="218" t="s">
        <v>291</v>
      </c>
      <c r="C268" s="98">
        <v>39073</v>
      </c>
      <c r="D268" s="106" t="s">
        <v>174</v>
      </c>
      <c r="E268" s="106" t="s">
        <v>174</v>
      </c>
      <c r="F268" s="221">
        <v>14</v>
      </c>
      <c r="G268" s="169">
        <v>2</v>
      </c>
    </row>
    <row r="269" spans="1:7" ht="15">
      <c r="A269" s="384">
        <v>266</v>
      </c>
      <c r="B269" s="125" t="s">
        <v>133</v>
      </c>
      <c r="C269" s="98">
        <v>38779</v>
      </c>
      <c r="D269" s="110" t="s">
        <v>5</v>
      </c>
      <c r="E269" s="109" t="s">
        <v>134</v>
      </c>
      <c r="F269" s="221">
        <v>952</v>
      </c>
      <c r="G269" s="169">
        <v>238</v>
      </c>
    </row>
    <row r="270" spans="1:7" ht="15">
      <c r="A270" s="384">
        <v>267</v>
      </c>
      <c r="B270" s="122" t="s">
        <v>325</v>
      </c>
      <c r="C270" s="97">
        <v>38933</v>
      </c>
      <c r="D270" s="104" t="s">
        <v>164</v>
      </c>
      <c r="E270" s="104" t="s">
        <v>178</v>
      </c>
      <c r="F270" s="223">
        <v>1785</v>
      </c>
      <c r="G270" s="170">
        <v>255</v>
      </c>
    </row>
    <row r="271" spans="1:7" ht="15">
      <c r="A271" s="384">
        <v>268</v>
      </c>
      <c r="B271" s="217" t="s">
        <v>325</v>
      </c>
      <c r="C271" s="97">
        <v>38933</v>
      </c>
      <c r="D271" s="104" t="s">
        <v>164</v>
      </c>
      <c r="E271" s="104" t="s">
        <v>178</v>
      </c>
      <c r="F271" s="223">
        <v>1782</v>
      </c>
      <c r="G271" s="170">
        <v>267</v>
      </c>
    </row>
    <row r="272" spans="1:7" ht="15">
      <c r="A272" s="384">
        <v>269</v>
      </c>
      <c r="B272" s="155" t="s">
        <v>325</v>
      </c>
      <c r="C272" s="97">
        <v>38933</v>
      </c>
      <c r="D272" s="153" t="s">
        <v>164</v>
      </c>
      <c r="E272" s="153" t="s">
        <v>178</v>
      </c>
      <c r="F272" s="223">
        <v>598</v>
      </c>
      <c r="G272" s="170">
        <v>119</v>
      </c>
    </row>
    <row r="273" spans="1:7" ht="15">
      <c r="A273" s="384">
        <v>270</v>
      </c>
      <c r="B273" s="217" t="s">
        <v>325</v>
      </c>
      <c r="C273" s="97">
        <v>38933</v>
      </c>
      <c r="D273" s="104" t="s">
        <v>164</v>
      </c>
      <c r="E273" s="104" t="s">
        <v>178</v>
      </c>
      <c r="F273" s="223">
        <v>100</v>
      </c>
      <c r="G273" s="170">
        <v>20</v>
      </c>
    </row>
    <row r="274" spans="1:7" ht="15">
      <c r="A274" s="384">
        <v>271</v>
      </c>
      <c r="B274" s="217" t="s">
        <v>325</v>
      </c>
      <c r="C274" s="97">
        <v>38933</v>
      </c>
      <c r="D274" s="104" t="s">
        <v>164</v>
      </c>
      <c r="E274" s="104" t="s">
        <v>178</v>
      </c>
      <c r="F274" s="223">
        <v>72</v>
      </c>
      <c r="G274" s="170">
        <v>18</v>
      </c>
    </row>
    <row r="275" spans="1:7" ht="15">
      <c r="A275" s="384">
        <v>272</v>
      </c>
      <c r="B275" s="122" t="s">
        <v>194</v>
      </c>
      <c r="C275" s="97">
        <v>39059</v>
      </c>
      <c r="D275" s="105" t="s">
        <v>172</v>
      </c>
      <c r="E275" s="104" t="s">
        <v>80</v>
      </c>
      <c r="F275" s="222">
        <v>1910</v>
      </c>
      <c r="G275" s="168">
        <v>284</v>
      </c>
    </row>
    <row r="276" spans="1:7" ht="15">
      <c r="A276" s="384">
        <v>273</v>
      </c>
      <c r="B276" s="122" t="s">
        <v>194</v>
      </c>
      <c r="C276" s="97">
        <v>39059</v>
      </c>
      <c r="D276" s="105" t="s">
        <v>172</v>
      </c>
      <c r="E276" s="104" t="s">
        <v>80</v>
      </c>
      <c r="F276" s="226">
        <v>1109</v>
      </c>
      <c r="G276" s="131">
        <v>168</v>
      </c>
    </row>
    <row r="277" spans="1:7" ht="15">
      <c r="A277" s="384">
        <v>274</v>
      </c>
      <c r="B277" s="155" t="s">
        <v>194</v>
      </c>
      <c r="C277" s="97">
        <v>39059</v>
      </c>
      <c r="D277" s="153" t="s">
        <v>172</v>
      </c>
      <c r="E277" s="153" t="s">
        <v>80</v>
      </c>
      <c r="F277" s="222">
        <v>911</v>
      </c>
      <c r="G277" s="168">
        <v>163</v>
      </c>
    </row>
    <row r="278" spans="1:7" ht="15">
      <c r="A278" s="384">
        <v>275</v>
      </c>
      <c r="B278" s="217" t="s">
        <v>194</v>
      </c>
      <c r="C278" s="97">
        <v>39059</v>
      </c>
      <c r="D278" s="105" t="s">
        <v>172</v>
      </c>
      <c r="E278" s="104" t="s">
        <v>80</v>
      </c>
      <c r="F278" s="222">
        <v>492</v>
      </c>
      <c r="G278" s="168">
        <v>70</v>
      </c>
    </row>
    <row r="279" spans="1:7" ht="15">
      <c r="A279" s="384">
        <v>276</v>
      </c>
      <c r="B279" s="217" t="s">
        <v>194</v>
      </c>
      <c r="C279" s="97">
        <v>39059</v>
      </c>
      <c r="D279" s="105" t="s">
        <v>172</v>
      </c>
      <c r="E279" s="104" t="s">
        <v>80</v>
      </c>
      <c r="F279" s="226">
        <v>452</v>
      </c>
      <c r="G279" s="168">
        <v>72</v>
      </c>
    </row>
    <row r="280" spans="1:7" ht="15">
      <c r="A280" s="384">
        <v>277</v>
      </c>
      <c r="B280" s="217" t="s">
        <v>194</v>
      </c>
      <c r="C280" s="97">
        <v>39059</v>
      </c>
      <c r="D280" s="105" t="s">
        <v>172</v>
      </c>
      <c r="E280" s="104" t="s">
        <v>80</v>
      </c>
      <c r="F280" s="226">
        <v>190</v>
      </c>
      <c r="G280" s="168">
        <v>38</v>
      </c>
    </row>
    <row r="281" spans="1:7" ht="15">
      <c r="A281" s="384">
        <v>278</v>
      </c>
      <c r="B281" s="220" t="s">
        <v>194</v>
      </c>
      <c r="C281" s="97">
        <v>39059</v>
      </c>
      <c r="D281" s="286" t="s">
        <v>172</v>
      </c>
      <c r="E281" s="286" t="s">
        <v>80</v>
      </c>
      <c r="F281" s="222">
        <v>76</v>
      </c>
      <c r="G281" s="168">
        <v>12</v>
      </c>
    </row>
    <row r="282" spans="1:7" ht="15">
      <c r="A282" s="384">
        <v>279</v>
      </c>
      <c r="B282" s="301" t="s">
        <v>194</v>
      </c>
      <c r="C282" s="97">
        <v>39059</v>
      </c>
      <c r="D282" s="153" t="s">
        <v>172</v>
      </c>
      <c r="E282" s="153" t="s">
        <v>80</v>
      </c>
      <c r="F282" s="222">
        <v>71</v>
      </c>
      <c r="G282" s="168">
        <v>12</v>
      </c>
    </row>
    <row r="283" spans="1:7" ht="15">
      <c r="A283" s="384">
        <v>280</v>
      </c>
      <c r="B283" s="123" t="s">
        <v>57</v>
      </c>
      <c r="C283" s="126">
        <v>39066</v>
      </c>
      <c r="D283" s="106" t="s">
        <v>173</v>
      </c>
      <c r="E283" s="121" t="s">
        <v>181</v>
      </c>
      <c r="F283" s="227">
        <v>464996</v>
      </c>
      <c r="G283" s="132">
        <v>59280</v>
      </c>
    </row>
    <row r="284" spans="1:7" ht="15">
      <c r="A284" s="384">
        <v>281</v>
      </c>
      <c r="B284" s="156" t="s">
        <v>57</v>
      </c>
      <c r="C284" s="98">
        <v>39066</v>
      </c>
      <c r="D284" s="152" t="s">
        <v>173</v>
      </c>
      <c r="E284" s="152" t="s">
        <v>181</v>
      </c>
      <c r="F284" s="221">
        <v>113805</v>
      </c>
      <c r="G284" s="169">
        <v>17354</v>
      </c>
    </row>
    <row r="285" spans="1:7" ht="15">
      <c r="A285" s="384">
        <v>282</v>
      </c>
      <c r="B285" s="124" t="s">
        <v>57</v>
      </c>
      <c r="C285" s="98">
        <v>39066</v>
      </c>
      <c r="D285" s="106" t="s">
        <v>173</v>
      </c>
      <c r="E285" s="106" t="s">
        <v>181</v>
      </c>
      <c r="F285" s="221">
        <v>53915</v>
      </c>
      <c r="G285" s="169">
        <v>10777</v>
      </c>
    </row>
    <row r="286" spans="1:7" ht="15">
      <c r="A286" s="384">
        <v>283</v>
      </c>
      <c r="B286" s="218" t="s">
        <v>57</v>
      </c>
      <c r="C286" s="98">
        <v>39066</v>
      </c>
      <c r="D286" s="106" t="s">
        <v>173</v>
      </c>
      <c r="E286" s="106" t="s">
        <v>181</v>
      </c>
      <c r="F286" s="221">
        <v>25324</v>
      </c>
      <c r="G286" s="169">
        <v>4706</v>
      </c>
    </row>
    <row r="287" spans="1:7" ht="15">
      <c r="A287" s="384">
        <v>284</v>
      </c>
      <c r="B287" s="218" t="s">
        <v>57</v>
      </c>
      <c r="C287" s="98">
        <v>39066</v>
      </c>
      <c r="D287" s="106" t="s">
        <v>173</v>
      </c>
      <c r="E287" s="106" t="s">
        <v>181</v>
      </c>
      <c r="F287" s="225">
        <v>18828</v>
      </c>
      <c r="G287" s="169">
        <v>3600</v>
      </c>
    </row>
    <row r="288" spans="1:7" ht="15">
      <c r="A288" s="384">
        <v>285</v>
      </c>
      <c r="B288" s="124" t="s">
        <v>57</v>
      </c>
      <c r="C288" s="98">
        <v>39066</v>
      </c>
      <c r="D288" s="106" t="s">
        <v>173</v>
      </c>
      <c r="E288" s="106" t="s">
        <v>181</v>
      </c>
      <c r="F288" s="221">
        <v>13632</v>
      </c>
      <c r="G288" s="169">
        <v>2800</v>
      </c>
    </row>
    <row r="289" spans="1:7" ht="15">
      <c r="A289" s="384">
        <v>286</v>
      </c>
      <c r="B289" s="123" t="s">
        <v>57</v>
      </c>
      <c r="C289" s="126">
        <v>39066</v>
      </c>
      <c r="D289" s="244" t="s">
        <v>173</v>
      </c>
      <c r="E289" s="244" t="s">
        <v>181</v>
      </c>
      <c r="F289" s="227">
        <v>7655</v>
      </c>
      <c r="G289" s="132">
        <v>1253</v>
      </c>
    </row>
    <row r="290" spans="1:7" ht="15">
      <c r="A290" s="384">
        <v>287</v>
      </c>
      <c r="B290" s="124" t="s">
        <v>57</v>
      </c>
      <c r="C290" s="98">
        <v>39066</v>
      </c>
      <c r="D290" s="252" t="s">
        <v>173</v>
      </c>
      <c r="E290" s="252" t="s">
        <v>181</v>
      </c>
      <c r="F290" s="221">
        <v>1899</v>
      </c>
      <c r="G290" s="169">
        <v>287</v>
      </c>
    </row>
    <row r="291" spans="1:7" ht="15">
      <c r="A291" s="384">
        <v>288</v>
      </c>
      <c r="B291" s="219" t="s">
        <v>57</v>
      </c>
      <c r="C291" s="98">
        <v>39073</v>
      </c>
      <c r="D291" s="287" t="s">
        <v>173</v>
      </c>
      <c r="E291" s="287" t="s">
        <v>181</v>
      </c>
      <c r="F291" s="221">
        <v>1750</v>
      </c>
      <c r="G291" s="169">
        <v>525</v>
      </c>
    </row>
    <row r="292" spans="1:7" ht="15">
      <c r="A292" s="384">
        <v>289</v>
      </c>
      <c r="B292" s="218" t="s">
        <v>57</v>
      </c>
      <c r="C292" s="98">
        <v>39066</v>
      </c>
      <c r="D292" s="106" t="s">
        <v>173</v>
      </c>
      <c r="E292" s="106" t="s">
        <v>181</v>
      </c>
      <c r="F292" s="221">
        <v>1312</v>
      </c>
      <c r="G292" s="169">
        <v>164</v>
      </c>
    </row>
    <row r="293" spans="1:7" ht="15">
      <c r="A293" s="384">
        <v>290</v>
      </c>
      <c r="B293" s="510" t="s">
        <v>57</v>
      </c>
      <c r="C293" s="477">
        <v>39073</v>
      </c>
      <c r="D293" s="478" t="s">
        <v>173</v>
      </c>
      <c r="E293" s="478" t="s">
        <v>179</v>
      </c>
      <c r="F293" s="511">
        <v>1214</v>
      </c>
      <c r="G293" s="479">
        <v>237</v>
      </c>
    </row>
    <row r="294" spans="1:7" ht="15">
      <c r="A294" s="384">
        <v>291</v>
      </c>
      <c r="B294" s="218" t="s">
        <v>57</v>
      </c>
      <c r="C294" s="98">
        <v>39073</v>
      </c>
      <c r="D294" s="106" t="s">
        <v>173</v>
      </c>
      <c r="E294" s="106" t="s">
        <v>179</v>
      </c>
      <c r="F294" s="221">
        <v>1004</v>
      </c>
      <c r="G294" s="169">
        <v>160</v>
      </c>
    </row>
    <row r="295" spans="1:7" ht="15">
      <c r="A295" s="384">
        <v>292</v>
      </c>
      <c r="B295" s="253" t="s">
        <v>57</v>
      </c>
      <c r="C295" s="126">
        <v>39066</v>
      </c>
      <c r="D295" s="244" t="s">
        <v>173</v>
      </c>
      <c r="E295" s="244" t="s">
        <v>181</v>
      </c>
      <c r="F295" s="227">
        <v>482</v>
      </c>
      <c r="G295" s="132">
        <v>91</v>
      </c>
    </row>
    <row r="296" spans="1:7" ht="15">
      <c r="A296" s="384">
        <v>293</v>
      </c>
      <c r="B296" s="218" t="s">
        <v>57</v>
      </c>
      <c r="C296" s="98">
        <v>39073</v>
      </c>
      <c r="D296" s="106" t="s">
        <v>173</v>
      </c>
      <c r="E296" s="106" t="s">
        <v>179</v>
      </c>
      <c r="F296" s="221">
        <v>74</v>
      </c>
      <c r="G296" s="169">
        <v>11</v>
      </c>
    </row>
    <row r="297" spans="1:7" ht="15">
      <c r="A297" s="384">
        <v>294</v>
      </c>
      <c r="B297" s="125" t="s">
        <v>202</v>
      </c>
      <c r="C297" s="98">
        <v>38898</v>
      </c>
      <c r="D297" s="110" t="s">
        <v>5</v>
      </c>
      <c r="E297" s="109" t="s">
        <v>328</v>
      </c>
      <c r="F297" s="225">
        <v>1068</v>
      </c>
      <c r="G297" s="134">
        <v>356</v>
      </c>
    </row>
    <row r="298" spans="1:7" ht="15">
      <c r="A298" s="384">
        <v>295</v>
      </c>
      <c r="B298" s="125" t="s">
        <v>202</v>
      </c>
      <c r="C298" s="98">
        <v>38898</v>
      </c>
      <c r="D298" s="110" t="s">
        <v>5</v>
      </c>
      <c r="E298" s="109" t="s">
        <v>328</v>
      </c>
      <c r="F298" s="221">
        <v>454.3</v>
      </c>
      <c r="G298" s="169">
        <v>278</v>
      </c>
    </row>
    <row r="299" spans="1:7" ht="15">
      <c r="A299" s="384">
        <v>296</v>
      </c>
      <c r="B299" s="125" t="s">
        <v>202</v>
      </c>
      <c r="C299" s="98">
        <v>38898</v>
      </c>
      <c r="D299" s="110" t="s">
        <v>5</v>
      </c>
      <c r="E299" s="109" t="s">
        <v>328</v>
      </c>
      <c r="F299" s="221">
        <v>400</v>
      </c>
      <c r="G299" s="169">
        <v>80</v>
      </c>
    </row>
    <row r="300" spans="1:7" ht="15">
      <c r="A300" s="384">
        <v>297</v>
      </c>
      <c r="B300" s="156" t="s">
        <v>202</v>
      </c>
      <c r="C300" s="98">
        <v>38898</v>
      </c>
      <c r="D300" s="152" t="s">
        <v>5</v>
      </c>
      <c r="E300" s="152" t="s">
        <v>328</v>
      </c>
      <c r="F300" s="221">
        <v>30.5</v>
      </c>
      <c r="G300" s="169">
        <v>12</v>
      </c>
    </row>
    <row r="301" spans="1:7" ht="15">
      <c r="A301" s="384">
        <v>298</v>
      </c>
      <c r="B301" s="253" t="s">
        <v>84</v>
      </c>
      <c r="C301" s="126">
        <v>38947</v>
      </c>
      <c r="D301" s="244" t="s">
        <v>174</v>
      </c>
      <c r="E301" s="244" t="s">
        <v>175</v>
      </c>
      <c r="F301" s="227">
        <v>28400</v>
      </c>
      <c r="G301" s="132">
        <v>5667</v>
      </c>
    </row>
    <row r="302" spans="1:7" ht="15">
      <c r="A302" s="384">
        <v>299</v>
      </c>
      <c r="B302" s="218" t="s">
        <v>84</v>
      </c>
      <c r="C302" s="98">
        <v>38947</v>
      </c>
      <c r="D302" s="106" t="s">
        <v>174</v>
      </c>
      <c r="E302" s="106" t="s">
        <v>175</v>
      </c>
      <c r="F302" s="225">
        <v>4027.5</v>
      </c>
      <c r="G302" s="134">
        <v>806</v>
      </c>
    </row>
    <row r="303" spans="1:7" ht="15">
      <c r="A303" s="384">
        <v>300</v>
      </c>
      <c r="B303" s="123" t="s">
        <v>84</v>
      </c>
      <c r="C303" s="126">
        <v>38947</v>
      </c>
      <c r="D303" s="121" t="s">
        <v>174</v>
      </c>
      <c r="E303" s="121" t="s">
        <v>175</v>
      </c>
      <c r="F303" s="227">
        <v>1386</v>
      </c>
      <c r="G303" s="132">
        <v>318</v>
      </c>
    </row>
    <row r="304" spans="1:7" ht="15">
      <c r="A304" s="384">
        <v>301</v>
      </c>
      <c r="B304" s="156" t="s">
        <v>84</v>
      </c>
      <c r="C304" s="98">
        <v>38947</v>
      </c>
      <c r="D304" s="152" t="s">
        <v>174</v>
      </c>
      <c r="E304" s="152" t="s">
        <v>175</v>
      </c>
      <c r="F304" s="221">
        <v>611</v>
      </c>
      <c r="G304" s="169">
        <v>132</v>
      </c>
    </row>
    <row r="305" spans="1:7" ht="15">
      <c r="A305" s="384">
        <v>302</v>
      </c>
      <c r="B305" s="124" t="s">
        <v>84</v>
      </c>
      <c r="C305" s="98">
        <v>38947</v>
      </c>
      <c r="D305" s="252" t="s">
        <v>174</v>
      </c>
      <c r="E305" s="252" t="s">
        <v>175</v>
      </c>
      <c r="F305" s="221">
        <v>530</v>
      </c>
      <c r="G305" s="169">
        <v>105</v>
      </c>
    </row>
    <row r="306" spans="1:7" ht="15">
      <c r="A306" s="384">
        <v>303</v>
      </c>
      <c r="B306" s="124" t="s">
        <v>84</v>
      </c>
      <c r="C306" s="98">
        <v>38947</v>
      </c>
      <c r="D306" s="252" t="s">
        <v>174</v>
      </c>
      <c r="E306" s="252" t="s">
        <v>175</v>
      </c>
      <c r="F306" s="221">
        <v>416</v>
      </c>
      <c r="G306" s="169">
        <v>100</v>
      </c>
    </row>
    <row r="307" spans="1:7" ht="15">
      <c r="A307" s="384">
        <v>304</v>
      </c>
      <c r="B307" s="218" t="s">
        <v>84</v>
      </c>
      <c r="C307" s="98">
        <v>38947</v>
      </c>
      <c r="D307" s="106" t="s">
        <v>81</v>
      </c>
      <c r="E307" s="106" t="s">
        <v>175</v>
      </c>
      <c r="F307" s="221">
        <v>130</v>
      </c>
      <c r="G307" s="169">
        <v>18</v>
      </c>
    </row>
    <row r="308" spans="1:7" ht="15">
      <c r="A308" s="384">
        <v>305</v>
      </c>
      <c r="B308" s="302" t="s">
        <v>463</v>
      </c>
      <c r="C308" s="98">
        <v>38947</v>
      </c>
      <c r="D308" s="152" t="s">
        <v>174</v>
      </c>
      <c r="E308" s="152" t="s">
        <v>175</v>
      </c>
      <c r="F308" s="221">
        <v>3201.5</v>
      </c>
      <c r="G308" s="169">
        <v>801</v>
      </c>
    </row>
    <row r="309" spans="1:7" ht="15">
      <c r="A309" s="384">
        <v>306</v>
      </c>
      <c r="B309" s="302" t="s">
        <v>463</v>
      </c>
      <c r="C309" s="98">
        <v>38947</v>
      </c>
      <c r="D309" s="152" t="s">
        <v>174</v>
      </c>
      <c r="E309" s="152" t="s">
        <v>175</v>
      </c>
      <c r="F309" s="442">
        <v>1128</v>
      </c>
      <c r="G309" s="512">
        <v>188</v>
      </c>
    </row>
    <row r="310" spans="1:7" ht="15">
      <c r="A310" s="384">
        <v>307</v>
      </c>
      <c r="B310" s="302" t="s">
        <v>463</v>
      </c>
      <c r="C310" s="98">
        <v>38947</v>
      </c>
      <c r="D310" s="152" t="s">
        <v>174</v>
      </c>
      <c r="E310" s="152" t="s">
        <v>175</v>
      </c>
      <c r="F310" s="221">
        <v>838</v>
      </c>
      <c r="G310" s="169">
        <v>209</v>
      </c>
    </row>
    <row r="311" spans="1:7" ht="15">
      <c r="A311" s="384">
        <v>308</v>
      </c>
      <c r="B311" s="302" t="s">
        <v>35</v>
      </c>
      <c r="C311" s="98">
        <v>38429</v>
      </c>
      <c r="D311" s="152" t="s">
        <v>174</v>
      </c>
      <c r="E311" s="152" t="s">
        <v>36</v>
      </c>
      <c r="F311" s="221">
        <v>2376</v>
      </c>
      <c r="G311" s="169">
        <v>594</v>
      </c>
    </row>
    <row r="312" spans="1:7" ht="15">
      <c r="A312" s="384">
        <v>309</v>
      </c>
      <c r="B312" s="218" t="s">
        <v>35</v>
      </c>
      <c r="C312" s="98">
        <v>38429</v>
      </c>
      <c r="D312" s="106" t="s">
        <v>174</v>
      </c>
      <c r="E312" s="106" t="s">
        <v>36</v>
      </c>
      <c r="F312" s="221">
        <v>2013.5</v>
      </c>
      <c r="G312" s="169">
        <v>503</v>
      </c>
    </row>
    <row r="313" spans="1:7" ht="15">
      <c r="A313" s="384">
        <v>310</v>
      </c>
      <c r="B313" s="220" t="s">
        <v>429</v>
      </c>
      <c r="C313" s="97">
        <v>38464</v>
      </c>
      <c r="D313" s="107" t="s">
        <v>162</v>
      </c>
      <c r="E313" s="107" t="s">
        <v>430</v>
      </c>
      <c r="F313" s="222">
        <v>5346</v>
      </c>
      <c r="G313" s="168">
        <v>1782</v>
      </c>
    </row>
    <row r="314" spans="1:7" ht="15">
      <c r="A314" s="384">
        <v>311</v>
      </c>
      <c r="B314" s="123" t="s">
        <v>18</v>
      </c>
      <c r="C314" s="126">
        <v>39031</v>
      </c>
      <c r="D314" s="121" t="s">
        <v>174</v>
      </c>
      <c r="E314" s="121" t="s">
        <v>175</v>
      </c>
      <c r="F314" s="227">
        <v>3021</v>
      </c>
      <c r="G314" s="132">
        <v>605</v>
      </c>
    </row>
    <row r="315" spans="1:7" ht="15">
      <c r="A315" s="384">
        <v>312</v>
      </c>
      <c r="B315" s="124" t="s">
        <v>18</v>
      </c>
      <c r="C315" s="98">
        <v>39031</v>
      </c>
      <c r="D315" s="106" t="s">
        <v>174</v>
      </c>
      <c r="E315" s="106" t="s">
        <v>175</v>
      </c>
      <c r="F315" s="221">
        <v>858</v>
      </c>
      <c r="G315" s="169">
        <v>170</v>
      </c>
    </row>
    <row r="316" spans="1:7" ht="15">
      <c r="A316" s="384">
        <v>313</v>
      </c>
      <c r="B316" s="218" t="s">
        <v>18</v>
      </c>
      <c r="C316" s="98">
        <v>39031</v>
      </c>
      <c r="D316" s="106" t="s">
        <v>174</v>
      </c>
      <c r="E316" s="106" t="s">
        <v>175</v>
      </c>
      <c r="F316" s="221">
        <v>32</v>
      </c>
      <c r="G316" s="169">
        <v>4</v>
      </c>
    </row>
    <row r="317" spans="1:7" ht="15">
      <c r="A317" s="384">
        <v>314</v>
      </c>
      <c r="B317" s="122" t="s">
        <v>206</v>
      </c>
      <c r="C317" s="97">
        <v>39010</v>
      </c>
      <c r="D317" s="105" t="s">
        <v>172</v>
      </c>
      <c r="E317" s="104" t="s">
        <v>187</v>
      </c>
      <c r="F317" s="226">
        <v>1876</v>
      </c>
      <c r="G317" s="131">
        <v>410</v>
      </c>
    </row>
    <row r="318" spans="1:7" ht="15">
      <c r="A318" s="384">
        <v>315</v>
      </c>
      <c r="B318" s="155" t="s">
        <v>206</v>
      </c>
      <c r="C318" s="97">
        <v>39010</v>
      </c>
      <c r="D318" s="153" t="s">
        <v>172</v>
      </c>
      <c r="E318" s="153" t="s">
        <v>187</v>
      </c>
      <c r="F318" s="222">
        <v>582</v>
      </c>
      <c r="G318" s="168">
        <v>86</v>
      </c>
    </row>
    <row r="319" spans="1:7" ht="15">
      <c r="A319" s="384">
        <v>316</v>
      </c>
      <c r="B319" s="122" t="s">
        <v>206</v>
      </c>
      <c r="C319" s="97">
        <v>39010</v>
      </c>
      <c r="D319" s="105" t="s">
        <v>172</v>
      </c>
      <c r="E319" s="104" t="s">
        <v>187</v>
      </c>
      <c r="F319" s="222">
        <v>267</v>
      </c>
      <c r="G319" s="168">
        <v>37</v>
      </c>
    </row>
    <row r="320" spans="1:7" ht="15">
      <c r="A320" s="384">
        <v>317</v>
      </c>
      <c r="B320" s="302" t="s">
        <v>465</v>
      </c>
      <c r="C320" s="98">
        <v>38723</v>
      </c>
      <c r="D320" s="152" t="s">
        <v>174</v>
      </c>
      <c r="E320" s="152" t="s">
        <v>247</v>
      </c>
      <c r="F320" s="221">
        <v>2013.5</v>
      </c>
      <c r="G320" s="169">
        <v>504</v>
      </c>
    </row>
    <row r="321" spans="1:7" ht="15">
      <c r="A321" s="384">
        <v>318</v>
      </c>
      <c r="B321" s="156" t="s">
        <v>25</v>
      </c>
      <c r="C321" s="98">
        <v>39038</v>
      </c>
      <c r="D321" s="152" t="s">
        <v>173</v>
      </c>
      <c r="E321" s="152" t="s">
        <v>187</v>
      </c>
      <c r="F321" s="221">
        <v>2705</v>
      </c>
      <c r="G321" s="169">
        <v>636</v>
      </c>
    </row>
    <row r="322" spans="1:7" ht="15">
      <c r="A322" s="384">
        <v>319</v>
      </c>
      <c r="B322" s="124" t="s">
        <v>25</v>
      </c>
      <c r="C322" s="98">
        <v>39038</v>
      </c>
      <c r="D322" s="106" t="s">
        <v>173</v>
      </c>
      <c r="E322" s="106" t="s">
        <v>187</v>
      </c>
      <c r="F322" s="221">
        <v>746</v>
      </c>
      <c r="G322" s="169">
        <v>319</v>
      </c>
    </row>
    <row r="323" spans="1:7" ht="15">
      <c r="A323" s="384">
        <v>320</v>
      </c>
      <c r="B323" s="123" t="s">
        <v>25</v>
      </c>
      <c r="C323" s="126">
        <v>39038</v>
      </c>
      <c r="D323" s="106" t="s">
        <v>173</v>
      </c>
      <c r="E323" s="121" t="s">
        <v>187</v>
      </c>
      <c r="F323" s="227">
        <v>197</v>
      </c>
      <c r="G323" s="132">
        <v>24</v>
      </c>
    </row>
    <row r="324" spans="1:7" ht="15">
      <c r="A324" s="384">
        <v>321</v>
      </c>
      <c r="B324" s="218" t="s">
        <v>193</v>
      </c>
      <c r="C324" s="98">
        <v>39045</v>
      </c>
      <c r="D324" s="106" t="s">
        <v>174</v>
      </c>
      <c r="E324" s="106" t="s">
        <v>21</v>
      </c>
      <c r="F324" s="221">
        <v>29071.5</v>
      </c>
      <c r="G324" s="169">
        <v>5809</v>
      </c>
    </row>
    <row r="325" spans="1:7" ht="15">
      <c r="A325" s="384">
        <v>322</v>
      </c>
      <c r="B325" s="218" t="s">
        <v>193</v>
      </c>
      <c r="C325" s="98">
        <v>39045</v>
      </c>
      <c r="D325" s="106" t="s">
        <v>174</v>
      </c>
      <c r="E325" s="106" t="s">
        <v>21</v>
      </c>
      <c r="F325" s="221">
        <v>20659.5</v>
      </c>
      <c r="G325" s="169">
        <v>4132</v>
      </c>
    </row>
    <row r="326" spans="1:7" ht="15">
      <c r="A326" s="384">
        <v>323</v>
      </c>
      <c r="B326" s="123" t="s">
        <v>193</v>
      </c>
      <c r="C326" s="126">
        <v>39045</v>
      </c>
      <c r="D326" s="121" t="s">
        <v>174</v>
      </c>
      <c r="E326" s="121" t="s">
        <v>21</v>
      </c>
      <c r="F326" s="227">
        <v>17062</v>
      </c>
      <c r="G326" s="132">
        <v>3367</v>
      </c>
    </row>
    <row r="327" spans="1:7" ht="15">
      <c r="A327" s="384">
        <v>324</v>
      </c>
      <c r="B327" s="156" t="s">
        <v>193</v>
      </c>
      <c r="C327" s="98">
        <v>39045</v>
      </c>
      <c r="D327" s="152" t="s">
        <v>174</v>
      </c>
      <c r="E327" s="152" t="s">
        <v>21</v>
      </c>
      <c r="F327" s="221">
        <v>5450</v>
      </c>
      <c r="G327" s="169">
        <v>985</v>
      </c>
    </row>
    <row r="328" spans="1:7" ht="15">
      <c r="A328" s="384">
        <v>325</v>
      </c>
      <c r="B328" s="124" t="s">
        <v>193</v>
      </c>
      <c r="C328" s="98">
        <v>39045</v>
      </c>
      <c r="D328" s="106" t="s">
        <v>174</v>
      </c>
      <c r="E328" s="106" t="s">
        <v>21</v>
      </c>
      <c r="F328" s="221">
        <v>5150</v>
      </c>
      <c r="G328" s="169">
        <v>717</v>
      </c>
    </row>
    <row r="329" spans="1:7" ht="15">
      <c r="A329" s="384">
        <v>326</v>
      </c>
      <c r="B329" s="218" t="s">
        <v>193</v>
      </c>
      <c r="C329" s="98">
        <v>39045</v>
      </c>
      <c r="D329" s="106" t="s">
        <v>174</v>
      </c>
      <c r="E329" s="106" t="s">
        <v>21</v>
      </c>
      <c r="F329" s="221">
        <v>2376</v>
      </c>
      <c r="G329" s="169">
        <v>594</v>
      </c>
    </row>
    <row r="330" spans="1:7" ht="15">
      <c r="A330" s="384">
        <v>327</v>
      </c>
      <c r="B330" s="123" t="s">
        <v>193</v>
      </c>
      <c r="C330" s="126">
        <v>39045</v>
      </c>
      <c r="D330" s="244" t="s">
        <v>174</v>
      </c>
      <c r="E330" s="243" t="s">
        <v>21</v>
      </c>
      <c r="F330" s="227">
        <v>2038</v>
      </c>
      <c r="G330" s="132">
        <v>401</v>
      </c>
    </row>
    <row r="331" spans="1:7" ht="15">
      <c r="A331" s="384">
        <v>328</v>
      </c>
      <c r="B331" s="124" t="s">
        <v>193</v>
      </c>
      <c r="C331" s="98">
        <v>39045</v>
      </c>
      <c r="D331" s="106" t="s">
        <v>174</v>
      </c>
      <c r="E331" s="106" t="s">
        <v>21</v>
      </c>
      <c r="F331" s="221">
        <v>960</v>
      </c>
      <c r="G331" s="169">
        <v>240</v>
      </c>
    </row>
    <row r="332" spans="1:7" ht="15">
      <c r="A332" s="384">
        <v>329</v>
      </c>
      <c r="B332" s="124" t="s">
        <v>193</v>
      </c>
      <c r="C332" s="98">
        <v>39045</v>
      </c>
      <c r="D332" s="252" t="s">
        <v>174</v>
      </c>
      <c r="E332" s="252" t="s">
        <v>21</v>
      </c>
      <c r="F332" s="221">
        <v>657</v>
      </c>
      <c r="G332" s="169">
        <v>144</v>
      </c>
    </row>
    <row r="333" spans="1:7" ht="15">
      <c r="A333" s="384">
        <v>330</v>
      </c>
      <c r="B333" s="124" t="s">
        <v>193</v>
      </c>
      <c r="C333" s="98">
        <v>39045</v>
      </c>
      <c r="D333" s="252" t="s">
        <v>174</v>
      </c>
      <c r="E333" s="252" t="s">
        <v>21</v>
      </c>
      <c r="F333" s="221">
        <v>44</v>
      </c>
      <c r="G333" s="169">
        <v>5</v>
      </c>
    </row>
    <row r="334" spans="1:7" ht="15">
      <c r="A334" s="384">
        <v>331</v>
      </c>
      <c r="B334" s="218" t="s">
        <v>193</v>
      </c>
      <c r="C334" s="98">
        <v>39045</v>
      </c>
      <c r="D334" s="106" t="s">
        <v>174</v>
      </c>
      <c r="E334" s="106" t="s">
        <v>21</v>
      </c>
      <c r="F334" s="221">
        <v>24</v>
      </c>
      <c r="G334" s="169">
        <v>3</v>
      </c>
    </row>
    <row r="335" spans="1:7" ht="15">
      <c r="A335" s="384">
        <v>332</v>
      </c>
      <c r="B335" s="220" t="s">
        <v>42</v>
      </c>
      <c r="C335" s="97">
        <v>39010</v>
      </c>
      <c r="D335" s="107" t="s">
        <v>27</v>
      </c>
      <c r="E335" s="107" t="s">
        <v>43</v>
      </c>
      <c r="F335" s="226">
        <v>37033.5</v>
      </c>
      <c r="G335" s="168">
        <v>5902</v>
      </c>
    </row>
    <row r="336" spans="1:7" ht="15">
      <c r="A336" s="384">
        <v>333</v>
      </c>
      <c r="B336" s="220" t="s">
        <v>42</v>
      </c>
      <c r="C336" s="97">
        <v>39010</v>
      </c>
      <c r="D336" s="107" t="s">
        <v>27</v>
      </c>
      <c r="E336" s="107" t="s">
        <v>43</v>
      </c>
      <c r="F336" s="222">
        <v>32670.5</v>
      </c>
      <c r="G336" s="168">
        <v>6529</v>
      </c>
    </row>
    <row r="337" spans="1:7" ht="15">
      <c r="A337" s="384">
        <v>334</v>
      </c>
      <c r="B337" s="220" t="s">
        <v>42</v>
      </c>
      <c r="C337" s="97">
        <v>39010</v>
      </c>
      <c r="D337" s="107" t="s">
        <v>27</v>
      </c>
      <c r="E337" s="107" t="s">
        <v>43</v>
      </c>
      <c r="F337" s="222">
        <v>5940</v>
      </c>
      <c r="G337" s="168">
        <v>1980</v>
      </c>
    </row>
    <row r="338" spans="1:7" ht="15">
      <c r="A338" s="384">
        <v>335</v>
      </c>
      <c r="B338" s="120" t="s">
        <v>42</v>
      </c>
      <c r="C338" s="97">
        <v>39010</v>
      </c>
      <c r="D338" s="245" t="s">
        <v>27</v>
      </c>
      <c r="E338" s="245" t="s">
        <v>43</v>
      </c>
      <c r="F338" s="222">
        <v>5940</v>
      </c>
      <c r="G338" s="168">
        <v>1980</v>
      </c>
    </row>
    <row r="339" spans="1:7" ht="15">
      <c r="A339" s="384">
        <v>336</v>
      </c>
      <c r="B339" s="220" t="s">
        <v>42</v>
      </c>
      <c r="C339" s="97">
        <v>39010</v>
      </c>
      <c r="D339" s="107" t="s">
        <v>27</v>
      </c>
      <c r="E339" s="107" t="s">
        <v>43</v>
      </c>
      <c r="F339" s="222">
        <v>5940</v>
      </c>
      <c r="G339" s="168">
        <v>1980</v>
      </c>
    </row>
    <row r="340" spans="1:7" ht="15">
      <c r="A340" s="384">
        <v>337</v>
      </c>
      <c r="B340" s="220" t="s">
        <v>42</v>
      </c>
      <c r="C340" s="97">
        <v>39010</v>
      </c>
      <c r="D340" s="107" t="s">
        <v>27</v>
      </c>
      <c r="E340" s="107" t="s">
        <v>43</v>
      </c>
      <c r="F340" s="222">
        <v>5940</v>
      </c>
      <c r="G340" s="168">
        <v>1980</v>
      </c>
    </row>
    <row r="341" spans="1:7" ht="15">
      <c r="A341" s="384">
        <v>338</v>
      </c>
      <c r="B341" s="120" t="s">
        <v>42</v>
      </c>
      <c r="C341" s="97">
        <v>39010</v>
      </c>
      <c r="D341" s="107" t="s">
        <v>27</v>
      </c>
      <c r="E341" s="107" t="s">
        <v>43</v>
      </c>
      <c r="F341" s="222">
        <v>2834</v>
      </c>
      <c r="G341" s="168">
        <v>949</v>
      </c>
    </row>
    <row r="342" spans="1:7" ht="15">
      <c r="A342" s="384">
        <v>339</v>
      </c>
      <c r="B342" s="120" t="s">
        <v>42</v>
      </c>
      <c r="C342" s="97">
        <v>39010</v>
      </c>
      <c r="D342" s="107" t="s">
        <v>27</v>
      </c>
      <c r="E342" s="107" t="s">
        <v>43</v>
      </c>
      <c r="F342" s="226">
        <v>2245.5</v>
      </c>
      <c r="G342" s="131">
        <v>312</v>
      </c>
    </row>
    <row r="343" spans="1:7" ht="15">
      <c r="A343" s="384">
        <v>340</v>
      </c>
      <c r="B343" s="155" t="s">
        <v>42</v>
      </c>
      <c r="C343" s="97">
        <v>39010</v>
      </c>
      <c r="D343" s="153" t="s">
        <v>27</v>
      </c>
      <c r="E343" s="153" t="s">
        <v>43</v>
      </c>
      <c r="F343" s="222">
        <v>1320</v>
      </c>
      <c r="G343" s="168">
        <v>175</v>
      </c>
    </row>
    <row r="344" spans="1:7" ht="15">
      <c r="A344" s="384">
        <v>341</v>
      </c>
      <c r="B344" s="120" t="s">
        <v>42</v>
      </c>
      <c r="C344" s="97">
        <v>39010</v>
      </c>
      <c r="D344" s="107" t="s">
        <v>27</v>
      </c>
      <c r="E344" s="107" t="s">
        <v>43</v>
      </c>
      <c r="F344" s="222">
        <v>528</v>
      </c>
      <c r="G344" s="168">
        <v>80</v>
      </c>
    </row>
    <row r="345" spans="1:7" ht="15">
      <c r="A345" s="384">
        <v>342</v>
      </c>
      <c r="B345" s="220" t="s">
        <v>42</v>
      </c>
      <c r="C345" s="97">
        <v>39010</v>
      </c>
      <c r="D345" s="107" t="s">
        <v>27</v>
      </c>
      <c r="E345" s="107" t="s">
        <v>43</v>
      </c>
      <c r="F345" s="222">
        <v>224</v>
      </c>
      <c r="G345" s="168">
        <v>30</v>
      </c>
    </row>
    <row r="346" spans="1:7" ht="15">
      <c r="A346" s="384">
        <v>343</v>
      </c>
      <c r="B346" s="218" t="s">
        <v>340</v>
      </c>
      <c r="C346" s="98">
        <v>39073</v>
      </c>
      <c r="D346" s="106" t="s">
        <v>173</v>
      </c>
      <c r="E346" s="106" t="s">
        <v>179</v>
      </c>
      <c r="F346" s="221">
        <v>702</v>
      </c>
      <c r="G346" s="169">
        <v>117</v>
      </c>
    </row>
    <row r="347" spans="1:7" ht="15">
      <c r="A347" s="384">
        <v>344</v>
      </c>
      <c r="B347" s="122" t="s">
        <v>168</v>
      </c>
      <c r="C347" s="97">
        <v>38800</v>
      </c>
      <c r="D347" s="104" t="s">
        <v>164</v>
      </c>
      <c r="E347" s="104" t="s">
        <v>186</v>
      </c>
      <c r="F347" s="228">
        <v>551</v>
      </c>
      <c r="G347" s="133">
        <v>90</v>
      </c>
    </row>
    <row r="348" spans="1:7" ht="15">
      <c r="A348" s="384">
        <v>345</v>
      </c>
      <c r="B348" s="217" t="s">
        <v>168</v>
      </c>
      <c r="C348" s="97">
        <v>38800</v>
      </c>
      <c r="D348" s="104" t="s">
        <v>164</v>
      </c>
      <c r="E348" s="104" t="s">
        <v>186</v>
      </c>
      <c r="F348" s="223">
        <v>200</v>
      </c>
      <c r="G348" s="170">
        <v>50</v>
      </c>
    </row>
    <row r="349" spans="1:7" ht="15">
      <c r="A349" s="384">
        <v>346</v>
      </c>
      <c r="B349" s="217" t="s">
        <v>110</v>
      </c>
      <c r="C349" s="97">
        <v>38618</v>
      </c>
      <c r="D349" s="104" t="s">
        <v>164</v>
      </c>
      <c r="E349" s="104" t="s">
        <v>111</v>
      </c>
      <c r="F349" s="223">
        <v>1188</v>
      </c>
      <c r="G349" s="170">
        <v>396</v>
      </c>
    </row>
    <row r="350" spans="1:7" ht="15">
      <c r="A350" s="384">
        <v>347</v>
      </c>
      <c r="B350" s="302" t="s">
        <v>199</v>
      </c>
      <c r="C350" s="98">
        <v>38877</v>
      </c>
      <c r="D350" s="152" t="s">
        <v>5</v>
      </c>
      <c r="E350" s="152" t="s">
        <v>9</v>
      </c>
      <c r="F350" s="221">
        <v>6416</v>
      </c>
      <c r="G350" s="169">
        <v>1604</v>
      </c>
    </row>
    <row r="351" spans="1:7" ht="15">
      <c r="A351" s="384">
        <v>348</v>
      </c>
      <c r="B351" s="219" t="s">
        <v>199</v>
      </c>
      <c r="C351" s="98">
        <v>38877</v>
      </c>
      <c r="D351" s="110" t="s">
        <v>5</v>
      </c>
      <c r="E351" s="109" t="s">
        <v>9</v>
      </c>
      <c r="F351" s="221">
        <v>5364.5</v>
      </c>
      <c r="G351" s="169">
        <v>1324</v>
      </c>
    </row>
    <row r="352" spans="1:7" ht="15">
      <c r="A352" s="384">
        <v>349</v>
      </c>
      <c r="B352" s="219" t="s">
        <v>199</v>
      </c>
      <c r="C352" s="98">
        <v>38877</v>
      </c>
      <c r="D352" s="110" t="s">
        <v>5</v>
      </c>
      <c r="E352" s="109" t="s">
        <v>9</v>
      </c>
      <c r="F352" s="225">
        <v>3636.5</v>
      </c>
      <c r="G352" s="134">
        <v>885</v>
      </c>
    </row>
    <row r="353" spans="1:7" ht="15">
      <c r="A353" s="384">
        <v>350</v>
      </c>
      <c r="B353" s="219" t="s">
        <v>199</v>
      </c>
      <c r="C353" s="98">
        <v>38877</v>
      </c>
      <c r="D353" s="110" t="s">
        <v>5</v>
      </c>
      <c r="E353" s="109" t="s">
        <v>9</v>
      </c>
      <c r="F353" s="221">
        <v>2696</v>
      </c>
      <c r="G353" s="169">
        <v>394</v>
      </c>
    </row>
    <row r="354" spans="1:7" ht="15">
      <c r="A354" s="384">
        <v>351</v>
      </c>
      <c r="B354" s="219" t="s">
        <v>199</v>
      </c>
      <c r="C354" s="98">
        <v>38877</v>
      </c>
      <c r="D354" s="110" t="s">
        <v>5</v>
      </c>
      <c r="E354" s="109" t="s">
        <v>9</v>
      </c>
      <c r="F354" s="221">
        <v>2075</v>
      </c>
      <c r="G354" s="169">
        <v>309</v>
      </c>
    </row>
    <row r="355" spans="1:7" ht="15">
      <c r="A355" s="384">
        <v>352</v>
      </c>
      <c r="B355" s="302" t="s">
        <v>199</v>
      </c>
      <c r="C355" s="98">
        <v>38877</v>
      </c>
      <c r="D355" s="152" t="s">
        <v>5</v>
      </c>
      <c r="E355" s="152" t="s">
        <v>9</v>
      </c>
      <c r="F355" s="221">
        <v>2039</v>
      </c>
      <c r="G355" s="169">
        <v>305</v>
      </c>
    </row>
    <row r="356" spans="1:7" ht="15">
      <c r="A356" s="384">
        <v>353</v>
      </c>
      <c r="B356" s="302" t="s">
        <v>199</v>
      </c>
      <c r="C356" s="98">
        <v>38877</v>
      </c>
      <c r="D356" s="152" t="s">
        <v>5</v>
      </c>
      <c r="E356" s="152" t="s">
        <v>9</v>
      </c>
      <c r="F356" s="442">
        <v>1830</v>
      </c>
      <c r="G356" s="512">
        <v>268</v>
      </c>
    </row>
    <row r="357" spans="1:7" ht="15">
      <c r="A357" s="384">
        <v>354</v>
      </c>
      <c r="B357" s="219" t="s">
        <v>199</v>
      </c>
      <c r="C357" s="98">
        <v>38877</v>
      </c>
      <c r="D357" s="287" t="s">
        <v>5</v>
      </c>
      <c r="E357" s="287" t="s">
        <v>9</v>
      </c>
      <c r="F357" s="221">
        <v>1580.5</v>
      </c>
      <c r="G357" s="169">
        <v>370</v>
      </c>
    </row>
    <row r="358" spans="1:7" ht="15">
      <c r="A358" s="384">
        <v>355</v>
      </c>
      <c r="B358" s="219" t="s">
        <v>199</v>
      </c>
      <c r="C358" s="98">
        <v>38877</v>
      </c>
      <c r="D358" s="287" t="s">
        <v>5</v>
      </c>
      <c r="E358" s="287" t="s">
        <v>9</v>
      </c>
      <c r="F358" s="221">
        <v>1508</v>
      </c>
      <c r="G358" s="169">
        <v>333</v>
      </c>
    </row>
    <row r="359" spans="1:7" ht="15">
      <c r="A359" s="384">
        <v>356</v>
      </c>
      <c r="B359" s="125" t="s">
        <v>199</v>
      </c>
      <c r="C359" s="98">
        <v>38877</v>
      </c>
      <c r="D359" s="110" t="s">
        <v>5</v>
      </c>
      <c r="E359" s="109" t="s">
        <v>9</v>
      </c>
      <c r="F359" s="221">
        <v>1105</v>
      </c>
      <c r="G359" s="169">
        <v>285</v>
      </c>
    </row>
    <row r="360" spans="1:7" ht="15">
      <c r="A360" s="384">
        <v>357</v>
      </c>
      <c r="B360" s="219" t="s">
        <v>199</v>
      </c>
      <c r="C360" s="98">
        <v>38877</v>
      </c>
      <c r="D360" s="110" t="s">
        <v>5</v>
      </c>
      <c r="E360" s="109" t="s">
        <v>9</v>
      </c>
      <c r="F360" s="221">
        <v>1086</v>
      </c>
      <c r="G360" s="169">
        <v>267</v>
      </c>
    </row>
    <row r="361" spans="1:7" ht="15">
      <c r="A361" s="384">
        <v>358</v>
      </c>
      <c r="B361" s="219" t="s">
        <v>199</v>
      </c>
      <c r="C361" s="98">
        <v>38877</v>
      </c>
      <c r="D361" s="110" t="s">
        <v>5</v>
      </c>
      <c r="E361" s="109" t="s">
        <v>9</v>
      </c>
      <c r="F361" s="221">
        <v>1075</v>
      </c>
      <c r="G361" s="169">
        <v>265</v>
      </c>
    </row>
    <row r="362" spans="1:7" ht="15">
      <c r="A362" s="384">
        <v>359</v>
      </c>
      <c r="B362" s="219" t="s">
        <v>199</v>
      </c>
      <c r="C362" s="98">
        <v>38877</v>
      </c>
      <c r="D362" s="110" t="s">
        <v>5</v>
      </c>
      <c r="E362" s="109" t="s">
        <v>9</v>
      </c>
      <c r="F362" s="221">
        <v>914</v>
      </c>
      <c r="G362" s="169">
        <v>239</v>
      </c>
    </row>
    <row r="363" spans="1:7" ht="15">
      <c r="A363" s="384">
        <v>360</v>
      </c>
      <c r="B363" s="219" t="s">
        <v>199</v>
      </c>
      <c r="C363" s="98">
        <v>38877</v>
      </c>
      <c r="D363" s="110" t="s">
        <v>5</v>
      </c>
      <c r="E363" s="109" t="s">
        <v>9</v>
      </c>
      <c r="F363" s="221">
        <v>864</v>
      </c>
      <c r="G363" s="169">
        <v>108</v>
      </c>
    </row>
    <row r="364" spans="1:7" ht="15">
      <c r="A364" s="384">
        <v>361</v>
      </c>
      <c r="B364" s="219" t="s">
        <v>199</v>
      </c>
      <c r="C364" s="98">
        <v>38877</v>
      </c>
      <c r="D364" s="110" t="s">
        <v>5</v>
      </c>
      <c r="E364" s="109" t="s">
        <v>9</v>
      </c>
      <c r="F364" s="221">
        <v>832</v>
      </c>
      <c r="G364" s="169">
        <v>208</v>
      </c>
    </row>
    <row r="365" spans="1:7" ht="15">
      <c r="A365" s="384">
        <v>362</v>
      </c>
      <c r="B365" s="219" t="s">
        <v>199</v>
      </c>
      <c r="C365" s="98">
        <v>38877</v>
      </c>
      <c r="D365" s="110" t="s">
        <v>5</v>
      </c>
      <c r="E365" s="109" t="s">
        <v>9</v>
      </c>
      <c r="F365" s="225">
        <v>789.5</v>
      </c>
      <c r="G365" s="169">
        <v>177</v>
      </c>
    </row>
    <row r="366" spans="1:7" ht="15">
      <c r="A366" s="384">
        <v>363</v>
      </c>
      <c r="B366" s="156" t="s">
        <v>199</v>
      </c>
      <c r="C366" s="98">
        <v>38877</v>
      </c>
      <c r="D366" s="152" t="s">
        <v>5</v>
      </c>
      <c r="E366" s="152" t="s">
        <v>9</v>
      </c>
      <c r="F366" s="221">
        <v>755</v>
      </c>
      <c r="G366" s="169">
        <v>140</v>
      </c>
    </row>
    <row r="367" spans="1:7" ht="15">
      <c r="A367" s="384">
        <v>364</v>
      </c>
      <c r="B367" s="219" t="s">
        <v>199</v>
      </c>
      <c r="C367" s="98">
        <v>38877</v>
      </c>
      <c r="D367" s="110" t="s">
        <v>5</v>
      </c>
      <c r="E367" s="109" t="s">
        <v>9</v>
      </c>
      <c r="F367" s="221">
        <v>725</v>
      </c>
      <c r="G367" s="169">
        <v>145</v>
      </c>
    </row>
    <row r="368" spans="1:7" ht="15">
      <c r="A368" s="384">
        <v>365</v>
      </c>
      <c r="B368" s="125" t="s">
        <v>199</v>
      </c>
      <c r="C368" s="98">
        <v>38877</v>
      </c>
      <c r="D368" s="110" t="s">
        <v>5</v>
      </c>
      <c r="E368" s="109" t="s">
        <v>9</v>
      </c>
      <c r="F368" s="225">
        <v>160</v>
      </c>
      <c r="G368" s="134">
        <v>16</v>
      </c>
    </row>
    <row r="369" spans="1:7" ht="15">
      <c r="A369" s="384">
        <v>366</v>
      </c>
      <c r="B369" s="219" t="s">
        <v>199</v>
      </c>
      <c r="C369" s="98">
        <v>38877</v>
      </c>
      <c r="D369" s="110" t="s">
        <v>5</v>
      </c>
      <c r="E369" s="109" t="s">
        <v>9</v>
      </c>
      <c r="F369" s="225">
        <v>158</v>
      </c>
      <c r="G369" s="134">
        <v>37</v>
      </c>
    </row>
    <row r="370" spans="1:7" ht="15">
      <c r="A370" s="384">
        <v>367</v>
      </c>
      <c r="B370" s="219" t="s">
        <v>199</v>
      </c>
      <c r="C370" s="98">
        <v>38877</v>
      </c>
      <c r="D370" s="110" t="s">
        <v>5</v>
      </c>
      <c r="E370" s="109" t="s">
        <v>9</v>
      </c>
      <c r="F370" s="221">
        <v>81</v>
      </c>
      <c r="G370" s="169">
        <v>18</v>
      </c>
    </row>
    <row r="371" spans="1:7" ht="15">
      <c r="A371" s="384">
        <v>368</v>
      </c>
      <c r="B371" s="218" t="s">
        <v>406</v>
      </c>
      <c r="C371" s="98">
        <v>38821</v>
      </c>
      <c r="D371" s="106" t="s">
        <v>174</v>
      </c>
      <c r="E371" s="106" t="s">
        <v>175</v>
      </c>
      <c r="F371" s="225">
        <v>5035</v>
      </c>
      <c r="G371" s="169">
        <v>1007</v>
      </c>
    </row>
    <row r="372" spans="1:7" ht="15">
      <c r="A372" s="384">
        <v>369</v>
      </c>
      <c r="B372" s="218" t="s">
        <v>406</v>
      </c>
      <c r="C372" s="98">
        <v>38821</v>
      </c>
      <c r="D372" s="106" t="s">
        <v>174</v>
      </c>
      <c r="E372" s="106" t="s">
        <v>175</v>
      </c>
      <c r="F372" s="225">
        <v>4651.5</v>
      </c>
      <c r="G372" s="134">
        <v>884</v>
      </c>
    </row>
    <row r="373" spans="1:7" ht="15">
      <c r="A373" s="384">
        <v>370</v>
      </c>
      <c r="B373" s="302" t="s">
        <v>406</v>
      </c>
      <c r="C373" s="98">
        <v>38821</v>
      </c>
      <c r="D373" s="152" t="s">
        <v>174</v>
      </c>
      <c r="E373" s="152" t="s">
        <v>175</v>
      </c>
      <c r="F373" s="221">
        <v>3349</v>
      </c>
      <c r="G373" s="169">
        <v>645</v>
      </c>
    </row>
    <row r="374" spans="1:7" ht="15">
      <c r="A374" s="384">
        <v>371</v>
      </c>
      <c r="B374" s="302" t="s">
        <v>406</v>
      </c>
      <c r="C374" s="98">
        <v>38821</v>
      </c>
      <c r="D374" s="152" t="s">
        <v>174</v>
      </c>
      <c r="E374" s="152" t="s">
        <v>175</v>
      </c>
      <c r="F374" s="221">
        <v>2852</v>
      </c>
      <c r="G374" s="169">
        <v>712</v>
      </c>
    </row>
    <row r="375" spans="1:7" ht="15">
      <c r="A375" s="384">
        <v>372</v>
      </c>
      <c r="B375" s="218" t="s">
        <v>406</v>
      </c>
      <c r="C375" s="98">
        <v>38821</v>
      </c>
      <c r="D375" s="106" t="s">
        <v>174</v>
      </c>
      <c r="E375" s="106" t="s">
        <v>175</v>
      </c>
      <c r="F375" s="221">
        <v>2013.5</v>
      </c>
      <c r="G375" s="169">
        <v>503</v>
      </c>
    </row>
    <row r="376" spans="1:7" ht="15">
      <c r="A376" s="384">
        <v>373</v>
      </c>
      <c r="B376" s="124" t="s">
        <v>406</v>
      </c>
      <c r="C376" s="98">
        <v>38821</v>
      </c>
      <c r="D376" s="252" t="s">
        <v>174</v>
      </c>
      <c r="E376" s="252" t="s">
        <v>175</v>
      </c>
      <c r="F376" s="221">
        <v>610</v>
      </c>
      <c r="G376" s="169">
        <v>116</v>
      </c>
    </row>
    <row r="377" spans="1:7" ht="15">
      <c r="A377" s="384">
        <v>374</v>
      </c>
      <c r="B377" s="217" t="s">
        <v>399</v>
      </c>
      <c r="C377" s="97">
        <v>38947</v>
      </c>
      <c r="D377" s="105" t="s">
        <v>172</v>
      </c>
      <c r="E377" s="104" t="s">
        <v>187</v>
      </c>
      <c r="F377" s="222">
        <v>666</v>
      </c>
      <c r="G377" s="168">
        <v>150</v>
      </c>
    </row>
    <row r="378" spans="1:7" ht="15">
      <c r="A378" s="384">
        <v>375</v>
      </c>
      <c r="B378" s="124" t="s">
        <v>123</v>
      </c>
      <c r="C378" s="98">
        <v>37589</v>
      </c>
      <c r="D378" s="107" t="s">
        <v>162</v>
      </c>
      <c r="E378" s="107" t="s">
        <v>124</v>
      </c>
      <c r="F378" s="221">
        <v>354</v>
      </c>
      <c r="G378" s="169">
        <v>118</v>
      </c>
    </row>
    <row r="379" spans="1:7" ht="15">
      <c r="A379" s="384">
        <v>376</v>
      </c>
      <c r="B379" s="302" t="s">
        <v>112</v>
      </c>
      <c r="C379" s="98">
        <v>38982</v>
      </c>
      <c r="D379" s="152" t="s">
        <v>174</v>
      </c>
      <c r="E379" s="152" t="s">
        <v>113</v>
      </c>
      <c r="F379" s="221">
        <v>2376</v>
      </c>
      <c r="G379" s="169">
        <v>475</v>
      </c>
    </row>
    <row r="380" spans="1:7" ht="15">
      <c r="A380" s="384">
        <v>377</v>
      </c>
      <c r="B380" s="302" t="s">
        <v>112</v>
      </c>
      <c r="C380" s="98">
        <v>38982</v>
      </c>
      <c r="D380" s="152" t="s">
        <v>174</v>
      </c>
      <c r="E380" s="152" t="s">
        <v>113</v>
      </c>
      <c r="F380" s="221">
        <v>1782</v>
      </c>
      <c r="G380" s="169">
        <v>446</v>
      </c>
    </row>
    <row r="381" spans="1:7" ht="15">
      <c r="A381" s="384">
        <v>378</v>
      </c>
      <c r="B381" s="218" t="s">
        <v>112</v>
      </c>
      <c r="C381" s="98">
        <v>38982</v>
      </c>
      <c r="D381" s="106" t="s">
        <v>174</v>
      </c>
      <c r="E381" s="106" t="s">
        <v>113</v>
      </c>
      <c r="F381" s="221">
        <v>1510.5</v>
      </c>
      <c r="G381" s="169">
        <v>302</v>
      </c>
    </row>
    <row r="382" spans="1:7" ht="15">
      <c r="A382" s="384">
        <v>379</v>
      </c>
      <c r="B382" s="218" t="s">
        <v>112</v>
      </c>
      <c r="C382" s="98">
        <v>38982</v>
      </c>
      <c r="D382" s="106" t="s">
        <v>174</v>
      </c>
      <c r="E382" s="106" t="s">
        <v>113</v>
      </c>
      <c r="F382" s="221">
        <v>330</v>
      </c>
      <c r="G382" s="169">
        <v>66</v>
      </c>
    </row>
    <row r="383" spans="1:7" ht="15">
      <c r="A383" s="384">
        <v>380</v>
      </c>
      <c r="B383" s="218" t="s">
        <v>112</v>
      </c>
      <c r="C383" s="98">
        <v>38982</v>
      </c>
      <c r="D383" s="106" t="s">
        <v>174</v>
      </c>
      <c r="E383" s="106" t="s">
        <v>113</v>
      </c>
      <c r="F383" s="221">
        <v>184</v>
      </c>
      <c r="G383" s="169">
        <v>23</v>
      </c>
    </row>
    <row r="384" spans="1:7" ht="15">
      <c r="A384" s="384">
        <v>381</v>
      </c>
      <c r="B384" s="122" t="s">
        <v>294</v>
      </c>
      <c r="C384" s="97">
        <v>39038</v>
      </c>
      <c r="D384" s="104" t="s">
        <v>164</v>
      </c>
      <c r="E384" s="104" t="s">
        <v>24</v>
      </c>
      <c r="F384" s="228">
        <v>19312</v>
      </c>
      <c r="G384" s="133">
        <v>3691</v>
      </c>
    </row>
    <row r="385" spans="1:7" ht="15">
      <c r="A385" s="384">
        <v>382</v>
      </c>
      <c r="B385" s="155" t="s">
        <v>294</v>
      </c>
      <c r="C385" s="97">
        <v>39038</v>
      </c>
      <c r="D385" s="153" t="s">
        <v>164</v>
      </c>
      <c r="E385" s="153" t="s">
        <v>24</v>
      </c>
      <c r="F385" s="223">
        <v>9417</v>
      </c>
      <c r="G385" s="170">
        <v>2021</v>
      </c>
    </row>
    <row r="386" spans="1:7" ht="15">
      <c r="A386" s="384">
        <v>383</v>
      </c>
      <c r="B386" s="122" t="s">
        <v>294</v>
      </c>
      <c r="C386" s="97">
        <v>39038</v>
      </c>
      <c r="D386" s="104" t="s">
        <v>164</v>
      </c>
      <c r="E386" s="104" t="s">
        <v>24</v>
      </c>
      <c r="F386" s="223">
        <v>8894</v>
      </c>
      <c r="G386" s="170">
        <v>1715</v>
      </c>
    </row>
    <row r="387" spans="1:7" ht="15">
      <c r="A387" s="384">
        <v>384</v>
      </c>
      <c r="B387" s="301" t="s">
        <v>294</v>
      </c>
      <c r="C387" s="97">
        <v>39038</v>
      </c>
      <c r="D387" s="153" t="s">
        <v>164</v>
      </c>
      <c r="E387" s="153" t="s">
        <v>24</v>
      </c>
      <c r="F387" s="223">
        <v>3292</v>
      </c>
      <c r="G387" s="170">
        <v>658</v>
      </c>
    </row>
    <row r="388" spans="1:7" ht="15">
      <c r="A388" s="384">
        <v>385</v>
      </c>
      <c r="B388" s="217" t="s">
        <v>294</v>
      </c>
      <c r="C388" s="97">
        <v>39038</v>
      </c>
      <c r="D388" s="104" t="s">
        <v>164</v>
      </c>
      <c r="E388" s="104" t="s">
        <v>24</v>
      </c>
      <c r="F388" s="223">
        <v>3218.5</v>
      </c>
      <c r="G388" s="170">
        <v>562</v>
      </c>
    </row>
    <row r="389" spans="1:7" ht="15">
      <c r="A389" s="384">
        <v>386</v>
      </c>
      <c r="B389" s="217" t="s">
        <v>294</v>
      </c>
      <c r="C389" s="97">
        <v>39038</v>
      </c>
      <c r="D389" s="104" t="s">
        <v>164</v>
      </c>
      <c r="E389" s="104" t="s">
        <v>24</v>
      </c>
      <c r="F389" s="223">
        <v>1782</v>
      </c>
      <c r="G389" s="170">
        <v>267</v>
      </c>
    </row>
    <row r="390" spans="1:7" ht="15">
      <c r="A390" s="384">
        <v>387</v>
      </c>
      <c r="B390" s="301" t="s">
        <v>294</v>
      </c>
      <c r="C390" s="97">
        <v>39038</v>
      </c>
      <c r="D390" s="153" t="s">
        <v>164</v>
      </c>
      <c r="E390" s="153" t="s">
        <v>24</v>
      </c>
      <c r="F390" s="223">
        <v>1188</v>
      </c>
      <c r="G390" s="170">
        <v>238</v>
      </c>
    </row>
    <row r="391" spans="1:7" ht="15">
      <c r="A391" s="384">
        <v>388</v>
      </c>
      <c r="B391" s="217" t="s">
        <v>294</v>
      </c>
      <c r="C391" s="97">
        <v>39038</v>
      </c>
      <c r="D391" s="104" t="s">
        <v>164</v>
      </c>
      <c r="E391" s="104" t="s">
        <v>24</v>
      </c>
      <c r="F391" s="223">
        <v>1188</v>
      </c>
      <c r="G391" s="170">
        <v>238</v>
      </c>
    </row>
    <row r="392" spans="1:7" ht="15">
      <c r="A392" s="384">
        <v>389</v>
      </c>
      <c r="B392" s="122" t="s">
        <v>294</v>
      </c>
      <c r="C392" s="97">
        <v>39038</v>
      </c>
      <c r="D392" s="104" t="s">
        <v>164</v>
      </c>
      <c r="E392" s="104" t="s">
        <v>24</v>
      </c>
      <c r="F392" s="223">
        <v>825</v>
      </c>
      <c r="G392" s="170">
        <v>165</v>
      </c>
    </row>
    <row r="393" spans="1:7" ht="15">
      <c r="A393" s="384">
        <v>390</v>
      </c>
      <c r="B393" s="301" t="s">
        <v>294</v>
      </c>
      <c r="C393" s="97">
        <v>39038</v>
      </c>
      <c r="D393" s="153" t="s">
        <v>164</v>
      </c>
      <c r="E393" s="153" t="s">
        <v>24</v>
      </c>
      <c r="F393" s="223">
        <v>210</v>
      </c>
      <c r="G393" s="170">
        <v>35</v>
      </c>
    </row>
    <row r="394" spans="1:7" ht="15">
      <c r="A394" s="384">
        <v>391</v>
      </c>
      <c r="B394" s="301" t="s">
        <v>294</v>
      </c>
      <c r="C394" s="97">
        <v>39038</v>
      </c>
      <c r="D394" s="153" t="s">
        <v>164</v>
      </c>
      <c r="E394" s="153" t="s">
        <v>24</v>
      </c>
      <c r="F394" s="223">
        <v>102</v>
      </c>
      <c r="G394" s="170">
        <v>17</v>
      </c>
    </row>
    <row r="395" spans="1:7" ht="15">
      <c r="A395" s="384">
        <v>392</v>
      </c>
      <c r="B395" s="218" t="s">
        <v>208</v>
      </c>
      <c r="C395" s="100">
        <v>38828</v>
      </c>
      <c r="D395" s="106" t="s">
        <v>180</v>
      </c>
      <c r="E395" s="107" t="s">
        <v>209</v>
      </c>
      <c r="F395" s="229">
        <v>949</v>
      </c>
      <c r="G395" s="171">
        <v>190</v>
      </c>
    </row>
    <row r="396" spans="1:7" ht="15">
      <c r="A396" s="384">
        <v>393</v>
      </c>
      <c r="B396" s="219" t="s">
        <v>141</v>
      </c>
      <c r="C396" s="98">
        <v>38814</v>
      </c>
      <c r="D396" s="110" t="s">
        <v>5</v>
      </c>
      <c r="E396" s="109" t="s">
        <v>107</v>
      </c>
      <c r="F396" s="225">
        <v>4276</v>
      </c>
      <c r="G396" s="169">
        <v>1069</v>
      </c>
    </row>
    <row r="397" spans="1:7" ht="15">
      <c r="A397" s="384">
        <v>394</v>
      </c>
      <c r="B397" s="219" t="s">
        <v>141</v>
      </c>
      <c r="C397" s="98">
        <v>38814</v>
      </c>
      <c r="D397" s="110" t="s">
        <v>5</v>
      </c>
      <c r="E397" s="109" t="s">
        <v>107</v>
      </c>
      <c r="F397" s="221">
        <v>952</v>
      </c>
      <c r="G397" s="169">
        <v>238</v>
      </c>
    </row>
    <row r="398" spans="1:7" ht="15">
      <c r="A398" s="384">
        <v>395</v>
      </c>
      <c r="B398" s="156" t="s">
        <v>319</v>
      </c>
      <c r="C398" s="98">
        <v>39038</v>
      </c>
      <c r="D398" s="152" t="s">
        <v>174</v>
      </c>
      <c r="E398" s="152" t="s">
        <v>320</v>
      </c>
      <c r="F398" s="221">
        <v>2427</v>
      </c>
      <c r="G398" s="169">
        <v>457</v>
      </c>
    </row>
    <row r="399" spans="1:7" ht="15">
      <c r="A399" s="384">
        <v>396</v>
      </c>
      <c r="B399" s="302" t="s">
        <v>319</v>
      </c>
      <c r="C399" s="98">
        <v>39038</v>
      </c>
      <c r="D399" s="152" t="s">
        <v>174</v>
      </c>
      <c r="E399" s="152" t="s">
        <v>320</v>
      </c>
      <c r="F399" s="221">
        <v>2376</v>
      </c>
      <c r="G399" s="169">
        <v>475</v>
      </c>
    </row>
    <row r="400" spans="1:7" ht="15">
      <c r="A400" s="384">
        <v>397</v>
      </c>
      <c r="B400" s="218" t="s">
        <v>319</v>
      </c>
      <c r="C400" s="98">
        <v>39038</v>
      </c>
      <c r="D400" s="106" t="s">
        <v>174</v>
      </c>
      <c r="E400" s="106" t="s">
        <v>320</v>
      </c>
      <c r="F400" s="225">
        <v>2230</v>
      </c>
      <c r="G400" s="134">
        <v>446</v>
      </c>
    </row>
    <row r="401" spans="1:7" ht="15">
      <c r="A401" s="384">
        <v>398</v>
      </c>
      <c r="B401" s="218" t="s">
        <v>319</v>
      </c>
      <c r="C401" s="98">
        <v>39038</v>
      </c>
      <c r="D401" s="106" t="s">
        <v>174</v>
      </c>
      <c r="E401" s="106" t="s">
        <v>156</v>
      </c>
      <c r="F401" s="221">
        <v>1901</v>
      </c>
      <c r="G401" s="169">
        <v>475</v>
      </c>
    </row>
    <row r="402" spans="1:7" ht="15">
      <c r="A402" s="384">
        <v>399</v>
      </c>
      <c r="B402" s="218" t="s">
        <v>319</v>
      </c>
      <c r="C402" s="98">
        <v>39038</v>
      </c>
      <c r="D402" s="106" t="s">
        <v>174</v>
      </c>
      <c r="E402" s="106" t="s">
        <v>320</v>
      </c>
      <c r="F402" s="221">
        <v>1880</v>
      </c>
      <c r="G402" s="169">
        <v>376</v>
      </c>
    </row>
    <row r="403" spans="1:7" ht="15">
      <c r="A403" s="384">
        <v>400</v>
      </c>
      <c r="B403" s="124" t="s">
        <v>319</v>
      </c>
      <c r="C403" s="98">
        <v>39038</v>
      </c>
      <c r="D403" s="252" t="s">
        <v>174</v>
      </c>
      <c r="E403" s="252" t="s">
        <v>156</v>
      </c>
      <c r="F403" s="221">
        <v>1802</v>
      </c>
      <c r="G403" s="169">
        <v>212</v>
      </c>
    </row>
    <row r="404" spans="1:7" ht="15">
      <c r="A404" s="384">
        <v>401</v>
      </c>
      <c r="B404" s="302" t="s">
        <v>319</v>
      </c>
      <c r="C404" s="98">
        <v>39038</v>
      </c>
      <c r="D404" s="152" t="s">
        <v>174</v>
      </c>
      <c r="E404" s="152" t="s">
        <v>320</v>
      </c>
      <c r="F404" s="221">
        <v>1782</v>
      </c>
      <c r="G404" s="169">
        <v>446</v>
      </c>
    </row>
    <row r="405" spans="1:7" ht="15">
      <c r="A405" s="384">
        <v>402</v>
      </c>
      <c r="B405" s="124" t="s">
        <v>319</v>
      </c>
      <c r="C405" s="98">
        <v>39038</v>
      </c>
      <c r="D405" s="106" t="s">
        <v>174</v>
      </c>
      <c r="E405" s="106" t="s">
        <v>320</v>
      </c>
      <c r="F405" s="221">
        <v>1511</v>
      </c>
      <c r="G405" s="169">
        <v>303</v>
      </c>
    </row>
    <row r="406" spans="1:7" ht="15">
      <c r="A406" s="384">
        <v>403</v>
      </c>
      <c r="B406" s="302" t="s">
        <v>319</v>
      </c>
      <c r="C406" s="98">
        <v>39038</v>
      </c>
      <c r="D406" s="152" t="s">
        <v>174</v>
      </c>
      <c r="E406" s="152" t="s">
        <v>320</v>
      </c>
      <c r="F406" s="442">
        <v>1510.5</v>
      </c>
      <c r="G406" s="512">
        <v>378</v>
      </c>
    </row>
    <row r="407" spans="1:7" ht="15">
      <c r="A407" s="384">
        <v>404</v>
      </c>
      <c r="B407" s="218" t="s">
        <v>319</v>
      </c>
      <c r="C407" s="98">
        <v>39038</v>
      </c>
      <c r="D407" s="106" t="s">
        <v>174</v>
      </c>
      <c r="E407" s="106" t="s">
        <v>320</v>
      </c>
      <c r="F407" s="221">
        <v>1432</v>
      </c>
      <c r="G407" s="169">
        <v>205</v>
      </c>
    </row>
    <row r="408" spans="1:7" ht="15">
      <c r="A408" s="384">
        <v>405</v>
      </c>
      <c r="B408" s="123" t="s">
        <v>319</v>
      </c>
      <c r="C408" s="126">
        <v>39038</v>
      </c>
      <c r="D408" s="244" t="s">
        <v>174</v>
      </c>
      <c r="E408" s="243" t="s">
        <v>156</v>
      </c>
      <c r="F408" s="227">
        <v>1189</v>
      </c>
      <c r="G408" s="132">
        <v>238</v>
      </c>
    </row>
    <row r="409" spans="1:7" ht="15">
      <c r="A409" s="384">
        <v>406</v>
      </c>
      <c r="B409" s="124" t="s">
        <v>319</v>
      </c>
      <c r="C409" s="98">
        <v>39038</v>
      </c>
      <c r="D409" s="106" t="s">
        <v>174</v>
      </c>
      <c r="E409" s="106" t="s">
        <v>320</v>
      </c>
      <c r="F409" s="221">
        <v>460</v>
      </c>
      <c r="G409" s="169">
        <v>92</v>
      </c>
    </row>
    <row r="410" spans="1:7" ht="15">
      <c r="A410" s="384">
        <v>407</v>
      </c>
      <c r="B410" s="219" t="s">
        <v>319</v>
      </c>
      <c r="C410" s="98">
        <v>39038</v>
      </c>
      <c r="D410" s="287" t="s">
        <v>174</v>
      </c>
      <c r="E410" s="287" t="s">
        <v>320</v>
      </c>
      <c r="F410" s="221">
        <v>286</v>
      </c>
      <c r="G410" s="169">
        <v>63</v>
      </c>
    </row>
    <row r="411" spans="1:7" ht="15">
      <c r="A411" s="384">
        <v>408</v>
      </c>
      <c r="B411" s="218" t="s">
        <v>319</v>
      </c>
      <c r="C411" s="98">
        <v>39038</v>
      </c>
      <c r="D411" s="106" t="s">
        <v>174</v>
      </c>
      <c r="E411" s="106" t="s">
        <v>320</v>
      </c>
      <c r="F411" s="221">
        <v>216</v>
      </c>
      <c r="G411" s="169">
        <v>25</v>
      </c>
    </row>
    <row r="412" spans="1:7" ht="15">
      <c r="A412" s="384">
        <v>409</v>
      </c>
      <c r="B412" s="299" t="s">
        <v>319</v>
      </c>
      <c r="C412" s="293">
        <v>39038</v>
      </c>
      <c r="D412" s="292" t="s">
        <v>174</v>
      </c>
      <c r="E412" s="292" t="s">
        <v>320</v>
      </c>
      <c r="F412" s="304">
        <v>188</v>
      </c>
      <c r="G412" s="306">
        <v>42</v>
      </c>
    </row>
    <row r="413" spans="1:7" ht="15">
      <c r="A413" s="384">
        <v>410</v>
      </c>
      <c r="B413" s="302" t="s">
        <v>319</v>
      </c>
      <c r="C413" s="98">
        <v>39038</v>
      </c>
      <c r="D413" s="152" t="s">
        <v>174</v>
      </c>
      <c r="E413" s="152" t="s">
        <v>320</v>
      </c>
      <c r="F413" s="221">
        <v>29</v>
      </c>
      <c r="G413" s="169">
        <v>5</v>
      </c>
    </row>
    <row r="414" spans="1:7" ht="15">
      <c r="A414" s="384">
        <v>411</v>
      </c>
      <c r="B414" s="218" t="s">
        <v>319</v>
      </c>
      <c r="C414" s="98">
        <v>39038</v>
      </c>
      <c r="D414" s="106" t="s">
        <v>174</v>
      </c>
      <c r="E414" s="106" t="s">
        <v>320</v>
      </c>
      <c r="F414" s="221">
        <v>24</v>
      </c>
      <c r="G414" s="169">
        <v>4</v>
      </c>
    </row>
    <row r="415" spans="1:7" ht="15">
      <c r="A415" s="384">
        <v>412</v>
      </c>
      <c r="B415" s="219" t="s">
        <v>114</v>
      </c>
      <c r="C415" s="98">
        <v>38982</v>
      </c>
      <c r="D415" s="110" t="s">
        <v>5</v>
      </c>
      <c r="E415" s="109" t="s">
        <v>115</v>
      </c>
      <c r="F415" s="221">
        <v>3560</v>
      </c>
      <c r="G415" s="169">
        <v>890</v>
      </c>
    </row>
    <row r="416" spans="1:7" ht="15">
      <c r="A416" s="384">
        <v>413</v>
      </c>
      <c r="B416" s="125" t="s">
        <v>114</v>
      </c>
      <c r="C416" s="98">
        <v>38982</v>
      </c>
      <c r="D416" s="110" t="s">
        <v>5</v>
      </c>
      <c r="E416" s="109" t="s">
        <v>115</v>
      </c>
      <c r="F416" s="221">
        <v>1780</v>
      </c>
      <c r="G416" s="169">
        <v>445</v>
      </c>
    </row>
    <row r="417" spans="1:7" ht="15">
      <c r="A417" s="384">
        <v>414</v>
      </c>
      <c r="B417" s="218" t="s">
        <v>497</v>
      </c>
      <c r="C417" s="98">
        <v>38478</v>
      </c>
      <c r="D417" s="106" t="s">
        <v>174</v>
      </c>
      <c r="E417" s="106" t="s">
        <v>175</v>
      </c>
      <c r="F417" s="225">
        <v>8367</v>
      </c>
      <c r="G417" s="134">
        <v>1675</v>
      </c>
    </row>
    <row r="418" spans="1:7" ht="15">
      <c r="A418" s="384">
        <v>415</v>
      </c>
      <c r="B418" s="219" t="s">
        <v>323</v>
      </c>
      <c r="C418" s="98">
        <v>39045</v>
      </c>
      <c r="D418" s="110" t="s">
        <v>5</v>
      </c>
      <c r="E418" s="109" t="s">
        <v>324</v>
      </c>
      <c r="F418" s="225">
        <v>1068</v>
      </c>
      <c r="G418" s="169">
        <v>267</v>
      </c>
    </row>
    <row r="419" spans="1:7" ht="15">
      <c r="A419" s="384">
        <v>416</v>
      </c>
      <c r="B419" s="156" t="s">
        <v>323</v>
      </c>
      <c r="C419" s="98">
        <v>39045</v>
      </c>
      <c r="D419" s="152" t="s">
        <v>5</v>
      </c>
      <c r="E419" s="152" t="s">
        <v>324</v>
      </c>
      <c r="F419" s="221">
        <v>851.5</v>
      </c>
      <c r="G419" s="169">
        <v>142</v>
      </c>
    </row>
    <row r="420" spans="1:7" ht="15">
      <c r="A420" s="384">
        <v>417</v>
      </c>
      <c r="B420" s="219" t="s">
        <v>323</v>
      </c>
      <c r="C420" s="98">
        <v>39045</v>
      </c>
      <c r="D420" s="110" t="s">
        <v>5</v>
      </c>
      <c r="E420" s="152" t="s">
        <v>324</v>
      </c>
      <c r="F420" s="221">
        <v>304</v>
      </c>
      <c r="G420" s="169">
        <v>52</v>
      </c>
    </row>
    <row r="421" spans="1:7" ht="15">
      <c r="A421" s="384">
        <v>418</v>
      </c>
      <c r="B421" s="125" t="s">
        <v>323</v>
      </c>
      <c r="C421" s="98">
        <v>39045</v>
      </c>
      <c r="D421" s="110" t="s">
        <v>5</v>
      </c>
      <c r="E421" s="152" t="s">
        <v>324</v>
      </c>
      <c r="F421" s="221">
        <v>290.5</v>
      </c>
      <c r="G421" s="169">
        <v>39</v>
      </c>
    </row>
    <row r="422" spans="1:7" ht="15">
      <c r="A422" s="384">
        <v>419</v>
      </c>
      <c r="B422" s="219" t="s">
        <v>323</v>
      </c>
      <c r="C422" s="98">
        <v>39045</v>
      </c>
      <c r="D422" s="110" t="s">
        <v>5</v>
      </c>
      <c r="E422" s="152" t="s">
        <v>324</v>
      </c>
      <c r="F422" s="221">
        <v>259</v>
      </c>
      <c r="G422" s="169">
        <v>55</v>
      </c>
    </row>
    <row r="423" spans="1:7" ht="15">
      <c r="A423" s="384">
        <v>420</v>
      </c>
      <c r="B423" s="219" t="s">
        <v>323</v>
      </c>
      <c r="C423" s="98">
        <v>39045</v>
      </c>
      <c r="D423" s="110" t="s">
        <v>5</v>
      </c>
      <c r="E423" s="109" t="s">
        <v>324</v>
      </c>
      <c r="F423" s="221">
        <v>236</v>
      </c>
      <c r="G423" s="169">
        <v>97</v>
      </c>
    </row>
    <row r="424" spans="1:7" ht="15">
      <c r="A424" s="384">
        <v>421</v>
      </c>
      <c r="B424" s="219" t="s">
        <v>323</v>
      </c>
      <c r="C424" s="98">
        <v>39045</v>
      </c>
      <c r="D424" s="110" t="s">
        <v>5</v>
      </c>
      <c r="E424" s="109" t="s">
        <v>458</v>
      </c>
      <c r="F424" s="221">
        <v>201</v>
      </c>
      <c r="G424" s="169">
        <v>36</v>
      </c>
    </row>
    <row r="425" spans="1:7" ht="15">
      <c r="A425" s="384">
        <v>422</v>
      </c>
      <c r="B425" s="125" t="s">
        <v>323</v>
      </c>
      <c r="C425" s="98">
        <v>39045</v>
      </c>
      <c r="D425" s="110" t="s">
        <v>5</v>
      </c>
      <c r="E425" s="109" t="s">
        <v>324</v>
      </c>
      <c r="F425" s="221">
        <v>176</v>
      </c>
      <c r="G425" s="169">
        <v>68</v>
      </c>
    </row>
    <row r="426" spans="1:7" ht="15">
      <c r="A426" s="384">
        <v>423</v>
      </c>
      <c r="B426" s="125" t="s">
        <v>323</v>
      </c>
      <c r="C426" s="98">
        <v>39045</v>
      </c>
      <c r="D426" s="110" t="s">
        <v>5</v>
      </c>
      <c r="E426" s="109" t="s">
        <v>324</v>
      </c>
      <c r="F426" s="221">
        <v>168</v>
      </c>
      <c r="G426" s="169">
        <v>25</v>
      </c>
    </row>
    <row r="427" spans="1:7" ht="15">
      <c r="A427" s="384">
        <v>424</v>
      </c>
      <c r="B427" s="125" t="s">
        <v>323</v>
      </c>
      <c r="C427" s="98">
        <v>39045</v>
      </c>
      <c r="D427" s="110" t="s">
        <v>5</v>
      </c>
      <c r="E427" s="109" t="s">
        <v>324</v>
      </c>
      <c r="F427" s="221">
        <v>113</v>
      </c>
      <c r="G427" s="169">
        <v>18</v>
      </c>
    </row>
    <row r="428" spans="1:7" ht="15">
      <c r="A428" s="384">
        <v>425</v>
      </c>
      <c r="B428" s="219" t="s">
        <v>323</v>
      </c>
      <c r="C428" s="98">
        <v>39045</v>
      </c>
      <c r="D428" s="110" t="s">
        <v>5</v>
      </c>
      <c r="E428" s="109" t="s">
        <v>324</v>
      </c>
      <c r="F428" s="221">
        <v>74</v>
      </c>
      <c r="G428" s="169">
        <v>14</v>
      </c>
    </row>
    <row r="429" spans="1:7" ht="15">
      <c r="A429" s="384">
        <v>426</v>
      </c>
      <c r="B429" s="125" t="s">
        <v>425</v>
      </c>
      <c r="C429" s="98">
        <v>39045</v>
      </c>
      <c r="D429" s="246" t="s">
        <v>5</v>
      </c>
      <c r="E429" s="247" t="s">
        <v>324</v>
      </c>
      <c r="F429" s="225">
        <v>372</v>
      </c>
      <c r="G429" s="134">
        <v>124</v>
      </c>
    </row>
    <row r="430" spans="1:7" ht="15">
      <c r="A430" s="384">
        <v>427</v>
      </c>
      <c r="B430" s="122" t="s">
        <v>67</v>
      </c>
      <c r="C430" s="97">
        <v>39073</v>
      </c>
      <c r="D430" s="104" t="s">
        <v>164</v>
      </c>
      <c r="E430" s="104" t="s">
        <v>15</v>
      </c>
      <c r="F430" s="228">
        <v>1289903.5</v>
      </c>
      <c r="G430" s="133">
        <v>169709</v>
      </c>
    </row>
    <row r="431" spans="1:7" ht="15">
      <c r="A431" s="384">
        <v>428</v>
      </c>
      <c r="B431" s="155" t="s">
        <v>67</v>
      </c>
      <c r="C431" s="97">
        <v>39073</v>
      </c>
      <c r="D431" s="153" t="s">
        <v>164</v>
      </c>
      <c r="E431" s="153" t="s">
        <v>15</v>
      </c>
      <c r="F431" s="223">
        <v>386658</v>
      </c>
      <c r="G431" s="170">
        <v>52723</v>
      </c>
    </row>
    <row r="432" spans="1:7" ht="15">
      <c r="A432" s="384">
        <v>429</v>
      </c>
      <c r="B432" s="122" t="s">
        <v>67</v>
      </c>
      <c r="C432" s="97">
        <v>39073</v>
      </c>
      <c r="D432" s="104" t="s">
        <v>164</v>
      </c>
      <c r="E432" s="104" t="s">
        <v>15</v>
      </c>
      <c r="F432" s="223">
        <v>174047.5</v>
      </c>
      <c r="G432" s="170">
        <v>26534</v>
      </c>
    </row>
    <row r="433" spans="1:7" ht="15">
      <c r="A433" s="384">
        <v>430</v>
      </c>
      <c r="B433" s="217" t="s">
        <v>67</v>
      </c>
      <c r="C433" s="97">
        <v>39073</v>
      </c>
      <c r="D433" s="104" t="s">
        <v>164</v>
      </c>
      <c r="E433" s="104" t="s">
        <v>15</v>
      </c>
      <c r="F433" s="223">
        <v>53640.5</v>
      </c>
      <c r="G433" s="170">
        <v>10972</v>
      </c>
    </row>
    <row r="434" spans="1:7" ht="15">
      <c r="A434" s="384">
        <v>431</v>
      </c>
      <c r="B434" s="122" t="s">
        <v>67</v>
      </c>
      <c r="C434" s="97">
        <v>39073</v>
      </c>
      <c r="D434" s="243" t="s">
        <v>164</v>
      </c>
      <c r="E434" s="243" t="s">
        <v>15</v>
      </c>
      <c r="F434" s="223">
        <v>19067</v>
      </c>
      <c r="G434" s="170">
        <v>3834</v>
      </c>
    </row>
    <row r="435" spans="1:7" ht="15">
      <c r="A435" s="384">
        <v>432</v>
      </c>
      <c r="B435" s="217" t="s">
        <v>67</v>
      </c>
      <c r="C435" s="97">
        <v>39073</v>
      </c>
      <c r="D435" s="243" t="s">
        <v>164</v>
      </c>
      <c r="E435" s="243" t="s">
        <v>15</v>
      </c>
      <c r="F435" s="228">
        <v>16336.5</v>
      </c>
      <c r="G435" s="133">
        <v>3779</v>
      </c>
    </row>
    <row r="436" spans="1:7" ht="15">
      <c r="A436" s="384">
        <v>433</v>
      </c>
      <c r="B436" s="217" t="s">
        <v>67</v>
      </c>
      <c r="C436" s="97">
        <v>39073</v>
      </c>
      <c r="D436" s="104" t="s">
        <v>164</v>
      </c>
      <c r="E436" s="104" t="s">
        <v>15</v>
      </c>
      <c r="F436" s="228">
        <v>13202</v>
      </c>
      <c r="G436" s="170">
        <v>2814</v>
      </c>
    </row>
    <row r="437" spans="1:7" ht="15">
      <c r="A437" s="384">
        <v>434</v>
      </c>
      <c r="B437" s="122" t="s">
        <v>67</v>
      </c>
      <c r="C437" s="97">
        <v>39073</v>
      </c>
      <c r="D437" s="104" t="s">
        <v>164</v>
      </c>
      <c r="E437" s="104" t="s">
        <v>15</v>
      </c>
      <c r="F437" s="223">
        <v>11222</v>
      </c>
      <c r="G437" s="170">
        <v>2184</v>
      </c>
    </row>
    <row r="438" spans="1:7" ht="15">
      <c r="A438" s="384">
        <v>435</v>
      </c>
      <c r="B438" s="122" t="s">
        <v>67</v>
      </c>
      <c r="C438" s="97">
        <v>39073</v>
      </c>
      <c r="D438" s="243" t="s">
        <v>164</v>
      </c>
      <c r="E438" s="243" t="s">
        <v>15</v>
      </c>
      <c r="F438" s="228">
        <v>4695</v>
      </c>
      <c r="G438" s="133">
        <v>945</v>
      </c>
    </row>
    <row r="439" spans="1:7" ht="15">
      <c r="A439" s="384">
        <v>436</v>
      </c>
      <c r="B439" s="217" t="s">
        <v>67</v>
      </c>
      <c r="C439" s="97">
        <v>39073</v>
      </c>
      <c r="D439" s="104" t="s">
        <v>164</v>
      </c>
      <c r="E439" s="104" t="s">
        <v>15</v>
      </c>
      <c r="F439" s="223">
        <v>4541</v>
      </c>
      <c r="G439" s="170">
        <v>777</v>
      </c>
    </row>
    <row r="440" spans="1:7" ht="15">
      <c r="A440" s="384">
        <v>437</v>
      </c>
      <c r="B440" s="298" t="s">
        <v>67</v>
      </c>
      <c r="C440" s="291">
        <v>39073</v>
      </c>
      <c r="D440" s="290" t="s">
        <v>164</v>
      </c>
      <c r="E440" s="290" t="s">
        <v>15</v>
      </c>
      <c r="F440" s="223">
        <v>3319</v>
      </c>
      <c r="G440" s="170">
        <v>761</v>
      </c>
    </row>
    <row r="441" spans="1:7" ht="15">
      <c r="A441" s="384">
        <v>438</v>
      </c>
      <c r="B441" s="301" t="s">
        <v>67</v>
      </c>
      <c r="C441" s="97">
        <v>39073</v>
      </c>
      <c r="D441" s="153" t="s">
        <v>164</v>
      </c>
      <c r="E441" s="153" t="s">
        <v>15</v>
      </c>
      <c r="F441" s="223">
        <v>1437</v>
      </c>
      <c r="G441" s="170">
        <v>298</v>
      </c>
    </row>
    <row r="442" spans="1:7" ht="15">
      <c r="A442" s="384">
        <v>439</v>
      </c>
      <c r="B442" s="217" t="s">
        <v>67</v>
      </c>
      <c r="C442" s="97">
        <v>39073</v>
      </c>
      <c r="D442" s="104" t="s">
        <v>164</v>
      </c>
      <c r="E442" s="104" t="s">
        <v>15</v>
      </c>
      <c r="F442" s="223">
        <v>1360</v>
      </c>
      <c r="G442" s="170">
        <v>312</v>
      </c>
    </row>
    <row r="443" spans="1:7" ht="15">
      <c r="A443" s="384">
        <v>440</v>
      </c>
      <c r="B443" s="301" t="s">
        <v>67</v>
      </c>
      <c r="C443" s="97">
        <v>39073</v>
      </c>
      <c r="D443" s="153" t="s">
        <v>164</v>
      </c>
      <c r="E443" s="153" t="s">
        <v>15</v>
      </c>
      <c r="F443" s="223">
        <v>1188</v>
      </c>
      <c r="G443" s="170">
        <v>238</v>
      </c>
    </row>
    <row r="444" spans="1:7" ht="15">
      <c r="A444" s="384">
        <v>441</v>
      </c>
      <c r="B444" s="301" t="s">
        <v>67</v>
      </c>
      <c r="C444" s="97">
        <v>39073</v>
      </c>
      <c r="D444" s="153" t="s">
        <v>164</v>
      </c>
      <c r="E444" s="153" t="s">
        <v>15</v>
      </c>
      <c r="F444" s="223">
        <v>554</v>
      </c>
      <c r="G444" s="170">
        <v>128</v>
      </c>
    </row>
    <row r="445" spans="1:7" ht="15">
      <c r="A445" s="384">
        <v>442</v>
      </c>
      <c r="B445" s="220" t="s">
        <v>67</v>
      </c>
      <c r="C445" s="97">
        <v>39073</v>
      </c>
      <c r="D445" s="286" t="s">
        <v>164</v>
      </c>
      <c r="E445" s="286" t="s">
        <v>238</v>
      </c>
      <c r="F445" s="223">
        <v>400</v>
      </c>
      <c r="G445" s="170">
        <v>80</v>
      </c>
    </row>
    <row r="446" spans="1:7" ht="15">
      <c r="A446" s="384">
        <v>443</v>
      </c>
      <c r="B446" s="217" t="s">
        <v>67</v>
      </c>
      <c r="C446" s="97">
        <v>39073</v>
      </c>
      <c r="D446" s="104" t="s">
        <v>164</v>
      </c>
      <c r="E446" s="104" t="s">
        <v>15</v>
      </c>
      <c r="F446" s="223">
        <v>295</v>
      </c>
      <c r="G446" s="170">
        <v>59</v>
      </c>
    </row>
    <row r="447" spans="1:7" ht="15">
      <c r="A447" s="384">
        <v>444</v>
      </c>
      <c r="B447" s="217" t="s">
        <v>67</v>
      </c>
      <c r="C447" s="97">
        <v>39073</v>
      </c>
      <c r="D447" s="104" t="s">
        <v>164</v>
      </c>
      <c r="E447" s="104" t="s">
        <v>15</v>
      </c>
      <c r="F447" s="223">
        <v>273</v>
      </c>
      <c r="G447" s="170">
        <v>41</v>
      </c>
    </row>
    <row r="448" spans="1:7" ht="15">
      <c r="A448" s="384">
        <v>445</v>
      </c>
      <c r="B448" s="217" t="s">
        <v>67</v>
      </c>
      <c r="C448" s="97">
        <v>39073</v>
      </c>
      <c r="D448" s="104" t="s">
        <v>164</v>
      </c>
      <c r="E448" s="104" t="s">
        <v>238</v>
      </c>
      <c r="F448" s="223">
        <v>272</v>
      </c>
      <c r="G448" s="170">
        <v>68</v>
      </c>
    </row>
    <row r="449" spans="1:7" ht="15">
      <c r="A449" s="384">
        <v>446</v>
      </c>
      <c r="B449" s="217" t="s">
        <v>67</v>
      </c>
      <c r="C449" s="97">
        <v>39073</v>
      </c>
      <c r="D449" s="104" t="s">
        <v>164</v>
      </c>
      <c r="E449" s="104" t="s">
        <v>15</v>
      </c>
      <c r="F449" s="223">
        <v>213</v>
      </c>
      <c r="G449" s="170">
        <v>31</v>
      </c>
    </row>
    <row r="450" spans="1:7" ht="15">
      <c r="A450" s="384">
        <v>447</v>
      </c>
      <c r="B450" s="217" t="s">
        <v>67</v>
      </c>
      <c r="C450" s="97">
        <v>39073</v>
      </c>
      <c r="D450" s="104" t="s">
        <v>164</v>
      </c>
      <c r="E450" s="104" t="s">
        <v>15</v>
      </c>
      <c r="F450" s="228">
        <v>145</v>
      </c>
      <c r="G450" s="170">
        <v>29</v>
      </c>
    </row>
    <row r="451" spans="1:7" ht="15">
      <c r="A451" s="384">
        <v>448</v>
      </c>
      <c r="B451" s="217" t="s">
        <v>388</v>
      </c>
      <c r="C451" s="97">
        <v>38933</v>
      </c>
      <c r="D451" s="105" t="s">
        <v>172</v>
      </c>
      <c r="E451" s="104" t="s">
        <v>80</v>
      </c>
      <c r="F451" s="222">
        <v>832</v>
      </c>
      <c r="G451" s="168">
        <v>110</v>
      </c>
    </row>
    <row r="452" spans="1:7" ht="15">
      <c r="A452" s="384">
        <v>449</v>
      </c>
      <c r="B452" s="219" t="s">
        <v>155</v>
      </c>
      <c r="C452" s="98">
        <v>38779</v>
      </c>
      <c r="D452" s="246" t="s">
        <v>5</v>
      </c>
      <c r="E452" s="247" t="s">
        <v>109</v>
      </c>
      <c r="F452" s="225">
        <v>3560</v>
      </c>
      <c r="G452" s="134">
        <v>890</v>
      </c>
    </row>
    <row r="453" spans="1:7" ht="15">
      <c r="A453" s="384">
        <v>450</v>
      </c>
      <c r="B453" s="219" t="s">
        <v>155</v>
      </c>
      <c r="C453" s="98">
        <v>38779</v>
      </c>
      <c r="D453" s="110" t="s">
        <v>5</v>
      </c>
      <c r="E453" s="109" t="s">
        <v>502</v>
      </c>
      <c r="F453" s="221">
        <v>1843</v>
      </c>
      <c r="G453" s="169">
        <v>295</v>
      </c>
    </row>
    <row r="454" spans="1:7" ht="15">
      <c r="A454" s="384">
        <v>451</v>
      </c>
      <c r="B454" s="219" t="s">
        <v>155</v>
      </c>
      <c r="C454" s="98">
        <v>38779</v>
      </c>
      <c r="D454" s="110" t="s">
        <v>5</v>
      </c>
      <c r="E454" s="109" t="s">
        <v>502</v>
      </c>
      <c r="F454" s="221">
        <v>1780</v>
      </c>
      <c r="G454" s="169">
        <v>445</v>
      </c>
    </row>
    <row r="455" spans="1:7" ht="15">
      <c r="A455" s="384">
        <v>452</v>
      </c>
      <c r="B455" s="219" t="s">
        <v>155</v>
      </c>
      <c r="C455" s="98">
        <v>38779</v>
      </c>
      <c r="D455" s="110" t="s">
        <v>5</v>
      </c>
      <c r="E455" s="109" t="s">
        <v>502</v>
      </c>
      <c r="F455" s="221">
        <v>1780</v>
      </c>
      <c r="G455" s="169">
        <v>445</v>
      </c>
    </row>
    <row r="456" spans="1:7" ht="15">
      <c r="A456" s="384">
        <v>453</v>
      </c>
      <c r="B456" s="219" t="s">
        <v>155</v>
      </c>
      <c r="C456" s="98">
        <v>38779</v>
      </c>
      <c r="D456" s="110" t="s">
        <v>5</v>
      </c>
      <c r="E456" s="109" t="s">
        <v>502</v>
      </c>
      <c r="F456" s="221">
        <v>1704</v>
      </c>
      <c r="G456" s="169">
        <v>270</v>
      </c>
    </row>
    <row r="457" spans="1:7" ht="15">
      <c r="A457" s="384">
        <v>454</v>
      </c>
      <c r="B457" s="219" t="s">
        <v>155</v>
      </c>
      <c r="C457" s="98">
        <v>38779</v>
      </c>
      <c r="D457" s="110" t="s">
        <v>5</v>
      </c>
      <c r="E457" s="109" t="s">
        <v>109</v>
      </c>
      <c r="F457" s="221">
        <v>952</v>
      </c>
      <c r="G457" s="169">
        <v>238</v>
      </c>
    </row>
    <row r="458" spans="1:7" ht="15">
      <c r="A458" s="384">
        <v>455</v>
      </c>
      <c r="B458" s="219" t="s">
        <v>155</v>
      </c>
      <c r="C458" s="98">
        <v>38779</v>
      </c>
      <c r="D458" s="110" t="s">
        <v>5</v>
      </c>
      <c r="E458" s="109" t="s">
        <v>109</v>
      </c>
      <c r="F458" s="221">
        <v>311</v>
      </c>
      <c r="G458" s="169">
        <v>64</v>
      </c>
    </row>
    <row r="459" spans="1:7" ht="15">
      <c r="A459" s="384">
        <v>456</v>
      </c>
      <c r="B459" s="219" t="s">
        <v>222</v>
      </c>
      <c r="C459" s="98">
        <v>38856</v>
      </c>
      <c r="D459" s="110" t="s">
        <v>5</v>
      </c>
      <c r="E459" s="109" t="s">
        <v>223</v>
      </c>
      <c r="F459" s="225">
        <v>1664</v>
      </c>
      <c r="G459" s="169">
        <v>416</v>
      </c>
    </row>
    <row r="460" spans="1:7" ht="15">
      <c r="A460" s="384">
        <v>457</v>
      </c>
      <c r="B460" s="219" t="s">
        <v>222</v>
      </c>
      <c r="C460" s="98">
        <v>38856</v>
      </c>
      <c r="D460" s="110" t="s">
        <v>5</v>
      </c>
      <c r="E460" s="109" t="s">
        <v>7</v>
      </c>
      <c r="F460" s="225">
        <v>1664</v>
      </c>
      <c r="G460" s="134">
        <v>416</v>
      </c>
    </row>
    <row r="461" spans="1:7" ht="15">
      <c r="A461" s="384">
        <v>458</v>
      </c>
      <c r="B461" s="219" t="s">
        <v>142</v>
      </c>
      <c r="C461" s="98">
        <v>38548</v>
      </c>
      <c r="D461" s="110" t="s">
        <v>5</v>
      </c>
      <c r="E461" s="109" t="s">
        <v>118</v>
      </c>
      <c r="F461" s="225">
        <v>236</v>
      </c>
      <c r="G461" s="169">
        <v>59</v>
      </c>
    </row>
    <row r="462" spans="1:7" ht="15">
      <c r="A462" s="384">
        <v>459</v>
      </c>
      <c r="B462" s="218" t="s">
        <v>345</v>
      </c>
      <c r="C462" s="98">
        <v>38261</v>
      </c>
      <c r="D462" s="107" t="s">
        <v>162</v>
      </c>
      <c r="E462" s="107" t="s">
        <v>430</v>
      </c>
      <c r="F462" s="221">
        <v>831</v>
      </c>
      <c r="G462" s="169">
        <v>277</v>
      </c>
    </row>
    <row r="463" spans="1:7" ht="15">
      <c r="A463" s="384">
        <v>460</v>
      </c>
      <c r="B463" s="218" t="s">
        <v>345</v>
      </c>
      <c r="C463" s="98">
        <v>38261</v>
      </c>
      <c r="D463" s="107" t="s">
        <v>457</v>
      </c>
      <c r="E463" s="107" t="s">
        <v>430</v>
      </c>
      <c r="F463" s="221">
        <v>594</v>
      </c>
      <c r="G463" s="169">
        <v>198</v>
      </c>
    </row>
    <row r="464" spans="1:7" ht="15">
      <c r="A464" s="384">
        <v>461</v>
      </c>
      <c r="B464" s="156" t="s">
        <v>318</v>
      </c>
      <c r="C464" s="98">
        <v>37246</v>
      </c>
      <c r="D464" s="153" t="s">
        <v>162</v>
      </c>
      <c r="E464" s="153" t="s">
        <v>316</v>
      </c>
      <c r="F464" s="222">
        <v>6255</v>
      </c>
      <c r="G464" s="168">
        <v>2085</v>
      </c>
    </row>
    <row r="465" spans="1:7" ht="15">
      <c r="A465" s="384">
        <v>462</v>
      </c>
      <c r="B465" s="156" t="s">
        <v>317</v>
      </c>
      <c r="C465" s="98">
        <v>37610</v>
      </c>
      <c r="D465" s="153" t="s">
        <v>162</v>
      </c>
      <c r="E465" s="153" t="s">
        <v>316</v>
      </c>
      <c r="F465" s="221">
        <v>6255</v>
      </c>
      <c r="G465" s="169">
        <v>2085</v>
      </c>
    </row>
    <row r="466" spans="1:7" ht="15">
      <c r="A466" s="384">
        <v>463</v>
      </c>
      <c r="B466" s="155" t="s">
        <v>315</v>
      </c>
      <c r="C466" s="97">
        <v>37974</v>
      </c>
      <c r="D466" s="153" t="s">
        <v>162</v>
      </c>
      <c r="E466" s="153" t="s">
        <v>316</v>
      </c>
      <c r="F466" s="222">
        <v>6255</v>
      </c>
      <c r="G466" s="168">
        <v>2085</v>
      </c>
    </row>
    <row r="467" spans="1:7" ht="15">
      <c r="A467" s="384">
        <v>464</v>
      </c>
      <c r="B467" s="218" t="s">
        <v>468</v>
      </c>
      <c r="C467" s="98">
        <v>38506</v>
      </c>
      <c r="D467" s="106" t="s">
        <v>173</v>
      </c>
      <c r="E467" s="106" t="s">
        <v>181</v>
      </c>
      <c r="F467" s="221">
        <v>1354</v>
      </c>
      <c r="G467" s="169">
        <v>212</v>
      </c>
    </row>
    <row r="468" spans="1:7" ht="15">
      <c r="A468" s="384">
        <v>465</v>
      </c>
      <c r="B468" s="155" t="s">
        <v>468</v>
      </c>
      <c r="C468" s="97">
        <v>38871</v>
      </c>
      <c r="D468" s="153" t="s">
        <v>173</v>
      </c>
      <c r="E468" s="153" t="s">
        <v>181</v>
      </c>
      <c r="F468" s="222">
        <v>978</v>
      </c>
      <c r="G468" s="168">
        <v>157</v>
      </c>
    </row>
    <row r="469" spans="1:7" ht="15">
      <c r="A469" s="384">
        <v>466</v>
      </c>
      <c r="B469" s="302" t="s">
        <v>258</v>
      </c>
      <c r="C469" s="98">
        <v>38660</v>
      </c>
      <c r="D469" s="152" t="s">
        <v>5</v>
      </c>
      <c r="E469" s="152" t="s">
        <v>118</v>
      </c>
      <c r="F469" s="221">
        <v>4276</v>
      </c>
      <c r="G469" s="169">
        <v>1069</v>
      </c>
    </row>
    <row r="470" spans="1:7" ht="15">
      <c r="A470" s="384">
        <v>467</v>
      </c>
      <c r="B470" s="125" t="s">
        <v>422</v>
      </c>
      <c r="C470" s="98">
        <v>38688</v>
      </c>
      <c r="D470" s="246" t="s">
        <v>5</v>
      </c>
      <c r="E470" s="247" t="s">
        <v>201</v>
      </c>
      <c r="F470" s="225">
        <v>1664</v>
      </c>
      <c r="G470" s="134">
        <v>416</v>
      </c>
    </row>
    <row r="471" spans="1:7" ht="15">
      <c r="A471" s="384">
        <v>468</v>
      </c>
      <c r="B471" s="219" t="s">
        <v>422</v>
      </c>
      <c r="C471" s="98">
        <v>38688</v>
      </c>
      <c r="D471" s="110" t="s">
        <v>5</v>
      </c>
      <c r="E471" s="109" t="s">
        <v>201</v>
      </c>
      <c r="F471" s="221">
        <v>1188</v>
      </c>
      <c r="G471" s="169">
        <v>297</v>
      </c>
    </row>
    <row r="472" spans="1:7" ht="15">
      <c r="A472" s="384">
        <v>469</v>
      </c>
      <c r="B472" s="219" t="s">
        <v>422</v>
      </c>
      <c r="C472" s="98">
        <v>38688</v>
      </c>
      <c r="D472" s="110" t="s">
        <v>5</v>
      </c>
      <c r="E472" s="109" t="s">
        <v>201</v>
      </c>
      <c r="F472" s="221">
        <v>952</v>
      </c>
      <c r="G472" s="169">
        <v>238</v>
      </c>
    </row>
    <row r="473" spans="1:7" ht="15">
      <c r="A473" s="384">
        <v>470</v>
      </c>
      <c r="B473" s="302" t="s">
        <v>562</v>
      </c>
      <c r="C473" s="98">
        <v>38660</v>
      </c>
      <c r="D473" s="152" t="s">
        <v>174</v>
      </c>
      <c r="E473" s="152" t="s">
        <v>563</v>
      </c>
      <c r="F473" s="442">
        <v>2014</v>
      </c>
      <c r="G473" s="512">
        <v>504</v>
      </c>
    </row>
    <row r="474" spans="1:7" ht="15">
      <c r="A474" s="384">
        <v>471</v>
      </c>
      <c r="B474" s="156" t="s">
        <v>322</v>
      </c>
      <c r="C474" s="98">
        <v>38842</v>
      </c>
      <c r="D474" s="152" t="s">
        <v>173</v>
      </c>
      <c r="E474" s="152" t="s">
        <v>176</v>
      </c>
      <c r="F474" s="221">
        <v>1155</v>
      </c>
      <c r="G474" s="169">
        <v>350</v>
      </c>
    </row>
    <row r="475" spans="1:7" ht="15">
      <c r="A475" s="384">
        <v>472</v>
      </c>
      <c r="B475" s="220" t="s">
        <v>449</v>
      </c>
      <c r="C475" s="97">
        <v>38296</v>
      </c>
      <c r="D475" s="107" t="s">
        <v>162</v>
      </c>
      <c r="E475" s="107" t="s">
        <v>99</v>
      </c>
      <c r="F475" s="222">
        <v>5346</v>
      </c>
      <c r="G475" s="168">
        <v>1782</v>
      </c>
    </row>
    <row r="476" spans="1:7" ht="15">
      <c r="A476" s="384">
        <v>473</v>
      </c>
      <c r="B476" s="218" t="s">
        <v>456</v>
      </c>
      <c r="C476" s="98">
        <v>38968</v>
      </c>
      <c r="D476" s="106" t="s">
        <v>174</v>
      </c>
      <c r="E476" s="106" t="s">
        <v>175</v>
      </c>
      <c r="F476" s="221">
        <v>1209</v>
      </c>
      <c r="G476" s="169">
        <v>300</v>
      </c>
    </row>
    <row r="477" spans="1:7" ht="15">
      <c r="A477" s="384">
        <v>474</v>
      </c>
      <c r="B477" s="218" t="s">
        <v>207</v>
      </c>
      <c r="C477" s="98">
        <v>39038</v>
      </c>
      <c r="D477" s="106" t="s">
        <v>174</v>
      </c>
      <c r="E477" s="106" t="s">
        <v>182</v>
      </c>
      <c r="F477" s="221">
        <v>2376</v>
      </c>
      <c r="G477" s="169">
        <v>475</v>
      </c>
    </row>
    <row r="478" spans="1:7" ht="15">
      <c r="A478" s="384">
        <v>475</v>
      </c>
      <c r="B478" s="120" t="s">
        <v>407</v>
      </c>
      <c r="C478" s="97">
        <v>38996</v>
      </c>
      <c r="D478" s="245" t="s">
        <v>189</v>
      </c>
      <c r="E478" s="245" t="s">
        <v>301</v>
      </c>
      <c r="F478" s="222">
        <v>1737</v>
      </c>
      <c r="G478" s="168">
        <v>255</v>
      </c>
    </row>
    <row r="479" spans="1:7" ht="15">
      <c r="A479" s="384">
        <v>476</v>
      </c>
      <c r="B479" s="124" t="s">
        <v>51</v>
      </c>
      <c r="C479" s="98">
        <v>38954</v>
      </c>
      <c r="D479" s="106" t="s">
        <v>173</v>
      </c>
      <c r="E479" s="106" t="s">
        <v>181</v>
      </c>
      <c r="F479" s="221">
        <v>1156</v>
      </c>
      <c r="G479" s="169">
        <v>350</v>
      </c>
    </row>
    <row r="480" spans="1:7" ht="15">
      <c r="A480" s="384">
        <v>477</v>
      </c>
      <c r="B480" s="124" t="s">
        <v>51</v>
      </c>
      <c r="C480" s="98"/>
      <c r="D480" s="106"/>
      <c r="E480" s="106"/>
      <c r="F480" s="221">
        <v>649</v>
      </c>
      <c r="G480" s="169">
        <v>127</v>
      </c>
    </row>
    <row r="481" spans="1:7" ht="15">
      <c r="A481" s="384">
        <v>478</v>
      </c>
      <c r="B481" s="218" t="s">
        <v>51</v>
      </c>
      <c r="C481" s="98">
        <v>38954</v>
      </c>
      <c r="D481" s="106" t="s">
        <v>173</v>
      </c>
      <c r="E481" s="106" t="s">
        <v>176</v>
      </c>
      <c r="F481" s="221">
        <v>535</v>
      </c>
      <c r="G481" s="169">
        <v>107</v>
      </c>
    </row>
    <row r="482" spans="1:7" ht="15">
      <c r="A482" s="384">
        <v>479</v>
      </c>
      <c r="B482" s="123" t="s">
        <v>51</v>
      </c>
      <c r="C482" s="126">
        <v>38954</v>
      </c>
      <c r="D482" s="106" t="s">
        <v>173</v>
      </c>
      <c r="E482" s="121" t="s">
        <v>181</v>
      </c>
      <c r="F482" s="227">
        <v>413</v>
      </c>
      <c r="G482" s="132">
        <v>100</v>
      </c>
    </row>
    <row r="483" spans="1:7" ht="15">
      <c r="A483" s="384">
        <v>480</v>
      </c>
      <c r="B483" s="217" t="s">
        <v>520</v>
      </c>
      <c r="C483" s="97">
        <v>38786</v>
      </c>
      <c r="D483" s="104" t="s">
        <v>162</v>
      </c>
      <c r="E483" s="104" t="s">
        <v>521</v>
      </c>
      <c r="F483" s="231">
        <v>144</v>
      </c>
      <c r="G483" s="172">
        <v>36</v>
      </c>
    </row>
    <row r="484" spans="1:7" ht="15">
      <c r="A484" s="384">
        <v>481</v>
      </c>
      <c r="B484" s="122" t="s">
        <v>332</v>
      </c>
      <c r="C484" s="97">
        <v>38639</v>
      </c>
      <c r="D484" s="104" t="s">
        <v>164</v>
      </c>
      <c r="E484" s="104" t="s">
        <v>7</v>
      </c>
      <c r="F484" s="223">
        <v>1946</v>
      </c>
      <c r="G484" s="170">
        <v>278</v>
      </c>
    </row>
    <row r="485" spans="1:7" ht="15">
      <c r="A485" s="384">
        <v>482</v>
      </c>
      <c r="B485" s="218" t="s">
        <v>334</v>
      </c>
      <c r="C485" s="98">
        <v>38800</v>
      </c>
      <c r="D485" s="106" t="s">
        <v>174</v>
      </c>
      <c r="E485" s="106" t="s">
        <v>175</v>
      </c>
      <c r="F485" s="225">
        <v>3021</v>
      </c>
      <c r="G485" s="134">
        <v>604</v>
      </c>
    </row>
    <row r="486" spans="1:7" ht="15">
      <c r="A486" s="384">
        <v>483</v>
      </c>
      <c r="B486" s="124" t="s">
        <v>334</v>
      </c>
      <c r="C486" s="98">
        <v>38800</v>
      </c>
      <c r="D486" s="106" t="s">
        <v>174</v>
      </c>
      <c r="E486" s="106" t="s">
        <v>175</v>
      </c>
      <c r="F486" s="221">
        <v>1510</v>
      </c>
      <c r="G486" s="169">
        <v>302</v>
      </c>
    </row>
    <row r="487" spans="1:7" ht="15">
      <c r="A487" s="384">
        <v>484</v>
      </c>
      <c r="B487" s="220" t="s">
        <v>210</v>
      </c>
      <c r="C487" s="97">
        <v>39073</v>
      </c>
      <c r="D487" s="105" t="s">
        <v>172</v>
      </c>
      <c r="E487" s="104" t="s">
        <v>80</v>
      </c>
      <c r="F487" s="226">
        <v>736993</v>
      </c>
      <c r="G487" s="131">
        <v>80041</v>
      </c>
    </row>
    <row r="488" spans="1:7" ht="15">
      <c r="A488" s="384">
        <v>485</v>
      </c>
      <c r="B488" s="220" t="s">
        <v>210</v>
      </c>
      <c r="C488" s="97">
        <v>39073</v>
      </c>
      <c r="D488" s="153" t="s">
        <v>172</v>
      </c>
      <c r="E488" s="153" t="s">
        <v>80</v>
      </c>
      <c r="F488" s="222">
        <v>318216</v>
      </c>
      <c r="G488" s="168">
        <v>36145</v>
      </c>
    </row>
    <row r="489" spans="1:7" ht="15">
      <c r="A489" s="384">
        <v>486</v>
      </c>
      <c r="B489" s="220" t="s">
        <v>210</v>
      </c>
      <c r="C489" s="97">
        <v>39073</v>
      </c>
      <c r="D489" s="105" t="s">
        <v>172</v>
      </c>
      <c r="E489" s="104" t="s">
        <v>80</v>
      </c>
      <c r="F489" s="222">
        <v>148350</v>
      </c>
      <c r="G489" s="168">
        <v>17661</v>
      </c>
    </row>
    <row r="490" spans="1:7" ht="15">
      <c r="A490" s="384">
        <v>487</v>
      </c>
      <c r="B490" s="220" t="s">
        <v>210</v>
      </c>
      <c r="C490" s="97">
        <v>39073</v>
      </c>
      <c r="D490" s="105" t="s">
        <v>172</v>
      </c>
      <c r="E490" s="104" t="s">
        <v>80</v>
      </c>
      <c r="F490" s="222">
        <v>83269</v>
      </c>
      <c r="G490" s="168">
        <v>10172</v>
      </c>
    </row>
    <row r="491" spans="1:7" ht="15">
      <c r="A491" s="384">
        <v>488</v>
      </c>
      <c r="B491" s="220" t="s">
        <v>210</v>
      </c>
      <c r="C491" s="97">
        <v>39073</v>
      </c>
      <c r="D491" s="105" t="s">
        <v>172</v>
      </c>
      <c r="E491" s="104" t="s">
        <v>80</v>
      </c>
      <c r="F491" s="222">
        <v>13464</v>
      </c>
      <c r="G491" s="168">
        <v>1277</v>
      </c>
    </row>
    <row r="492" spans="1:7" ht="15">
      <c r="A492" s="384">
        <v>489</v>
      </c>
      <c r="B492" s="220" t="s">
        <v>210</v>
      </c>
      <c r="C492" s="97">
        <v>39073</v>
      </c>
      <c r="D492" s="242" t="s">
        <v>172</v>
      </c>
      <c r="E492" s="243" t="s">
        <v>80</v>
      </c>
      <c r="F492" s="226">
        <v>3459</v>
      </c>
      <c r="G492" s="131">
        <v>1543</v>
      </c>
    </row>
    <row r="493" spans="1:7" ht="15">
      <c r="A493" s="384">
        <v>490</v>
      </c>
      <c r="B493" s="220" t="s">
        <v>210</v>
      </c>
      <c r="C493" s="97">
        <v>39073</v>
      </c>
      <c r="D493" s="242" t="s">
        <v>172</v>
      </c>
      <c r="E493" s="243" t="s">
        <v>80</v>
      </c>
      <c r="F493" s="226">
        <v>2344</v>
      </c>
      <c r="G493" s="131">
        <v>389</v>
      </c>
    </row>
    <row r="494" spans="1:7" ht="15">
      <c r="A494" s="384">
        <v>491</v>
      </c>
      <c r="B494" s="220" t="s">
        <v>210</v>
      </c>
      <c r="C494" s="97">
        <v>39073</v>
      </c>
      <c r="D494" s="242" t="s">
        <v>172</v>
      </c>
      <c r="E494" s="243" t="s">
        <v>80</v>
      </c>
      <c r="F494" s="222">
        <v>2218</v>
      </c>
      <c r="G494" s="168">
        <v>444</v>
      </c>
    </row>
    <row r="495" spans="1:7" ht="15">
      <c r="A495" s="384">
        <v>492</v>
      </c>
      <c r="B495" s="220" t="s">
        <v>210</v>
      </c>
      <c r="C495" s="97">
        <v>39073</v>
      </c>
      <c r="D495" s="105" t="s">
        <v>172</v>
      </c>
      <c r="E495" s="104" t="s">
        <v>80</v>
      </c>
      <c r="F495" s="222">
        <v>2077</v>
      </c>
      <c r="G495" s="168">
        <v>644</v>
      </c>
    </row>
    <row r="496" spans="1:7" ht="15">
      <c r="A496" s="384">
        <v>493</v>
      </c>
      <c r="B496" s="220" t="s">
        <v>210</v>
      </c>
      <c r="C496" s="97">
        <v>39073</v>
      </c>
      <c r="D496" s="286" t="s">
        <v>172</v>
      </c>
      <c r="E496" s="286" t="s">
        <v>80</v>
      </c>
      <c r="F496" s="222">
        <v>1365</v>
      </c>
      <c r="G496" s="168">
        <v>228</v>
      </c>
    </row>
    <row r="497" spans="1:7" ht="15">
      <c r="A497" s="384">
        <v>494</v>
      </c>
      <c r="B497" s="217" t="s">
        <v>210</v>
      </c>
      <c r="C497" s="97">
        <v>39073</v>
      </c>
      <c r="D497" s="105" t="s">
        <v>172</v>
      </c>
      <c r="E497" s="104" t="s">
        <v>80</v>
      </c>
      <c r="F497" s="226">
        <v>1317</v>
      </c>
      <c r="G497" s="168">
        <v>223</v>
      </c>
    </row>
    <row r="498" spans="1:7" ht="15">
      <c r="A498" s="384">
        <v>495</v>
      </c>
      <c r="B498" s="220" t="s">
        <v>210</v>
      </c>
      <c r="C498" s="97">
        <v>39073</v>
      </c>
      <c r="D498" s="105" t="s">
        <v>172</v>
      </c>
      <c r="E498" s="104" t="s">
        <v>80</v>
      </c>
      <c r="F498" s="226">
        <v>1073</v>
      </c>
      <c r="G498" s="168">
        <v>200</v>
      </c>
    </row>
    <row r="499" spans="1:7" ht="15">
      <c r="A499" s="384">
        <v>496</v>
      </c>
      <c r="B499" s="217" t="s">
        <v>210</v>
      </c>
      <c r="C499" s="97">
        <v>39073</v>
      </c>
      <c r="D499" s="105" t="s">
        <v>172</v>
      </c>
      <c r="E499" s="104" t="s">
        <v>80</v>
      </c>
      <c r="F499" s="222">
        <v>628</v>
      </c>
      <c r="G499" s="168">
        <v>89</v>
      </c>
    </row>
    <row r="500" spans="1:7" ht="15">
      <c r="A500" s="384">
        <v>497</v>
      </c>
      <c r="B500" s="220" t="s">
        <v>231</v>
      </c>
      <c r="C500" s="97">
        <v>38968</v>
      </c>
      <c r="D500" s="286" t="s">
        <v>164</v>
      </c>
      <c r="E500" s="286" t="s">
        <v>186</v>
      </c>
      <c r="F500" s="223">
        <v>996</v>
      </c>
      <c r="G500" s="170">
        <v>166</v>
      </c>
    </row>
    <row r="501" spans="1:7" ht="15">
      <c r="A501" s="384">
        <v>498</v>
      </c>
      <c r="B501" s="301" t="s">
        <v>231</v>
      </c>
      <c r="C501" s="97">
        <v>38968</v>
      </c>
      <c r="D501" s="153" t="s">
        <v>164</v>
      </c>
      <c r="E501" s="153" t="s">
        <v>186</v>
      </c>
      <c r="F501" s="444">
        <v>360</v>
      </c>
      <c r="G501" s="515">
        <v>53</v>
      </c>
    </row>
    <row r="502" spans="1:7" ht="15">
      <c r="A502" s="384">
        <v>499</v>
      </c>
      <c r="B502" s="301" t="s">
        <v>231</v>
      </c>
      <c r="C502" s="97">
        <v>38968</v>
      </c>
      <c r="D502" s="153" t="s">
        <v>164</v>
      </c>
      <c r="E502" s="153" t="s">
        <v>186</v>
      </c>
      <c r="F502" s="223">
        <v>352</v>
      </c>
      <c r="G502" s="170">
        <v>52</v>
      </c>
    </row>
    <row r="503" spans="1:7" ht="15">
      <c r="A503" s="384">
        <v>500</v>
      </c>
      <c r="B503" s="217" t="s">
        <v>231</v>
      </c>
      <c r="C503" s="97">
        <v>38968</v>
      </c>
      <c r="D503" s="104" t="s">
        <v>164</v>
      </c>
      <c r="E503" s="104" t="s">
        <v>186</v>
      </c>
      <c r="F503" s="223">
        <v>308</v>
      </c>
      <c r="G503" s="170">
        <v>46</v>
      </c>
    </row>
    <row r="504" spans="1:7" ht="15">
      <c r="A504" s="384">
        <v>501</v>
      </c>
      <c r="B504" s="217" t="s">
        <v>231</v>
      </c>
      <c r="C504" s="97">
        <v>38968</v>
      </c>
      <c r="D504" s="104" t="s">
        <v>164</v>
      </c>
      <c r="E504" s="104" t="s">
        <v>186</v>
      </c>
      <c r="F504" s="223">
        <v>262</v>
      </c>
      <c r="G504" s="170">
        <v>40</v>
      </c>
    </row>
    <row r="505" spans="1:7" ht="15">
      <c r="A505" s="384">
        <v>502</v>
      </c>
      <c r="B505" s="219" t="s">
        <v>61</v>
      </c>
      <c r="C505" s="98">
        <v>39066</v>
      </c>
      <c r="D505" s="110" t="s">
        <v>5</v>
      </c>
      <c r="E505" s="109" t="s">
        <v>7</v>
      </c>
      <c r="F505" s="221">
        <v>1664</v>
      </c>
      <c r="G505" s="169">
        <v>416</v>
      </c>
    </row>
    <row r="506" spans="1:7" ht="15">
      <c r="A506" s="384">
        <v>503</v>
      </c>
      <c r="B506" s="125" t="s">
        <v>61</v>
      </c>
      <c r="C506" s="98">
        <v>39066</v>
      </c>
      <c r="D506" s="246" t="s">
        <v>5</v>
      </c>
      <c r="E506" s="247" t="s">
        <v>7</v>
      </c>
      <c r="F506" s="221">
        <v>1068</v>
      </c>
      <c r="G506" s="169">
        <v>267</v>
      </c>
    </row>
    <row r="507" spans="1:7" ht="15">
      <c r="A507" s="384">
        <v>504</v>
      </c>
      <c r="B507" s="219" t="s">
        <v>61</v>
      </c>
      <c r="C507" s="98">
        <v>39066</v>
      </c>
      <c r="D507" s="287" t="s">
        <v>5</v>
      </c>
      <c r="E507" s="287" t="s">
        <v>7</v>
      </c>
      <c r="F507" s="221">
        <v>793</v>
      </c>
      <c r="G507" s="169">
        <v>109</v>
      </c>
    </row>
    <row r="508" spans="1:7" ht="15">
      <c r="A508" s="384">
        <v>505</v>
      </c>
      <c r="B508" s="219" t="s">
        <v>61</v>
      </c>
      <c r="C508" s="98">
        <v>39066</v>
      </c>
      <c r="D508" s="110" t="s">
        <v>5</v>
      </c>
      <c r="E508" s="109" t="s">
        <v>116</v>
      </c>
      <c r="F508" s="221">
        <v>420</v>
      </c>
      <c r="G508" s="169">
        <v>84</v>
      </c>
    </row>
    <row r="509" spans="1:7" ht="15">
      <c r="A509" s="384">
        <v>506</v>
      </c>
      <c r="B509" s="156" t="s">
        <v>61</v>
      </c>
      <c r="C509" s="98">
        <v>39066</v>
      </c>
      <c r="D509" s="152" t="s">
        <v>5</v>
      </c>
      <c r="E509" s="152" t="s">
        <v>7</v>
      </c>
      <c r="F509" s="221">
        <v>268</v>
      </c>
      <c r="G509" s="169">
        <v>28</v>
      </c>
    </row>
    <row r="510" spans="1:7" ht="15">
      <c r="A510" s="384">
        <v>507</v>
      </c>
      <c r="B510" s="125" t="s">
        <v>61</v>
      </c>
      <c r="C510" s="98">
        <v>39066</v>
      </c>
      <c r="D510" s="246" t="s">
        <v>5</v>
      </c>
      <c r="E510" s="247" t="s">
        <v>116</v>
      </c>
      <c r="F510" s="221">
        <v>235</v>
      </c>
      <c r="G510" s="169">
        <v>41</v>
      </c>
    </row>
    <row r="511" spans="1:7" ht="15">
      <c r="A511" s="384">
        <v>508</v>
      </c>
      <c r="B511" s="125" t="s">
        <v>61</v>
      </c>
      <c r="C511" s="98">
        <v>39066</v>
      </c>
      <c r="D511" s="110" t="s">
        <v>5</v>
      </c>
      <c r="E511" s="109" t="s">
        <v>7</v>
      </c>
      <c r="F511" s="225">
        <v>212</v>
      </c>
      <c r="G511" s="134">
        <v>23</v>
      </c>
    </row>
    <row r="512" spans="1:7" ht="15">
      <c r="A512" s="384">
        <v>509</v>
      </c>
      <c r="B512" s="302" t="s">
        <v>61</v>
      </c>
      <c r="C512" s="98">
        <v>39066</v>
      </c>
      <c r="D512" s="152" t="s">
        <v>5</v>
      </c>
      <c r="E512" s="152" t="s">
        <v>116</v>
      </c>
      <c r="F512" s="221">
        <v>147</v>
      </c>
      <c r="G512" s="169">
        <v>36</v>
      </c>
    </row>
    <row r="513" spans="1:7" ht="15">
      <c r="A513" s="384">
        <v>510</v>
      </c>
      <c r="B513" s="123" t="s">
        <v>143</v>
      </c>
      <c r="C513" s="126">
        <v>38989</v>
      </c>
      <c r="D513" s="244" t="s">
        <v>182</v>
      </c>
      <c r="E513" s="243" t="s">
        <v>182</v>
      </c>
      <c r="F513" s="227">
        <v>1135</v>
      </c>
      <c r="G513" s="132">
        <v>216</v>
      </c>
    </row>
    <row r="514" spans="1:7" ht="15">
      <c r="A514" s="384">
        <v>511</v>
      </c>
      <c r="B514" s="218" t="s">
        <v>143</v>
      </c>
      <c r="C514" s="98">
        <v>38989</v>
      </c>
      <c r="D514" s="244" t="s">
        <v>182</v>
      </c>
      <c r="E514" s="106" t="s">
        <v>182</v>
      </c>
      <c r="F514" s="225">
        <v>397</v>
      </c>
      <c r="G514" s="169">
        <v>77</v>
      </c>
    </row>
    <row r="515" spans="1:7" ht="15">
      <c r="A515" s="384">
        <v>512</v>
      </c>
      <c r="B515" s="218" t="s">
        <v>143</v>
      </c>
      <c r="C515" s="98">
        <v>38989</v>
      </c>
      <c r="D515" s="106" t="s">
        <v>174</v>
      </c>
      <c r="E515" s="106" t="s">
        <v>483</v>
      </c>
      <c r="F515" s="221">
        <v>308</v>
      </c>
      <c r="G515" s="169">
        <v>34</v>
      </c>
    </row>
    <row r="516" spans="1:7" ht="15">
      <c r="A516" s="384">
        <v>513</v>
      </c>
      <c r="B516" s="155" t="s">
        <v>312</v>
      </c>
      <c r="C516" s="97">
        <v>39073</v>
      </c>
      <c r="D516" s="153" t="s">
        <v>189</v>
      </c>
      <c r="E516" s="153" t="s">
        <v>301</v>
      </c>
      <c r="F516" s="222">
        <v>28388</v>
      </c>
      <c r="G516" s="168">
        <v>4133</v>
      </c>
    </row>
    <row r="517" spans="1:7" ht="15">
      <c r="A517" s="384">
        <v>514</v>
      </c>
      <c r="B517" s="120" t="s">
        <v>312</v>
      </c>
      <c r="C517" s="97">
        <v>39073</v>
      </c>
      <c r="D517" s="107" t="s">
        <v>189</v>
      </c>
      <c r="E517" s="107" t="s">
        <v>301</v>
      </c>
      <c r="F517" s="222">
        <v>3756</v>
      </c>
      <c r="G517" s="168">
        <v>644</v>
      </c>
    </row>
    <row r="518" spans="1:7" ht="15">
      <c r="A518" s="384">
        <v>515</v>
      </c>
      <c r="B518" s="220" t="s">
        <v>312</v>
      </c>
      <c r="C518" s="97">
        <v>39073</v>
      </c>
      <c r="D518" s="107" t="s">
        <v>189</v>
      </c>
      <c r="E518" s="107" t="s">
        <v>301</v>
      </c>
      <c r="F518" s="222">
        <v>3051</v>
      </c>
      <c r="G518" s="168">
        <v>698</v>
      </c>
    </row>
    <row r="519" spans="1:7" ht="15">
      <c r="A519" s="384">
        <v>516</v>
      </c>
      <c r="B519" s="220" t="s">
        <v>312</v>
      </c>
      <c r="C519" s="97">
        <v>39073</v>
      </c>
      <c r="D519" s="107" t="s">
        <v>189</v>
      </c>
      <c r="E519" s="107" t="s">
        <v>301</v>
      </c>
      <c r="F519" s="222">
        <v>1594</v>
      </c>
      <c r="G519" s="168">
        <v>314</v>
      </c>
    </row>
    <row r="520" spans="1:7" ht="15">
      <c r="A520" s="384">
        <v>517</v>
      </c>
      <c r="B520" s="120" t="s">
        <v>312</v>
      </c>
      <c r="C520" s="97">
        <v>39073</v>
      </c>
      <c r="D520" s="245" t="s">
        <v>189</v>
      </c>
      <c r="E520" s="245" t="s">
        <v>301</v>
      </c>
      <c r="F520" s="222">
        <v>1243</v>
      </c>
      <c r="G520" s="168">
        <v>259</v>
      </c>
    </row>
    <row r="521" spans="1:7" ht="15">
      <c r="A521" s="384">
        <v>518</v>
      </c>
      <c r="B521" s="120" t="s">
        <v>312</v>
      </c>
      <c r="C521" s="97">
        <v>39073</v>
      </c>
      <c r="D521" s="245" t="s">
        <v>189</v>
      </c>
      <c r="E521" s="245" t="s">
        <v>301</v>
      </c>
      <c r="F521" s="226">
        <v>950</v>
      </c>
      <c r="G521" s="131">
        <v>179</v>
      </c>
    </row>
    <row r="522" spans="1:7" ht="15">
      <c r="A522" s="384">
        <v>519</v>
      </c>
      <c r="B522" s="120" t="s">
        <v>312</v>
      </c>
      <c r="C522" s="97">
        <v>39073</v>
      </c>
      <c r="D522" s="107" t="s">
        <v>189</v>
      </c>
      <c r="E522" s="107" t="s">
        <v>301</v>
      </c>
      <c r="F522" s="222">
        <v>584.5</v>
      </c>
      <c r="G522" s="168">
        <v>144</v>
      </c>
    </row>
    <row r="523" spans="1:7" ht="15">
      <c r="A523" s="384">
        <v>520</v>
      </c>
      <c r="B523" s="124" t="s">
        <v>333</v>
      </c>
      <c r="C523" s="98">
        <v>38436</v>
      </c>
      <c r="D523" s="106" t="s">
        <v>174</v>
      </c>
      <c r="E523" s="106" t="s">
        <v>175</v>
      </c>
      <c r="F523" s="221">
        <v>1510</v>
      </c>
      <c r="G523" s="169">
        <v>302</v>
      </c>
    </row>
    <row r="524" spans="1:7" ht="15">
      <c r="A524" s="384">
        <v>521</v>
      </c>
      <c r="B524" s="124" t="s">
        <v>333</v>
      </c>
      <c r="C524" s="98">
        <v>38436</v>
      </c>
      <c r="D524" s="106" t="s">
        <v>174</v>
      </c>
      <c r="E524" s="106" t="s">
        <v>175</v>
      </c>
      <c r="F524" s="221">
        <v>201</v>
      </c>
      <c r="G524" s="169">
        <v>47</v>
      </c>
    </row>
    <row r="525" spans="1:7" ht="15">
      <c r="A525" s="384">
        <v>522</v>
      </c>
      <c r="B525" s="218" t="s">
        <v>333</v>
      </c>
      <c r="C525" s="98">
        <v>38436</v>
      </c>
      <c r="D525" s="106" t="s">
        <v>174</v>
      </c>
      <c r="E525" s="106" t="s">
        <v>175</v>
      </c>
      <c r="F525" s="221">
        <v>201</v>
      </c>
      <c r="G525" s="169">
        <v>47</v>
      </c>
    </row>
    <row r="526" spans="1:7" ht="15">
      <c r="A526" s="384">
        <v>523</v>
      </c>
      <c r="B526" s="122" t="s">
        <v>14</v>
      </c>
      <c r="C526" s="97">
        <v>39024</v>
      </c>
      <c r="D526" s="105" t="s">
        <v>172</v>
      </c>
      <c r="E526" s="104" t="s">
        <v>187</v>
      </c>
      <c r="F526" s="226">
        <v>4639</v>
      </c>
      <c r="G526" s="131">
        <v>1240</v>
      </c>
    </row>
    <row r="527" spans="1:7" ht="15">
      <c r="A527" s="384">
        <v>524</v>
      </c>
      <c r="B527" s="217" t="s">
        <v>14</v>
      </c>
      <c r="C527" s="97">
        <v>39024</v>
      </c>
      <c r="D527" s="105" t="s">
        <v>172</v>
      </c>
      <c r="E527" s="104" t="s">
        <v>187</v>
      </c>
      <c r="F527" s="222">
        <v>3468</v>
      </c>
      <c r="G527" s="168">
        <v>968</v>
      </c>
    </row>
    <row r="528" spans="1:7" ht="15">
      <c r="A528" s="384">
        <v>525</v>
      </c>
      <c r="B528" s="155" t="s">
        <v>14</v>
      </c>
      <c r="C528" s="97">
        <v>39024</v>
      </c>
      <c r="D528" s="153" t="s">
        <v>172</v>
      </c>
      <c r="E528" s="153" t="s">
        <v>187</v>
      </c>
      <c r="F528" s="222">
        <v>1123</v>
      </c>
      <c r="G528" s="168">
        <v>375</v>
      </c>
    </row>
    <row r="529" spans="1:7" ht="15">
      <c r="A529" s="384">
        <v>526</v>
      </c>
      <c r="B529" s="122" t="s">
        <v>14</v>
      </c>
      <c r="C529" s="97">
        <v>39024</v>
      </c>
      <c r="D529" s="105" t="s">
        <v>172</v>
      </c>
      <c r="E529" s="104" t="s">
        <v>187</v>
      </c>
      <c r="F529" s="222">
        <v>130</v>
      </c>
      <c r="G529" s="168">
        <v>20</v>
      </c>
    </row>
    <row r="530" spans="1:7" ht="15">
      <c r="A530" s="384">
        <v>527</v>
      </c>
      <c r="B530" s="122" t="s">
        <v>408</v>
      </c>
      <c r="C530" s="97">
        <v>39024</v>
      </c>
      <c r="D530" s="242" t="s">
        <v>172</v>
      </c>
      <c r="E530" s="243" t="s">
        <v>80</v>
      </c>
      <c r="F530" s="222">
        <v>719</v>
      </c>
      <c r="G530" s="168">
        <v>90</v>
      </c>
    </row>
    <row r="531" spans="1:7" ht="15">
      <c r="A531" s="384">
        <v>528</v>
      </c>
      <c r="B531" s="217" t="s">
        <v>408</v>
      </c>
      <c r="C531" s="97">
        <v>39003</v>
      </c>
      <c r="D531" s="105" t="s">
        <v>172</v>
      </c>
      <c r="E531" s="104" t="s">
        <v>80</v>
      </c>
      <c r="F531" s="222">
        <v>596</v>
      </c>
      <c r="G531" s="168">
        <v>79</v>
      </c>
    </row>
    <row r="532" spans="1:7" ht="15">
      <c r="A532" s="384">
        <v>529</v>
      </c>
      <c r="B532" s="102" t="s">
        <v>498</v>
      </c>
      <c r="C532" s="100">
        <v>39024</v>
      </c>
      <c r="D532" s="108" t="s">
        <v>180</v>
      </c>
      <c r="E532" s="108" t="s">
        <v>178</v>
      </c>
      <c r="F532" s="230">
        <v>4269</v>
      </c>
      <c r="G532" s="135">
        <v>855</v>
      </c>
    </row>
    <row r="533" spans="1:7" ht="15">
      <c r="A533" s="384">
        <v>530</v>
      </c>
      <c r="B533" s="157" t="s">
        <v>46</v>
      </c>
      <c r="C533" s="100">
        <v>39059</v>
      </c>
      <c r="D533" s="154" t="s">
        <v>180</v>
      </c>
      <c r="E533" s="154" t="s">
        <v>47</v>
      </c>
      <c r="F533" s="229">
        <v>8747</v>
      </c>
      <c r="G533" s="171">
        <v>1379</v>
      </c>
    </row>
    <row r="534" spans="1:7" ht="15">
      <c r="A534" s="384">
        <v>531</v>
      </c>
      <c r="B534" s="102" t="s">
        <v>46</v>
      </c>
      <c r="C534" s="100">
        <v>39059</v>
      </c>
      <c r="D534" s="108" t="s">
        <v>180</v>
      </c>
      <c r="E534" s="108" t="s">
        <v>47</v>
      </c>
      <c r="F534" s="230">
        <v>4587</v>
      </c>
      <c r="G534" s="135">
        <v>707</v>
      </c>
    </row>
    <row r="535" spans="1:7" ht="15">
      <c r="A535" s="384">
        <v>532</v>
      </c>
      <c r="B535" s="214" t="s">
        <v>46</v>
      </c>
      <c r="C535" s="100">
        <v>39059</v>
      </c>
      <c r="D535" s="108" t="s">
        <v>180</v>
      </c>
      <c r="E535" s="108" t="s">
        <v>47</v>
      </c>
      <c r="F535" s="229">
        <v>4297</v>
      </c>
      <c r="G535" s="171">
        <v>700</v>
      </c>
    </row>
    <row r="536" spans="1:7" ht="15">
      <c r="A536" s="384">
        <v>533</v>
      </c>
      <c r="B536" s="303" t="s">
        <v>46</v>
      </c>
      <c r="C536" s="297">
        <v>39059</v>
      </c>
      <c r="D536" s="296" t="s">
        <v>180</v>
      </c>
      <c r="E536" s="296" t="s">
        <v>47</v>
      </c>
      <c r="F536" s="305">
        <v>424</v>
      </c>
      <c r="G536" s="307">
        <v>61</v>
      </c>
    </row>
    <row r="537" spans="1:7" ht="15">
      <c r="A537" s="384">
        <v>534</v>
      </c>
      <c r="B537" s="309" t="s">
        <v>46</v>
      </c>
      <c r="C537" s="100">
        <v>39059</v>
      </c>
      <c r="D537" s="154" t="s">
        <v>180</v>
      </c>
      <c r="E537" s="154" t="s">
        <v>47</v>
      </c>
      <c r="F537" s="229">
        <v>110</v>
      </c>
      <c r="G537" s="171">
        <v>18</v>
      </c>
    </row>
    <row r="538" spans="1:7" ht="15">
      <c r="A538" s="384">
        <v>535</v>
      </c>
      <c r="B538" s="125" t="s">
        <v>130</v>
      </c>
      <c r="C538" s="98">
        <v>38191</v>
      </c>
      <c r="D538" s="110" t="s">
        <v>5</v>
      </c>
      <c r="E538" s="109" t="s">
        <v>107</v>
      </c>
      <c r="F538" s="221">
        <v>803.2</v>
      </c>
      <c r="G538" s="169">
        <v>502</v>
      </c>
    </row>
    <row r="539" spans="1:7" ht="15">
      <c r="A539" s="384">
        <v>536</v>
      </c>
      <c r="B539" s="219" t="s">
        <v>130</v>
      </c>
      <c r="C539" s="98">
        <v>38191</v>
      </c>
      <c r="D539" s="110" t="s">
        <v>5</v>
      </c>
      <c r="E539" s="109" t="s">
        <v>107</v>
      </c>
      <c r="F539" s="225">
        <v>476</v>
      </c>
      <c r="G539" s="169">
        <v>119</v>
      </c>
    </row>
    <row r="540" spans="1:7" ht="15">
      <c r="A540" s="384">
        <v>537</v>
      </c>
      <c r="B540" s="302" t="s">
        <v>130</v>
      </c>
      <c r="C540" s="98">
        <v>38191</v>
      </c>
      <c r="D540" s="152" t="s">
        <v>5</v>
      </c>
      <c r="E540" s="152" t="s">
        <v>107</v>
      </c>
      <c r="F540" s="221">
        <v>435.2</v>
      </c>
      <c r="G540" s="169">
        <v>272</v>
      </c>
    </row>
    <row r="541" spans="1:7" ht="15">
      <c r="A541" s="384">
        <v>538</v>
      </c>
      <c r="B541" s="219" t="s">
        <v>130</v>
      </c>
      <c r="C541" s="98">
        <v>38191</v>
      </c>
      <c r="D541" s="110" t="s">
        <v>5</v>
      </c>
      <c r="E541" s="109" t="s">
        <v>107</v>
      </c>
      <c r="F541" s="221">
        <v>328</v>
      </c>
      <c r="G541" s="169">
        <v>50</v>
      </c>
    </row>
    <row r="542" spans="1:7" ht="15">
      <c r="A542" s="384">
        <v>539</v>
      </c>
      <c r="B542" s="302" t="s">
        <v>130</v>
      </c>
      <c r="C542" s="98">
        <v>38191</v>
      </c>
      <c r="D542" s="152" t="s">
        <v>5</v>
      </c>
      <c r="E542" s="152" t="s">
        <v>107</v>
      </c>
      <c r="F542" s="221">
        <v>266</v>
      </c>
      <c r="G542" s="169">
        <v>42</v>
      </c>
    </row>
    <row r="543" spans="1:7" ht="15">
      <c r="A543" s="384">
        <v>540</v>
      </c>
      <c r="B543" s="301" t="s">
        <v>130</v>
      </c>
      <c r="C543" s="97">
        <v>38191</v>
      </c>
      <c r="D543" s="153" t="s">
        <v>5</v>
      </c>
      <c r="E543" s="153" t="s">
        <v>546</v>
      </c>
      <c r="F543" s="222">
        <v>251</v>
      </c>
      <c r="G543" s="168">
        <v>45</v>
      </c>
    </row>
    <row r="544" spans="1:7" ht="15">
      <c r="A544" s="384">
        <v>541</v>
      </c>
      <c r="B544" s="125" t="s">
        <v>158</v>
      </c>
      <c r="C544" s="98">
        <v>37869</v>
      </c>
      <c r="D544" s="246" t="s">
        <v>5</v>
      </c>
      <c r="E544" s="247" t="s">
        <v>9</v>
      </c>
      <c r="F544" s="221">
        <v>952</v>
      </c>
      <c r="G544" s="169">
        <v>238</v>
      </c>
    </row>
    <row r="545" spans="1:7" ht="15">
      <c r="A545" s="384">
        <v>542</v>
      </c>
      <c r="B545" s="125" t="s">
        <v>161</v>
      </c>
      <c r="C545" s="98">
        <v>38751</v>
      </c>
      <c r="D545" s="246" t="s">
        <v>5</v>
      </c>
      <c r="E545" s="247" t="s">
        <v>9</v>
      </c>
      <c r="F545" s="221">
        <v>245.5</v>
      </c>
      <c r="G545" s="169">
        <v>97</v>
      </c>
    </row>
    <row r="546" spans="1:7" ht="15">
      <c r="A546" s="384">
        <v>543</v>
      </c>
      <c r="B546" s="217" t="s">
        <v>326</v>
      </c>
      <c r="C546" s="97">
        <v>39003</v>
      </c>
      <c r="D546" s="105" t="s">
        <v>172</v>
      </c>
      <c r="E546" s="104" t="s">
        <v>310</v>
      </c>
      <c r="F546" s="222">
        <v>544</v>
      </c>
      <c r="G546" s="168">
        <v>133</v>
      </c>
    </row>
    <row r="547" spans="1:7" ht="15">
      <c r="A547" s="384">
        <v>544</v>
      </c>
      <c r="B547" s="155" t="s">
        <v>326</v>
      </c>
      <c r="C547" s="97">
        <v>39003</v>
      </c>
      <c r="D547" s="153" t="s">
        <v>172</v>
      </c>
      <c r="E547" s="153" t="s">
        <v>310</v>
      </c>
      <c r="F547" s="222">
        <v>513</v>
      </c>
      <c r="G547" s="168">
        <v>162</v>
      </c>
    </row>
    <row r="548" spans="1:7" ht="15">
      <c r="A548" s="384">
        <v>545</v>
      </c>
      <c r="B548" s="218" t="s">
        <v>198</v>
      </c>
      <c r="C548" s="98">
        <v>39010</v>
      </c>
      <c r="D548" s="106" t="s">
        <v>174</v>
      </c>
      <c r="E548" s="106" t="s">
        <v>187</v>
      </c>
      <c r="F548" s="221">
        <v>20659.5</v>
      </c>
      <c r="G548" s="169">
        <v>4132</v>
      </c>
    </row>
    <row r="549" spans="1:7" ht="15">
      <c r="A549" s="384">
        <v>546</v>
      </c>
      <c r="B549" s="123" t="s">
        <v>198</v>
      </c>
      <c r="C549" s="126">
        <v>39010</v>
      </c>
      <c r="D549" s="121" t="s">
        <v>174</v>
      </c>
      <c r="E549" s="121" t="s">
        <v>187</v>
      </c>
      <c r="F549" s="227">
        <v>13340</v>
      </c>
      <c r="G549" s="132">
        <v>1914</v>
      </c>
    </row>
    <row r="550" spans="1:7" ht="15">
      <c r="A550" s="384">
        <v>547</v>
      </c>
      <c r="B550" s="218" t="s">
        <v>198</v>
      </c>
      <c r="C550" s="98">
        <v>39010</v>
      </c>
      <c r="D550" s="106" t="s">
        <v>174</v>
      </c>
      <c r="E550" s="106" t="s">
        <v>187</v>
      </c>
      <c r="F550" s="221">
        <v>11619</v>
      </c>
      <c r="G550" s="169">
        <v>2905</v>
      </c>
    </row>
    <row r="551" spans="1:7" ht="15">
      <c r="A551" s="384">
        <v>548</v>
      </c>
      <c r="B551" s="218" t="s">
        <v>198</v>
      </c>
      <c r="C551" s="98">
        <v>39010</v>
      </c>
      <c r="D551" s="106" t="s">
        <v>174</v>
      </c>
      <c r="E551" s="106" t="s">
        <v>187</v>
      </c>
      <c r="F551" s="221">
        <v>5274.5</v>
      </c>
      <c r="G551" s="169">
        <v>1016</v>
      </c>
    </row>
    <row r="552" spans="1:7" ht="15">
      <c r="A552" s="384">
        <v>549</v>
      </c>
      <c r="B552" s="302" t="s">
        <v>198</v>
      </c>
      <c r="C552" s="98">
        <v>39010</v>
      </c>
      <c r="D552" s="152" t="s">
        <v>174</v>
      </c>
      <c r="E552" s="152" t="s">
        <v>187</v>
      </c>
      <c r="F552" s="442">
        <v>3564</v>
      </c>
      <c r="G552" s="512">
        <v>891</v>
      </c>
    </row>
    <row r="553" spans="1:7" ht="15">
      <c r="A553" s="384">
        <v>550</v>
      </c>
      <c r="B553" s="156" t="s">
        <v>198</v>
      </c>
      <c r="C553" s="98">
        <v>39010</v>
      </c>
      <c r="D553" s="152" t="s">
        <v>174</v>
      </c>
      <c r="E553" s="152" t="s">
        <v>187</v>
      </c>
      <c r="F553" s="221">
        <v>3471</v>
      </c>
      <c r="G553" s="169">
        <v>491</v>
      </c>
    </row>
    <row r="554" spans="1:7" ht="15">
      <c r="A554" s="384">
        <v>551</v>
      </c>
      <c r="B554" s="218" t="s">
        <v>198</v>
      </c>
      <c r="C554" s="98">
        <v>39010</v>
      </c>
      <c r="D554" s="106" t="s">
        <v>174</v>
      </c>
      <c r="E554" s="106" t="s">
        <v>187</v>
      </c>
      <c r="F554" s="221">
        <v>3021</v>
      </c>
      <c r="G554" s="169">
        <v>604</v>
      </c>
    </row>
    <row r="555" spans="1:7" ht="15">
      <c r="A555" s="384">
        <v>552</v>
      </c>
      <c r="B555" s="123" t="s">
        <v>198</v>
      </c>
      <c r="C555" s="126">
        <v>39010</v>
      </c>
      <c r="D555" s="244" t="s">
        <v>174</v>
      </c>
      <c r="E555" s="243" t="s">
        <v>187</v>
      </c>
      <c r="F555" s="227">
        <v>2629</v>
      </c>
      <c r="G555" s="132">
        <v>519</v>
      </c>
    </row>
    <row r="556" spans="1:7" ht="15">
      <c r="A556" s="384">
        <v>553</v>
      </c>
      <c r="B556" s="302" t="s">
        <v>198</v>
      </c>
      <c r="C556" s="98">
        <v>39010</v>
      </c>
      <c r="D556" s="152" t="s">
        <v>174</v>
      </c>
      <c r="E556" s="152" t="s">
        <v>187</v>
      </c>
      <c r="F556" s="221">
        <v>2376</v>
      </c>
      <c r="G556" s="169">
        <v>594</v>
      </c>
    </row>
    <row r="557" spans="1:7" ht="15">
      <c r="A557" s="384">
        <v>554</v>
      </c>
      <c r="B557" s="124" t="s">
        <v>198</v>
      </c>
      <c r="C557" s="98">
        <v>39010</v>
      </c>
      <c r="D557" s="106" t="s">
        <v>174</v>
      </c>
      <c r="E557" s="106" t="s">
        <v>187</v>
      </c>
      <c r="F557" s="221">
        <v>2097</v>
      </c>
      <c r="G557" s="169">
        <v>307</v>
      </c>
    </row>
    <row r="558" spans="1:7" ht="15">
      <c r="A558" s="384">
        <v>555</v>
      </c>
      <c r="B558" s="218" t="s">
        <v>198</v>
      </c>
      <c r="C558" s="98">
        <v>39010</v>
      </c>
      <c r="D558" s="106" t="s">
        <v>174</v>
      </c>
      <c r="E558" s="106" t="s">
        <v>187</v>
      </c>
      <c r="F558" s="221">
        <v>2013.5</v>
      </c>
      <c r="G558" s="169">
        <v>503</v>
      </c>
    </row>
    <row r="559" spans="1:7" ht="15">
      <c r="A559" s="384">
        <v>556</v>
      </c>
      <c r="B559" s="302" t="s">
        <v>198</v>
      </c>
      <c r="C559" s="98">
        <v>39010</v>
      </c>
      <c r="D559" s="152" t="s">
        <v>174</v>
      </c>
      <c r="E559" s="152" t="s">
        <v>187</v>
      </c>
      <c r="F559" s="221">
        <v>1782</v>
      </c>
      <c r="G559" s="169">
        <v>446</v>
      </c>
    </row>
    <row r="560" spans="1:7" ht="15">
      <c r="A560" s="384">
        <v>557</v>
      </c>
      <c r="B560" s="302" t="s">
        <v>198</v>
      </c>
      <c r="C560" s="98">
        <v>39010</v>
      </c>
      <c r="D560" s="152" t="s">
        <v>174</v>
      </c>
      <c r="E560" s="152" t="s">
        <v>187</v>
      </c>
      <c r="F560" s="221">
        <v>369</v>
      </c>
      <c r="G560" s="169">
        <v>113</v>
      </c>
    </row>
    <row r="561" spans="1:7" ht="15">
      <c r="A561" s="384">
        <v>558</v>
      </c>
      <c r="B561" s="219" t="s">
        <v>198</v>
      </c>
      <c r="C561" s="98">
        <v>39010</v>
      </c>
      <c r="D561" s="287" t="s">
        <v>174</v>
      </c>
      <c r="E561" s="287" t="s">
        <v>187</v>
      </c>
      <c r="F561" s="221">
        <v>347</v>
      </c>
      <c r="G561" s="169">
        <v>128</v>
      </c>
    </row>
    <row r="562" spans="1:7" ht="15">
      <c r="A562" s="384">
        <v>559</v>
      </c>
      <c r="B562" s="299" t="s">
        <v>198</v>
      </c>
      <c r="C562" s="293">
        <v>39010</v>
      </c>
      <c r="D562" s="292" t="s">
        <v>174</v>
      </c>
      <c r="E562" s="292" t="s">
        <v>187</v>
      </c>
      <c r="F562" s="304">
        <v>318</v>
      </c>
      <c r="G562" s="306">
        <v>123</v>
      </c>
    </row>
    <row r="563" spans="1:7" ht="15">
      <c r="A563" s="384">
        <v>560</v>
      </c>
      <c r="B563" s="218" t="s">
        <v>198</v>
      </c>
      <c r="C563" s="98">
        <v>39010</v>
      </c>
      <c r="D563" s="106" t="s">
        <v>174</v>
      </c>
      <c r="E563" s="106" t="s">
        <v>187</v>
      </c>
      <c r="F563" s="221">
        <v>180</v>
      </c>
      <c r="G563" s="169">
        <v>60</v>
      </c>
    </row>
    <row r="564" spans="1:7" ht="15">
      <c r="A564" s="384">
        <v>561</v>
      </c>
      <c r="B564" s="218" t="s">
        <v>198</v>
      </c>
      <c r="C564" s="98">
        <v>39010</v>
      </c>
      <c r="D564" s="106" t="s">
        <v>174</v>
      </c>
      <c r="E564" s="106" t="s">
        <v>187</v>
      </c>
      <c r="F564" s="225">
        <v>130</v>
      </c>
      <c r="G564" s="169">
        <v>18</v>
      </c>
    </row>
    <row r="565" spans="1:7" ht="15">
      <c r="A565" s="384">
        <v>562</v>
      </c>
      <c r="B565" s="218" t="s">
        <v>198</v>
      </c>
      <c r="C565" s="98">
        <v>39010</v>
      </c>
      <c r="D565" s="106" t="s">
        <v>174</v>
      </c>
      <c r="E565" s="106" t="s">
        <v>187</v>
      </c>
      <c r="F565" s="221">
        <v>100</v>
      </c>
      <c r="G565" s="169">
        <v>12</v>
      </c>
    </row>
    <row r="566" spans="1:7" ht="15">
      <c r="A566" s="384">
        <v>563</v>
      </c>
      <c r="B566" s="124" t="s">
        <v>198</v>
      </c>
      <c r="C566" s="98">
        <v>39010</v>
      </c>
      <c r="D566" s="252" t="s">
        <v>174</v>
      </c>
      <c r="E566" s="252" t="s">
        <v>187</v>
      </c>
      <c r="F566" s="221">
        <v>49</v>
      </c>
      <c r="G566" s="169">
        <v>7</v>
      </c>
    </row>
    <row r="567" spans="1:7" ht="15">
      <c r="A567" s="384">
        <v>564</v>
      </c>
      <c r="B567" s="219" t="s">
        <v>144</v>
      </c>
      <c r="C567" s="98">
        <v>38758</v>
      </c>
      <c r="D567" s="246" t="s">
        <v>5</v>
      </c>
      <c r="E567" s="247" t="s">
        <v>145</v>
      </c>
      <c r="F567" s="225">
        <v>4276</v>
      </c>
      <c r="G567" s="134">
        <v>1069</v>
      </c>
    </row>
    <row r="568" spans="1:7" ht="15">
      <c r="A568" s="384">
        <v>565</v>
      </c>
      <c r="B568" s="219" t="s">
        <v>144</v>
      </c>
      <c r="C568" s="98">
        <v>38758</v>
      </c>
      <c r="D568" s="110" t="s">
        <v>5</v>
      </c>
      <c r="E568" s="109" t="s">
        <v>145</v>
      </c>
      <c r="F568" s="225">
        <v>3560</v>
      </c>
      <c r="G568" s="169">
        <v>890</v>
      </c>
    </row>
    <row r="569" spans="1:7" ht="15">
      <c r="A569" s="384">
        <v>566</v>
      </c>
      <c r="B569" s="219" t="s">
        <v>144</v>
      </c>
      <c r="C569" s="98">
        <v>38758</v>
      </c>
      <c r="D569" s="110" t="s">
        <v>5</v>
      </c>
      <c r="E569" s="109" t="s">
        <v>145</v>
      </c>
      <c r="F569" s="225">
        <v>1008</v>
      </c>
      <c r="G569" s="169">
        <v>252</v>
      </c>
    </row>
    <row r="570" spans="1:7" ht="15">
      <c r="A570" s="384">
        <v>567</v>
      </c>
      <c r="B570" s="219" t="s">
        <v>144</v>
      </c>
      <c r="C570" s="98">
        <v>38758</v>
      </c>
      <c r="D570" s="110" t="s">
        <v>5</v>
      </c>
      <c r="E570" s="109" t="s">
        <v>145</v>
      </c>
      <c r="F570" s="221">
        <v>952</v>
      </c>
      <c r="G570" s="169">
        <v>238</v>
      </c>
    </row>
    <row r="571" spans="1:7" ht="15">
      <c r="A571" s="384">
        <v>568</v>
      </c>
      <c r="B571" s="120" t="s">
        <v>321</v>
      </c>
      <c r="C571" s="97">
        <v>39052</v>
      </c>
      <c r="D571" s="107" t="s">
        <v>189</v>
      </c>
      <c r="E571" s="107" t="s">
        <v>301</v>
      </c>
      <c r="F571" s="222">
        <v>1617</v>
      </c>
      <c r="G571" s="168">
        <v>271</v>
      </c>
    </row>
    <row r="572" spans="1:7" ht="15">
      <c r="A572" s="384">
        <v>569</v>
      </c>
      <c r="B572" s="155" t="s">
        <v>321</v>
      </c>
      <c r="C572" s="126">
        <v>39073</v>
      </c>
      <c r="D572" s="121" t="s">
        <v>189</v>
      </c>
      <c r="E572" s="121" t="s">
        <v>301</v>
      </c>
      <c r="F572" s="227">
        <v>1562.5</v>
      </c>
      <c r="G572" s="132">
        <v>266</v>
      </c>
    </row>
    <row r="573" spans="1:7" ht="15">
      <c r="A573" s="384">
        <v>570</v>
      </c>
      <c r="B573" s="155" t="s">
        <v>321</v>
      </c>
      <c r="C573" s="97">
        <v>39052</v>
      </c>
      <c r="D573" s="153" t="s">
        <v>189</v>
      </c>
      <c r="E573" s="153" t="s">
        <v>301</v>
      </c>
      <c r="F573" s="222">
        <v>1522</v>
      </c>
      <c r="G573" s="168">
        <v>316</v>
      </c>
    </row>
    <row r="574" spans="1:7" ht="15">
      <c r="A574" s="384">
        <v>571</v>
      </c>
      <c r="B574" s="120" t="s">
        <v>321</v>
      </c>
      <c r="C574" s="97">
        <v>39052</v>
      </c>
      <c r="D574" s="245" t="s">
        <v>189</v>
      </c>
      <c r="E574" s="245" t="s">
        <v>301</v>
      </c>
      <c r="F574" s="226">
        <v>1188</v>
      </c>
      <c r="G574" s="131">
        <v>198</v>
      </c>
    </row>
    <row r="575" spans="1:7" ht="15">
      <c r="A575" s="384">
        <v>572</v>
      </c>
      <c r="B575" s="301" t="s">
        <v>321</v>
      </c>
      <c r="C575" s="97">
        <v>39052</v>
      </c>
      <c r="D575" s="153" t="s">
        <v>189</v>
      </c>
      <c r="E575" s="153" t="s">
        <v>301</v>
      </c>
      <c r="F575" s="222">
        <v>1116</v>
      </c>
      <c r="G575" s="168">
        <v>185</v>
      </c>
    </row>
    <row r="576" spans="1:7" ht="15">
      <c r="A576" s="384">
        <v>573</v>
      </c>
      <c r="B576" s="220" t="s">
        <v>321</v>
      </c>
      <c r="C576" s="97">
        <v>39052</v>
      </c>
      <c r="D576" s="107" t="s">
        <v>189</v>
      </c>
      <c r="E576" s="107" t="s">
        <v>301</v>
      </c>
      <c r="F576" s="222">
        <v>301</v>
      </c>
      <c r="G576" s="168">
        <v>60</v>
      </c>
    </row>
    <row r="577" spans="1:7" ht="15">
      <c r="A577" s="384">
        <v>574</v>
      </c>
      <c r="B577" s="301" t="s">
        <v>321</v>
      </c>
      <c r="C577" s="97">
        <v>39052</v>
      </c>
      <c r="D577" s="153" t="s">
        <v>189</v>
      </c>
      <c r="E577" s="153" t="s">
        <v>301</v>
      </c>
      <c r="F577" s="222">
        <v>272</v>
      </c>
      <c r="G577" s="168">
        <v>68</v>
      </c>
    </row>
    <row r="578" spans="1:7" ht="15">
      <c r="A578" s="384">
        <v>575</v>
      </c>
      <c r="B578" s="155" t="s">
        <v>321</v>
      </c>
      <c r="C578" s="97">
        <v>39052</v>
      </c>
      <c r="D578" s="107" t="s">
        <v>189</v>
      </c>
      <c r="E578" s="107" t="s">
        <v>301</v>
      </c>
      <c r="F578" s="222">
        <v>197</v>
      </c>
      <c r="G578" s="168">
        <v>47</v>
      </c>
    </row>
    <row r="579" spans="1:7" ht="15">
      <c r="A579" s="384">
        <v>576</v>
      </c>
      <c r="B579" s="122" t="s">
        <v>59</v>
      </c>
      <c r="C579" s="97">
        <v>39066</v>
      </c>
      <c r="D579" s="105" t="s">
        <v>172</v>
      </c>
      <c r="E579" s="104" t="s">
        <v>187</v>
      </c>
      <c r="F579" s="226">
        <v>41071</v>
      </c>
      <c r="G579" s="131">
        <v>3570</v>
      </c>
    </row>
    <row r="580" spans="1:7" ht="15">
      <c r="A580" s="384">
        <v>577</v>
      </c>
      <c r="B580" s="155" t="s">
        <v>59</v>
      </c>
      <c r="C580" s="97">
        <v>39066</v>
      </c>
      <c r="D580" s="153" t="s">
        <v>172</v>
      </c>
      <c r="E580" s="153" t="s">
        <v>187</v>
      </c>
      <c r="F580" s="222">
        <v>3039</v>
      </c>
      <c r="G580" s="168">
        <v>371</v>
      </c>
    </row>
    <row r="581" spans="1:7" ht="15">
      <c r="A581" s="384">
        <v>578</v>
      </c>
      <c r="B581" s="217" t="s">
        <v>59</v>
      </c>
      <c r="C581" s="97">
        <v>39066</v>
      </c>
      <c r="D581" s="105" t="s">
        <v>172</v>
      </c>
      <c r="E581" s="104" t="s">
        <v>187</v>
      </c>
      <c r="F581" s="222">
        <v>2600</v>
      </c>
      <c r="G581" s="168">
        <v>361</v>
      </c>
    </row>
    <row r="582" spans="1:7" ht="15">
      <c r="A582" s="384">
        <v>579</v>
      </c>
      <c r="B582" s="220" t="s">
        <v>59</v>
      </c>
      <c r="C582" s="97">
        <v>39066</v>
      </c>
      <c r="D582" s="286" t="s">
        <v>172</v>
      </c>
      <c r="E582" s="286" t="s">
        <v>187</v>
      </c>
      <c r="F582" s="222">
        <v>2186</v>
      </c>
      <c r="G582" s="168">
        <v>301</v>
      </c>
    </row>
    <row r="583" spans="1:7" ht="15">
      <c r="A583" s="384">
        <v>580</v>
      </c>
      <c r="B583" s="217" t="s">
        <v>59</v>
      </c>
      <c r="C583" s="97">
        <v>39066</v>
      </c>
      <c r="D583" s="105" t="s">
        <v>172</v>
      </c>
      <c r="E583" s="104" t="s">
        <v>187</v>
      </c>
      <c r="F583" s="226">
        <v>2174</v>
      </c>
      <c r="G583" s="168">
        <v>300</v>
      </c>
    </row>
    <row r="584" spans="1:7" ht="15">
      <c r="A584" s="384">
        <v>581</v>
      </c>
      <c r="B584" s="217" t="s">
        <v>59</v>
      </c>
      <c r="C584" s="97">
        <v>39066</v>
      </c>
      <c r="D584" s="105" t="s">
        <v>172</v>
      </c>
      <c r="E584" s="104" t="s">
        <v>187</v>
      </c>
      <c r="F584" s="222">
        <v>2174</v>
      </c>
      <c r="G584" s="168">
        <v>300</v>
      </c>
    </row>
    <row r="585" spans="1:7" ht="15">
      <c r="A585" s="384">
        <v>582</v>
      </c>
      <c r="B585" s="217" t="s">
        <v>59</v>
      </c>
      <c r="C585" s="97">
        <v>39066</v>
      </c>
      <c r="D585" s="105" t="s">
        <v>172</v>
      </c>
      <c r="E585" s="104" t="s">
        <v>187</v>
      </c>
      <c r="F585" s="222">
        <v>2014</v>
      </c>
      <c r="G585" s="168">
        <v>202</v>
      </c>
    </row>
    <row r="586" spans="1:7" ht="15">
      <c r="A586" s="384">
        <v>583</v>
      </c>
      <c r="B586" s="217" t="s">
        <v>59</v>
      </c>
      <c r="C586" s="97">
        <v>39066</v>
      </c>
      <c r="D586" s="105" t="s">
        <v>172</v>
      </c>
      <c r="E586" s="104" t="s">
        <v>187</v>
      </c>
      <c r="F586" s="222">
        <v>1487</v>
      </c>
      <c r="G586" s="168">
        <v>239</v>
      </c>
    </row>
    <row r="587" spans="1:7" ht="15">
      <c r="A587" s="384">
        <v>584</v>
      </c>
      <c r="B587" s="122" t="s">
        <v>59</v>
      </c>
      <c r="C587" s="97">
        <v>39066</v>
      </c>
      <c r="D587" s="105" t="s">
        <v>172</v>
      </c>
      <c r="E587" s="104" t="s">
        <v>187</v>
      </c>
      <c r="F587" s="222">
        <v>1124</v>
      </c>
      <c r="G587" s="168">
        <v>164</v>
      </c>
    </row>
    <row r="588" spans="1:7" ht="15">
      <c r="A588" s="384">
        <v>585</v>
      </c>
      <c r="B588" s="122" t="s">
        <v>59</v>
      </c>
      <c r="C588" s="97">
        <v>39066</v>
      </c>
      <c r="D588" s="105" t="s">
        <v>172</v>
      </c>
      <c r="E588" s="104" t="s">
        <v>187</v>
      </c>
      <c r="F588" s="222">
        <v>762</v>
      </c>
      <c r="G588" s="168">
        <v>96</v>
      </c>
    </row>
    <row r="589" spans="1:7" ht="15">
      <c r="A589" s="384">
        <v>586</v>
      </c>
      <c r="B589" s="217" t="s">
        <v>59</v>
      </c>
      <c r="C589" s="97">
        <v>39066</v>
      </c>
      <c r="D589" s="242" t="s">
        <v>172</v>
      </c>
      <c r="E589" s="243" t="s">
        <v>187</v>
      </c>
      <c r="F589" s="226">
        <v>751</v>
      </c>
      <c r="G589" s="131">
        <v>88</v>
      </c>
    </row>
    <row r="590" spans="1:7" ht="15">
      <c r="A590" s="384">
        <v>587</v>
      </c>
      <c r="B590" s="301" t="s">
        <v>59</v>
      </c>
      <c r="C590" s="97">
        <v>39066</v>
      </c>
      <c r="D590" s="153" t="s">
        <v>172</v>
      </c>
      <c r="E590" s="153" t="s">
        <v>187</v>
      </c>
      <c r="F590" s="222">
        <v>252</v>
      </c>
      <c r="G590" s="168">
        <v>32</v>
      </c>
    </row>
    <row r="591" spans="1:7" ht="15">
      <c r="A591" s="384">
        <v>588</v>
      </c>
      <c r="B591" s="122" t="s">
        <v>59</v>
      </c>
      <c r="C591" s="97">
        <v>39066</v>
      </c>
      <c r="D591" s="242" t="s">
        <v>172</v>
      </c>
      <c r="E591" s="243" t="s">
        <v>187</v>
      </c>
      <c r="F591" s="222">
        <v>237</v>
      </c>
      <c r="G591" s="168">
        <v>46</v>
      </c>
    </row>
    <row r="592" spans="1:7" ht="15">
      <c r="A592" s="384">
        <v>589</v>
      </c>
      <c r="B592" s="217" t="s">
        <v>59</v>
      </c>
      <c r="C592" s="97">
        <v>39066</v>
      </c>
      <c r="D592" s="105" t="s">
        <v>172</v>
      </c>
      <c r="E592" s="104" t="s">
        <v>187</v>
      </c>
      <c r="F592" s="226">
        <v>234</v>
      </c>
      <c r="G592" s="168">
        <v>27</v>
      </c>
    </row>
    <row r="593" spans="1:7" ht="15">
      <c r="A593" s="384">
        <v>590</v>
      </c>
      <c r="B593" s="122" t="s">
        <v>59</v>
      </c>
      <c r="C593" s="97">
        <v>39066</v>
      </c>
      <c r="D593" s="242" t="s">
        <v>172</v>
      </c>
      <c r="E593" s="243" t="s">
        <v>187</v>
      </c>
      <c r="F593" s="226">
        <v>161</v>
      </c>
      <c r="G593" s="131">
        <v>29</v>
      </c>
    </row>
    <row r="594" spans="1:7" ht="15">
      <c r="A594" s="384">
        <v>591</v>
      </c>
      <c r="B594" s="125" t="s">
        <v>131</v>
      </c>
      <c r="C594" s="98">
        <v>38709</v>
      </c>
      <c r="D594" s="110" t="s">
        <v>5</v>
      </c>
      <c r="E594" s="109" t="s">
        <v>15</v>
      </c>
      <c r="F594" s="221">
        <v>3560</v>
      </c>
      <c r="G594" s="169">
        <v>890</v>
      </c>
    </row>
    <row r="595" spans="1:7" ht="15">
      <c r="A595" s="384">
        <v>592</v>
      </c>
      <c r="B595" s="217" t="s">
        <v>479</v>
      </c>
      <c r="C595" s="97">
        <v>38919</v>
      </c>
      <c r="D595" s="105" t="s">
        <v>172</v>
      </c>
      <c r="E595" s="104" t="s">
        <v>80</v>
      </c>
      <c r="F595" s="222">
        <v>1782</v>
      </c>
      <c r="G595" s="168">
        <v>510</v>
      </c>
    </row>
    <row r="596" spans="1:7" ht="15">
      <c r="A596" s="384">
        <v>593</v>
      </c>
      <c r="B596" s="123" t="s">
        <v>299</v>
      </c>
      <c r="C596" s="126">
        <v>39031</v>
      </c>
      <c r="D596" s="121" t="s">
        <v>174</v>
      </c>
      <c r="E596" s="121" t="s">
        <v>21</v>
      </c>
      <c r="F596" s="227">
        <v>570</v>
      </c>
      <c r="G596" s="132">
        <v>142</v>
      </c>
    </row>
    <row r="597" spans="1:7" ht="15">
      <c r="A597" s="384">
        <v>594</v>
      </c>
      <c r="B597" s="218" t="s">
        <v>299</v>
      </c>
      <c r="C597" s="98">
        <v>39031</v>
      </c>
      <c r="D597" s="106" t="s">
        <v>174</v>
      </c>
      <c r="E597" s="106" t="s">
        <v>21</v>
      </c>
      <c r="F597" s="221">
        <v>310</v>
      </c>
      <c r="G597" s="169">
        <v>69</v>
      </c>
    </row>
    <row r="598" spans="1:7" ht="15">
      <c r="A598" s="384">
        <v>595</v>
      </c>
      <c r="B598" s="218" t="s">
        <v>299</v>
      </c>
      <c r="C598" s="98">
        <v>39031</v>
      </c>
      <c r="D598" s="106" t="s">
        <v>81</v>
      </c>
      <c r="E598" s="106" t="s">
        <v>21</v>
      </c>
      <c r="F598" s="221">
        <v>254</v>
      </c>
      <c r="G598" s="169">
        <v>57</v>
      </c>
    </row>
    <row r="599" spans="1:7" ht="15">
      <c r="A599" s="384">
        <v>596</v>
      </c>
      <c r="B599" s="156" t="s">
        <v>299</v>
      </c>
      <c r="C599" s="98">
        <v>39031</v>
      </c>
      <c r="D599" s="152" t="s">
        <v>174</v>
      </c>
      <c r="E599" s="152" t="s">
        <v>21</v>
      </c>
      <c r="F599" s="221">
        <v>176</v>
      </c>
      <c r="G599" s="169">
        <v>44</v>
      </c>
    </row>
    <row r="600" spans="1:7" ht="15">
      <c r="A600" s="384">
        <v>597</v>
      </c>
      <c r="B600" s="219" t="s">
        <v>232</v>
      </c>
      <c r="C600" s="98">
        <v>38891</v>
      </c>
      <c r="D600" s="287" t="s">
        <v>5</v>
      </c>
      <c r="E600" s="287" t="s">
        <v>233</v>
      </c>
      <c r="F600" s="221">
        <v>712</v>
      </c>
      <c r="G600" s="169">
        <v>178</v>
      </c>
    </row>
    <row r="601" spans="1:7" ht="15">
      <c r="A601" s="384">
        <v>598</v>
      </c>
      <c r="B601" s="123" t="s">
        <v>195</v>
      </c>
      <c r="C601" s="126">
        <v>39052</v>
      </c>
      <c r="D601" s="121" t="s">
        <v>174</v>
      </c>
      <c r="E601" s="121" t="s">
        <v>83</v>
      </c>
      <c r="F601" s="227">
        <v>137705.5</v>
      </c>
      <c r="G601" s="132">
        <v>21048</v>
      </c>
    </row>
    <row r="602" spans="1:7" ht="15">
      <c r="A602" s="384">
        <v>599</v>
      </c>
      <c r="B602" s="156" t="s">
        <v>195</v>
      </c>
      <c r="C602" s="98">
        <v>39052</v>
      </c>
      <c r="D602" s="152" t="s">
        <v>174</v>
      </c>
      <c r="E602" s="152" t="s">
        <v>83</v>
      </c>
      <c r="F602" s="221">
        <v>96374</v>
      </c>
      <c r="G602" s="169">
        <v>15913</v>
      </c>
    </row>
    <row r="603" spans="1:7" ht="15">
      <c r="A603" s="384">
        <v>600</v>
      </c>
      <c r="B603" s="124" t="s">
        <v>195</v>
      </c>
      <c r="C603" s="98">
        <v>39052</v>
      </c>
      <c r="D603" s="106" t="s">
        <v>174</v>
      </c>
      <c r="E603" s="106" t="s">
        <v>83</v>
      </c>
      <c r="F603" s="221">
        <v>73504</v>
      </c>
      <c r="G603" s="169">
        <v>13224</v>
      </c>
    </row>
    <row r="604" spans="1:7" ht="15">
      <c r="A604" s="384">
        <v>601</v>
      </c>
      <c r="B604" s="218" t="s">
        <v>195</v>
      </c>
      <c r="C604" s="98">
        <v>39052</v>
      </c>
      <c r="D604" s="106" t="s">
        <v>174</v>
      </c>
      <c r="E604" s="106" t="s">
        <v>83</v>
      </c>
      <c r="F604" s="221">
        <v>30884</v>
      </c>
      <c r="G604" s="169">
        <v>6184</v>
      </c>
    </row>
    <row r="605" spans="1:7" ht="15">
      <c r="A605" s="384">
        <v>602</v>
      </c>
      <c r="B605" s="124" t="s">
        <v>195</v>
      </c>
      <c r="C605" s="98">
        <v>39052</v>
      </c>
      <c r="D605" s="252" t="s">
        <v>174</v>
      </c>
      <c r="E605" s="252" t="s">
        <v>83</v>
      </c>
      <c r="F605" s="221">
        <v>17976</v>
      </c>
      <c r="G605" s="169">
        <v>3081</v>
      </c>
    </row>
    <row r="606" spans="1:7" ht="15">
      <c r="A606" s="384">
        <v>603</v>
      </c>
      <c r="B606" s="124" t="s">
        <v>195</v>
      </c>
      <c r="C606" s="98">
        <v>39052</v>
      </c>
      <c r="D606" s="106" t="s">
        <v>174</v>
      </c>
      <c r="E606" s="106" t="s">
        <v>83</v>
      </c>
      <c r="F606" s="221">
        <v>17454.5</v>
      </c>
      <c r="G606" s="169">
        <v>3648</v>
      </c>
    </row>
    <row r="607" spans="1:7" ht="15">
      <c r="A607" s="384">
        <v>604</v>
      </c>
      <c r="B607" s="218" t="s">
        <v>195</v>
      </c>
      <c r="C607" s="98">
        <v>39052</v>
      </c>
      <c r="D607" s="106" t="s">
        <v>174</v>
      </c>
      <c r="E607" s="106" t="s">
        <v>83</v>
      </c>
      <c r="F607" s="225">
        <v>10984.5</v>
      </c>
      <c r="G607" s="169">
        <v>2101</v>
      </c>
    </row>
    <row r="608" spans="1:7" ht="15">
      <c r="A608" s="384">
        <v>605</v>
      </c>
      <c r="B608" s="123" t="s">
        <v>195</v>
      </c>
      <c r="C608" s="126">
        <v>39052</v>
      </c>
      <c r="D608" s="244" t="s">
        <v>174</v>
      </c>
      <c r="E608" s="243" t="s">
        <v>83</v>
      </c>
      <c r="F608" s="227">
        <v>8264</v>
      </c>
      <c r="G608" s="132">
        <v>1405</v>
      </c>
    </row>
    <row r="609" spans="1:7" ht="15">
      <c r="A609" s="384">
        <v>606</v>
      </c>
      <c r="B609" s="253" t="s">
        <v>195</v>
      </c>
      <c r="C609" s="126">
        <v>39052</v>
      </c>
      <c r="D609" s="244" t="s">
        <v>174</v>
      </c>
      <c r="E609" s="244" t="s">
        <v>83</v>
      </c>
      <c r="F609" s="227">
        <v>5607</v>
      </c>
      <c r="G609" s="132">
        <v>939</v>
      </c>
    </row>
    <row r="610" spans="1:7" ht="15">
      <c r="A610" s="384">
        <v>607</v>
      </c>
      <c r="B610" s="218" t="s">
        <v>195</v>
      </c>
      <c r="C610" s="98">
        <v>39052</v>
      </c>
      <c r="D610" s="106" t="s">
        <v>174</v>
      </c>
      <c r="E610" s="106" t="s">
        <v>451</v>
      </c>
      <c r="F610" s="221">
        <v>4629</v>
      </c>
      <c r="G610" s="169">
        <v>964</v>
      </c>
    </row>
    <row r="611" spans="1:7" ht="15">
      <c r="A611" s="384">
        <v>608</v>
      </c>
      <c r="B611" s="218" t="s">
        <v>195</v>
      </c>
      <c r="C611" s="98">
        <v>39052</v>
      </c>
      <c r="D611" s="106" t="s">
        <v>81</v>
      </c>
      <c r="E611" s="106" t="s">
        <v>83</v>
      </c>
      <c r="F611" s="221">
        <v>2782</v>
      </c>
      <c r="G611" s="169">
        <v>414</v>
      </c>
    </row>
    <row r="612" spans="1:7" ht="15">
      <c r="A612" s="384">
        <v>609</v>
      </c>
      <c r="B612" s="302" t="s">
        <v>195</v>
      </c>
      <c r="C612" s="98">
        <v>39052</v>
      </c>
      <c r="D612" s="152" t="s">
        <v>174</v>
      </c>
      <c r="E612" s="152" t="s">
        <v>83</v>
      </c>
      <c r="F612" s="221">
        <v>2376</v>
      </c>
      <c r="G612" s="169">
        <v>475</v>
      </c>
    </row>
    <row r="613" spans="1:7" ht="15">
      <c r="A613" s="384">
        <v>610</v>
      </c>
      <c r="B613" s="302" t="s">
        <v>195</v>
      </c>
      <c r="C613" s="98">
        <v>39052</v>
      </c>
      <c r="D613" s="152" t="s">
        <v>174</v>
      </c>
      <c r="E613" s="152" t="s">
        <v>83</v>
      </c>
      <c r="F613" s="221">
        <v>2202</v>
      </c>
      <c r="G613" s="169">
        <v>531</v>
      </c>
    </row>
    <row r="614" spans="1:7" ht="15">
      <c r="A614" s="384">
        <v>611</v>
      </c>
      <c r="B614" s="302" t="s">
        <v>195</v>
      </c>
      <c r="C614" s="98">
        <v>39052</v>
      </c>
      <c r="D614" s="152" t="s">
        <v>174</v>
      </c>
      <c r="E614" s="152" t="s">
        <v>83</v>
      </c>
      <c r="F614" s="442">
        <v>2164.5</v>
      </c>
      <c r="G614" s="512">
        <v>487</v>
      </c>
    </row>
    <row r="615" spans="1:7" ht="15">
      <c r="A615" s="384">
        <v>612</v>
      </c>
      <c r="B615" s="124" t="s">
        <v>195</v>
      </c>
      <c r="C615" s="98">
        <v>39052</v>
      </c>
      <c r="D615" s="252" t="s">
        <v>174</v>
      </c>
      <c r="E615" s="252" t="s">
        <v>83</v>
      </c>
      <c r="F615" s="221">
        <v>1901</v>
      </c>
      <c r="G615" s="169">
        <v>475</v>
      </c>
    </row>
    <row r="616" spans="1:7" ht="15">
      <c r="A616" s="384">
        <v>613</v>
      </c>
      <c r="B616" s="219" t="s">
        <v>195</v>
      </c>
      <c r="C616" s="98">
        <v>39052</v>
      </c>
      <c r="D616" s="287" t="s">
        <v>174</v>
      </c>
      <c r="E616" s="287" t="s">
        <v>83</v>
      </c>
      <c r="F616" s="221">
        <v>1637</v>
      </c>
      <c r="G616" s="169">
        <v>585</v>
      </c>
    </row>
    <row r="617" spans="1:7" ht="15">
      <c r="A617" s="384">
        <v>614</v>
      </c>
      <c r="B617" s="218" t="s">
        <v>195</v>
      </c>
      <c r="C617" s="98">
        <v>39052</v>
      </c>
      <c r="D617" s="106" t="s">
        <v>174</v>
      </c>
      <c r="E617" s="106" t="s">
        <v>451</v>
      </c>
      <c r="F617" s="225">
        <v>1262</v>
      </c>
      <c r="G617" s="169">
        <v>287</v>
      </c>
    </row>
    <row r="618" spans="1:7" ht="15">
      <c r="A618" s="384">
        <v>615</v>
      </c>
      <c r="B618" s="218" t="s">
        <v>195</v>
      </c>
      <c r="C618" s="98">
        <v>39052</v>
      </c>
      <c r="D618" s="106" t="s">
        <v>174</v>
      </c>
      <c r="E618" s="106" t="s">
        <v>83</v>
      </c>
      <c r="F618" s="221">
        <v>1188</v>
      </c>
      <c r="G618" s="169">
        <v>297</v>
      </c>
    </row>
    <row r="619" spans="1:7" ht="15">
      <c r="A619" s="384">
        <v>616</v>
      </c>
      <c r="B619" s="218" t="s">
        <v>195</v>
      </c>
      <c r="C619" s="98">
        <v>39052</v>
      </c>
      <c r="D619" s="106" t="s">
        <v>174</v>
      </c>
      <c r="E619" s="106" t="s">
        <v>83</v>
      </c>
      <c r="F619" s="221">
        <v>352</v>
      </c>
      <c r="G619" s="169">
        <v>88</v>
      </c>
    </row>
    <row r="620" spans="1:7" ht="15">
      <c r="A620" s="384">
        <v>617</v>
      </c>
      <c r="B620" s="218" t="s">
        <v>195</v>
      </c>
      <c r="C620" s="98">
        <v>39052</v>
      </c>
      <c r="D620" s="106" t="s">
        <v>174</v>
      </c>
      <c r="E620" s="106" t="s">
        <v>83</v>
      </c>
      <c r="F620" s="221">
        <v>98</v>
      </c>
      <c r="G620" s="169">
        <v>12</v>
      </c>
    </row>
    <row r="621" spans="1:7" ht="15">
      <c r="A621" s="384">
        <v>618</v>
      </c>
      <c r="B621" s="218" t="s">
        <v>195</v>
      </c>
      <c r="C621" s="98">
        <v>39052</v>
      </c>
      <c r="D621" s="106" t="s">
        <v>174</v>
      </c>
      <c r="E621" s="106" t="s">
        <v>83</v>
      </c>
      <c r="F621" s="221">
        <v>7</v>
      </c>
      <c r="G621" s="169">
        <v>1</v>
      </c>
    </row>
    <row r="622" spans="1:7" ht="15">
      <c r="A622" s="384">
        <v>619</v>
      </c>
      <c r="B622" s="302" t="s">
        <v>48</v>
      </c>
      <c r="C622" s="98">
        <v>39059</v>
      </c>
      <c r="D622" s="152" t="s">
        <v>5</v>
      </c>
      <c r="E622" s="152" t="s">
        <v>49</v>
      </c>
      <c r="F622" s="221">
        <v>8402</v>
      </c>
      <c r="G622" s="169">
        <v>1001</v>
      </c>
    </row>
    <row r="623" spans="1:7" ht="15">
      <c r="A623" s="384">
        <v>620</v>
      </c>
      <c r="B623" s="219" t="s">
        <v>48</v>
      </c>
      <c r="C623" s="98">
        <v>39059</v>
      </c>
      <c r="D623" s="110" t="s">
        <v>5</v>
      </c>
      <c r="E623" s="109" t="s">
        <v>49</v>
      </c>
      <c r="F623" s="221">
        <v>2970</v>
      </c>
      <c r="G623" s="169">
        <v>759</v>
      </c>
    </row>
    <row r="624" spans="1:7" ht="15">
      <c r="A624" s="384">
        <v>621</v>
      </c>
      <c r="B624" s="302" t="s">
        <v>48</v>
      </c>
      <c r="C624" s="98">
        <v>39059</v>
      </c>
      <c r="D624" s="152" t="s">
        <v>5</v>
      </c>
      <c r="E624" s="152" t="s">
        <v>49</v>
      </c>
      <c r="F624" s="221">
        <v>2390</v>
      </c>
      <c r="G624" s="169">
        <v>600</v>
      </c>
    </row>
    <row r="625" spans="1:7" ht="15">
      <c r="A625" s="384">
        <v>622</v>
      </c>
      <c r="B625" s="302" t="s">
        <v>48</v>
      </c>
      <c r="C625" s="98">
        <v>39059</v>
      </c>
      <c r="D625" s="152" t="s">
        <v>5</v>
      </c>
      <c r="E625" s="152" t="s">
        <v>49</v>
      </c>
      <c r="F625" s="221">
        <v>1544</v>
      </c>
      <c r="G625" s="169">
        <v>386</v>
      </c>
    </row>
    <row r="626" spans="1:7" ht="15">
      <c r="A626" s="384">
        <v>623</v>
      </c>
      <c r="B626" s="125" t="s">
        <v>48</v>
      </c>
      <c r="C626" s="98">
        <v>39059</v>
      </c>
      <c r="D626" s="110" t="s">
        <v>5</v>
      </c>
      <c r="E626" s="109" t="s">
        <v>49</v>
      </c>
      <c r="F626" s="221">
        <v>1068</v>
      </c>
      <c r="G626" s="169">
        <v>267</v>
      </c>
    </row>
    <row r="627" spans="1:7" ht="15">
      <c r="A627" s="384">
        <v>624</v>
      </c>
      <c r="B627" s="219" t="s">
        <v>48</v>
      </c>
      <c r="C627" s="98">
        <v>39059</v>
      </c>
      <c r="D627" s="110" t="s">
        <v>5</v>
      </c>
      <c r="E627" s="109" t="s">
        <v>49</v>
      </c>
      <c r="F627" s="221">
        <v>952</v>
      </c>
      <c r="G627" s="169">
        <v>238</v>
      </c>
    </row>
    <row r="628" spans="1:7" ht="15">
      <c r="A628" s="384">
        <v>625</v>
      </c>
      <c r="B628" s="219" t="s">
        <v>48</v>
      </c>
      <c r="C628" s="98">
        <v>39059</v>
      </c>
      <c r="D628" s="110" t="s">
        <v>5</v>
      </c>
      <c r="E628" s="109" t="s">
        <v>49</v>
      </c>
      <c r="F628" s="221">
        <v>468</v>
      </c>
      <c r="G628" s="169">
        <v>75</v>
      </c>
    </row>
    <row r="629" spans="1:7" ht="15">
      <c r="A629" s="384">
        <v>626</v>
      </c>
      <c r="B629" s="156" t="s">
        <v>48</v>
      </c>
      <c r="C629" s="98">
        <v>39059</v>
      </c>
      <c r="D629" s="152" t="s">
        <v>5</v>
      </c>
      <c r="E629" s="152" t="s">
        <v>49</v>
      </c>
      <c r="F629" s="221">
        <v>453</v>
      </c>
      <c r="G629" s="169">
        <v>91</v>
      </c>
    </row>
    <row r="630" spans="1:7" ht="15">
      <c r="A630" s="384">
        <v>627</v>
      </c>
      <c r="B630" s="302" t="s">
        <v>48</v>
      </c>
      <c r="C630" s="98">
        <v>39059</v>
      </c>
      <c r="D630" s="152" t="s">
        <v>5</v>
      </c>
      <c r="E630" s="152" t="s">
        <v>49</v>
      </c>
      <c r="F630" s="221">
        <v>414</v>
      </c>
      <c r="G630" s="169">
        <v>71</v>
      </c>
    </row>
    <row r="631" spans="1:7" ht="15">
      <c r="A631" s="384">
        <v>628</v>
      </c>
      <c r="B631" s="219" t="s">
        <v>48</v>
      </c>
      <c r="C631" s="98">
        <v>39059</v>
      </c>
      <c r="D631" s="110" t="s">
        <v>5</v>
      </c>
      <c r="E631" s="109" t="s">
        <v>49</v>
      </c>
      <c r="F631" s="221">
        <v>340</v>
      </c>
      <c r="G631" s="169">
        <v>68</v>
      </c>
    </row>
    <row r="632" spans="1:7" ht="15">
      <c r="A632" s="384">
        <v>629</v>
      </c>
      <c r="B632" s="219" t="s">
        <v>48</v>
      </c>
      <c r="C632" s="98">
        <v>39059</v>
      </c>
      <c r="D632" s="110" t="s">
        <v>5</v>
      </c>
      <c r="E632" s="109" t="s">
        <v>49</v>
      </c>
      <c r="F632" s="221">
        <v>219</v>
      </c>
      <c r="G632" s="169">
        <v>36</v>
      </c>
    </row>
    <row r="633" spans="1:7" ht="15">
      <c r="A633" s="384">
        <v>630</v>
      </c>
      <c r="B633" s="219" t="s">
        <v>48</v>
      </c>
      <c r="C633" s="98">
        <v>39059</v>
      </c>
      <c r="D633" s="110" t="s">
        <v>5</v>
      </c>
      <c r="E633" s="109" t="s">
        <v>49</v>
      </c>
      <c r="F633" s="221">
        <v>143</v>
      </c>
      <c r="G633" s="169">
        <v>24</v>
      </c>
    </row>
    <row r="634" spans="1:7" ht="15">
      <c r="A634" s="384">
        <v>631</v>
      </c>
      <c r="B634" s="219" t="s">
        <v>48</v>
      </c>
      <c r="C634" s="98">
        <v>39059</v>
      </c>
      <c r="D634" s="110" t="s">
        <v>5</v>
      </c>
      <c r="E634" s="109" t="s">
        <v>49</v>
      </c>
      <c r="F634" s="221">
        <v>127</v>
      </c>
      <c r="G634" s="169">
        <v>22</v>
      </c>
    </row>
    <row r="635" spans="1:7" ht="15">
      <c r="A635" s="384">
        <v>632</v>
      </c>
      <c r="B635" s="219" t="s">
        <v>48</v>
      </c>
      <c r="C635" s="98">
        <v>39059</v>
      </c>
      <c r="D635" s="246" t="s">
        <v>5</v>
      </c>
      <c r="E635" s="247" t="s">
        <v>49</v>
      </c>
      <c r="F635" s="225">
        <v>117</v>
      </c>
      <c r="G635" s="134">
        <v>49</v>
      </c>
    </row>
    <row r="636" spans="1:7" ht="15">
      <c r="A636" s="384">
        <v>633</v>
      </c>
      <c r="B636" s="125" t="s">
        <v>48</v>
      </c>
      <c r="C636" s="98">
        <v>39059</v>
      </c>
      <c r="D636" s="110" t="s">
        <v>5</v>
      </c>
      <c r="E636" s="109" t="s">
        <v>49</v>
      </c>
      <c r="F636" s="225">
        <v>115</v>
      </c>
      <c r="G636" s="134">
        <v>14</v>
      </c>
    </row>
    <row r="637" spans="1:7" ht="15">
      <c r="A637" s="384">
        <v>634</v>
      </c>
      <c r="B637" s="125" t="s">
        <v>48</v>
      </c>
      <c r="C637" s="98">
        <v>39059</v>
      </c>
      <c r="D637" s="246" t="s">
        <v>5</v>
      </c>
      <c r="E637" s="247" t="s">
        <v>49</v>
      </c>
      <c r="F637" s="221">
        <v>62</v>
      </c>
      <c r="G637" s="169">
        <v>10</v>
      </c>
    </row>
    <row r="638" spans="1:7" ht="15">
      <c r="A638" s="384">
        <v>635</v>
      </c>
      <c r="B638" s="219" t="s">
        <v>48</v>
      </c>
      <c r="C638" s="98">
        <v>39059</v>
      </c>
      <c r="D638" s="110" t="s">
        <v>5</v>
      </c>
      <c r="E638" s="109" t="s">
        <v>49</v>
      </c>
      <c r="F638" s="225">
        <v>60</v>
      </c>
      <c r="G638" s="169">
        <v>24</v>
      </c>
    </row>
    <row r="639" spans="1:7" ht="15">
      <c r="A639" s="384">
        <v>636</v>
      </c>
      <c r="B639" s="125" t="s">
        <v>200</v>
      </c>
      <c r="C639" s="98">
        <v>38891</v>
      </c>
      <c r="D639" s="110" t="s">
        <v>5</v>
      </c>
      <c r="E639" s="109" t="s">
        <v>82</v>
      </c>
      <c r="F639" s="225">
        <v>2030.2</v>
      </c>
      <c r="G639" s="134">
        <v>506</v>
      </c>
    </row>
    <row r="640" spans="1:7" ht="15">
      <c r="A640" s="384">
        <v>637</v>
      </c>
      <c r="B640" s="156" t="s">
        <v>200</v>
      </c>
      <c r="C640" s="98">
        <v>38891</v>
      </c>
      <c r="D640" s="152" t="s">
        <v>5</v>
      </c>
      <c r="E640" s="152" t="s">
        <v>82</v>
      </c>
      <c r="F640" s="221">
        <v>1554.4</v>
      </c>
      <c r="G640" s="169">
        <v>456</v>
      </c>
    </row>
    <row r="641" spans="1:7" ht="15">
      <c r="A641" s="384">
        <v>638</v>
      </c>
      <c r="B641" s="125" t="s">
        <v>200</v>
      </c>
      <c r="C641" s="98">
        <v>38891</v>
      </c>
      <c r="D641" s="110" t="s">
        <v>5</v>
      </c>
      <c r="E641" s="109" t="s">
        <v>82</v>
      </c>
      <c r="F641" s="221">
        <v>699</v>
      </c>
      <c r="G641" s="169">
        <v>199</v>
      </c>
    </row>
    <row r="642" spans="1:7" ht="15">
      <c r="A642" s="384">
        <v>639</v>
      </c>
      <c r="B642" s="125" t="s">
        <v>200</v>
      </c>
      <c r="C642" s="98">
        <v>38891</v>
      </c>
      <c r="D642" s="246" t="s">
        <v>5</v>
      </c>
      <c r="E642" s="247" t="s">
        <v>82</v>
      </c>
      <c r="F642" s="221">
        <v>195</v>
      </c>
      <c r="G642" s="169">
        <v>65</v>
      </c>
    </row>
    <row r="643" spans="1:7" ht="15">
      <c r="A643" s="384">
        <v>640</v>
      </c>
      <c r="B643" s="122" t="s">
        <v>86</v>
      </c>
      <c r="C643" s="97">
        <v>39052</v>
      </c>
      <c r="D643" s="105" t="s">
        <v>172</v>
      </c>
      <c r="E643" s="104" t="s">
        <v>187</v>
      </c>
      <c r="F643" s="226">
        <v>18054</v>
      </c>
      <c r="G643" s="131">
        <v>2827</v>
      </c>
    </row>
    <row r="644" spans="1:7" ht="15">
      <c r="A644" s="384">
        <v>641</v>
      </c>
      <c r="B644" s="122" t="s">
        <v>86</v>
      </c>
      <c r="C644" s="97">
        <v>39052</v>
      </c>
      <c r="D644" s="153" t="s">
        <v>172</v>
      </c>
      <c r="E644" s="153" t="s">
        <v>187</v>
      </c>
      <c r="F644" s="222">
        <v>7487</v>
      </c>
      <c r="G644" s="168">
        <v>1405</v>
      </c>
    </row>
    <row r="645" spans="1:7" ht="15">
      <c r="A645" s="384">
        <v>642</v>
      </c>
      <c r="B645" s="122" t="s">
        <v>86</v>
      </c>
      <c r="C645" s="97">
        <v>39052</v>
      </c>
      <c r="D645" s="105" t="s">
        <v>172</v>
      </c>
      <c r="E645" s="104" t="s">
        <v>187</v>
      </c>
      <c r="F645" s="222">
        <v>5131</v>
      </c>
      <c r="G645" s="168">
        <v>1115</v>
      </c>
    </row>
    <row r="646" spans="1:7" ht="15">
      <c r="A646" s="384">
        <v>643</v>
      </c>
      <c r="B646" s="122" t="s">
        <v>86</v>
      </c>
      <c r="C646" s="97">
        <v>39052</v>
      </c>
      <c r="D646" s="242" t="s">
        <v>172</v>
      </c>
      <c r="E646" s="243" t="s">
        <v>187</v>
      </c>
      <c r="F646" s="226">
        <v>1536</v>
      </c>
      <c r="G646" s="131">
        <v>296</v>
      </c>
    </row>
    <row r="647" spans="1:7" ht="15">
      <c r="A647" s="384">
        <v>644</v>
      </c>
      <c r="B647" s="122" t="s">
        <v>86</v>
      </c>
      <c r="C647" s="97">
        <v>39052</v>
      </c>
      <c r="D647" s="286" t="s">
        <v>172</v>
      </c>
      <c r="E647" s="286" t="s">
        <v>187</v>
      </c>
      <c r="F647" s="222">
        <v>1196.5</v>
      </c>
      <c r="G647" s="168">
        <v>209</v>
      </c>
    </row>
    <row r="648" spans="1:7" ht="15">
      <c r="A648" s="384">
        <v>645</v>
      </c>
      <c r="B648" s="122" t="s">
        <v>86</v>
      </c>
      <c r="C648" s="97">
        <v>39052</v>
      </c>
      <c r="D648" s="242" t="s">
        <v>172</v>
      </c>
      <c r="E648" s="243" t="s">
        <v>187</v>
      </c>
      <c r="F648" s="222">
        <v>723</v>
      </c>
      <c r="G648" s="168">
        <v>149</v>
      </c>
    </row>
    <row r="649" spans="1:7" ht="15">
      <c r="A649" s="384">
        <v>646</v>
      </c>
      <c r="B649" s="122" t="s">
        <v>86</v>
      </c>
      <c r="C649" s="97">
        <v>39052</v>
      </c>
      <c r="D649" s="105" t="s">
        <v>172</v>
      </c>
      <c r="E649" s="104" t="s">
        <v>187</v>
      </c>
      <c r="F649" s="222">
        <v>530</v>
      </c>
      <c r="G649" s="168">
        <v>106</v>
      </c>
    </row>
    <row r="650" spans="1:7" ht="15">
      <c r="A650" s="384">
        <v>647</v>
      </c>
      <c r="B650" s="298" t="s">
        <v>86</v>
      </c>
      <c r="C650" s="291">
        <v>39052</v>
      </c>
      <c r="D650" s="290" t="s">
        <v>172</v>
      </c>
      <c r="E650" s="290" t="s">
        <v>187</v>
      </c>
      <c r="F650" s="222">
        <v>335</v>
      </c>
      <c r="G650" s="168">
        <v>65</v>
      </c>
    </row>
    <row r="651" spans="1:7" ht="15">
      <c r="A651" s="384">
        <v>648</v>
      </c>
      <c r="B651" s="125" t="s">
        <v>367</v>
      </c>
      <c r="C651" s="98">
        <v>38898</v>
      </c>
      <c r="D651" s="246" t="s">
        <v>5</v>
      </c>
      <c r="E651" s="247" t="s">
        <v>276</v>
      </c>
      <c r="F651" s="221">
        <v>1248</v>
      </c>
      <c r="G651" s="169">
        <v>416</v>
      </c>
    </row>
    <row r="652" spans="1:7" ht="15">
      <c r="A652" s="384">
        <v>649</v>
      </c>
      <c r="B652" s="124" t="s">
        <v>125</v>
      </c>
      <c r="C652" s="98">
        <v>37862</v>
      </c>
      <c r="D652" s="107" t="s">
        <v>162</v>
      </c>
      <c r="E652" s="107" t="s">
        <v>126</v>
      </c>
      <c r="F652" s="222">
        <v>354</v>
      </c>
      <c r="G652" s="168">
        <v>118</v>
      </c>
    </row>
    <row r="653" spans="1:7" ht="15">
      <c r="A653" s="384">
        <v>650</v>
      </c>
      <c r="B653" s="219" t="s">
        <v>536</v>
      </c>
      <c r="C653" s="98">
        <v>38926</v>
      </c>
      <c r="D653" s="110" t="s">
        <v>5</v>
      </c>
      <c r="E653" s="109" t="s">
        <v>337</v>
      </c>
      <c r="F653" s="221">
        <v>952</v>
      </c>
      <c r="G653" s="169">
        <v>238</v>
      </c>
    </row>
    <row r="654" spans="1:7" ht="15">
      <c r="A654" s="384">
        <v>651</v>
      </c>
      <c r="B654" s="301" t="s">
        <v>41</v>
      </c>
      <c r="C654" s="97">
        <v>39010</v>
      </c>
      <c r="D654" s="153" t="s">
        <v>184</v>
      </c>
      <c r="E654" s="153" t="s">
        <v>22</v>
      </c>
      <c r="F654" s="231">
        <v>2781</v>
      </c>
      <c r="G654" s="172">
        <v>473</v>
      </c>
    </row>
    <row r="655" spans="1:7" ht="15">
      <c r="A655" s="384">
        <v>652</v>
      </c>
      <c r="B655" s="155" t="s">
        <v>41</v>
      </c>
      <c r="C655" s="97">
        <v>39010</v>
      </c>
      <c r="D655" s="153" t="s">
        <v>184</v>
      </c>
      <c r="E655" s="153" t="s">
        <v>22</v>
      </c>
      <c r="F655" s="231">
        <v>2615</v>
      </c>
      <c r="G655" s="172">
        <v>432</v>
      </c>
    </row>
    <row r="656" spans="1:7" ht="15">
      <c r="A656" s="384">
        <v>653</v>
      </c>
      <c r="B656" s="301" t="s">
        <v>41</v>
      </c>
      <c r="C656" s="97">
        <v>39010</v>
      </c>
      <c r="D656" s="153" t="s">
        <v>184</v>
      </c>
      <c r="E656" s="153" t="s">
        <v>261</v>
      </c>
      <c r="F656" s="231">
        <v>1841</v>
      </c>
      <c r="G656" s="172">
        <v>263</v>
      </c>
    </row>
    <row r="657" spans="1:7" ht="15">
      <c r="A657" s="384">
        <v>654</v>
      </c>
      <c r="B657" s="301" t="s">
        <v>41</v>
      </c>
      <c r="C657" s="97">
        <v>39010</v>
      </c>
      <c r="D657" s="153" t="s">
        <v>184</v>
      </c>
      <c r="E657" s="153" t="s">
        <v>22</v>
      </c>
      <c r="F657" s="500">
        <v>1403</v>
      </c>
      <c r="G657" s="513">
        <v>216</v>
      </c>
    </row>
    <row r="658" spans="1:7" ht="15">
      <c r="A658" s="384">
        <v>655</v>
      </c>
      <c r="B658" s="122" t="s">
        <v>41</v>
      </c>
      <c r="C658" s="97">
        <v>39010</v>
      </c>
      <c r="D658" s="104" t="s">
        <v>184</v>
      </c>
      <c r="E658" s="104" t="s">
        <v>22</v>
      </c>
      <c r="F658" s="232">
        <v>1100</v>
      </c>
      <c r="G658" s="136">
        <v>143</v>
      </c>
    </row>
    <row r="659" spans="1:7" ht="15">
      <c r="A659" s="384">
        <v>656</v>
      </c>
      <c r="B659" s="301" t="s">
        <v>41</v>
      </c>
      <c r="C659" s="97">
        <v>39010</v>
      </c>
      <c r="D659" s="153" t="s">
        <v>184</v>
      </c>
      <c r="E659" s="153" t="s">
        <v>22</v>
      </c>
      <c r="F659" s="221">
        <v>945</v>
      </c>
      <c r="G659" s="169">
        <v>188</v>
      </c>
    </row>
    <row r="660" spans="1:7" ht="15">
      <c r="A660" s="384">
        <v>657</v>
      </c>
      <c r="B660" s="301" t="s">
        <v>41</v>
      </c>
      <c r="C660" s="97">
        <v>39010</v>
      </c>
      <c r="D660" s="153" t="s">
        <v>184</v>
      </c>
      <c r="E660" s="153" t="s">
        <v>22</v>
      </c>
      <c r="F660" s="231">
        <v>405</v>
      </c>
      <c r="G660" s="172">
        <v>81</v>
      </c>
    </row>
    <row r="661" spans="1:7" ht="15">
      <c r="A661" s="384">
        <v>658</v>
      </c>
      <c r="B661" s="220" t="s">
        <v>336</v>
      </c>
      <c r="C661" s="97">
        <v>39038</v>
      </c>
      <c r="D661" s="107" t="s">
        <v>27</v>
      </c>
      <c r="E661" s="107" t="s">
        <v>88</v>
      </c>
      <c r="F661" s="222">
        <v>1188</v>
      </c>
      <c r="G661" s="168">
        <v>396</v>
      </c>
    </row>
    <row r="662" spans="1:7" ht="15">
      <c r="A662" s="384">
        <v>659</v>
      </c>
      <c r="B662" s="220" t="s">
        <v>336</v>
      </c>
      <c r="C662" s="97">
        <v>39038</v>
      </c>
      <c r="D662" s="107" t="s">
        <v>27</v>
      </c>
      <c r="E662" s="107" t="s">
        <v>88</v>
      </c>
      <c r="F662" s="226">
        <v>1188</v>
      </c>
      <c r="G662" s="168">
        <v>396</v>
      </c>
    </row>
    <row r="663" spans="1:7" ht="15">
      <c r="A663" s="384">
        <v>660</v>
      </c>
      <c r="B663" s="120" t="s">
        <v>336</v>
      </c>
      <c r="C663" s="97">
        <v>39038</v>
      </c>
      <c r="D663" s="107" t="s">
        <v>27</v>
      </c>
      <c r="E663" s="107" t="s">
        <v>88</v>
      </c>
      <c r="F663" s="222">
        <v>885</v>
      </c>
      <c r="G663" s="168">
        <v>171</v>
      </c>
    </row>
    <row r="664" spans="1:7" ht="15">
      <c r="A664" s="384">
        <v>661</v>
      </c>
      <c r="B664" s="219" t="s">
        <v>117</v>
      </c>
      <c r="C664" s="98">
        <v>38639</v>
      </c>
      <c r="D664" s="110" t="s">
        <v>5</v>
      </c>
      <c r="E664" s="109" t="s">
        <v>118</v>
      </c>
      <c r="F664" s="221">
        <v>3560</v>
      </c>
      <c r="G664" s="169">
        <v>890</v>
      </c>
    </row>
    <row r="665" spans="1:7" ht="15">
      <c r="A665" s="384">
        <v>662</v>
      </c>
      <c r="B665" s="219" t="s">
        <v>117</v>
      </c>
      <c r="C665" s="98">
        <v>38639</v>
      </c>
      <c r="D665" s="110" t="s">
        <v>5</v>
      </c>
      <c r="E665" s="109" t="s">
        <v>118</v>
      </c>
      <c r="F665" s="221">
        <v>1780</v>
      </c>
      <c r="G665" s="169">
        <v>445</v>
      </c>
    </row>
    <row r="666" spans="1:7" ht="15">
      <c r="A666" s="384">
        <v>663</v>
      </c>
      <c r="B666" s="123" t="s">
        <v>85</v>
      </c>
      <c r="C666" s="126">
        <v>39059</v>
      </c>
      <c r="D666" s="121" t="s">
        <v>174</v>
      </c>
      <c r="E666" s="121" t="s">
        <v>20</v>
      </c>
      <c r="F666" s="227">
        <v>291.5</v>
      </c>
      <c r="G666" s="132">
        <v>19</v>
      </c>
    </row>
    <row r="667" spans="1:7" ht="15">
      <c r="A667" s="384">
        <v>664</v>
      </c>
      <c r="B667" s="218" t="s">
        <v>16</v>
      </c>
      <c r="C667" s="100">
        <v>38982</v>
      </c>
      <c r="D667" s="106" t="s">
        <v>180</v>
      </c>
      <c r="E667" s="107" t="s">
        <v>432</v>
      </c>
      <c r="F667" s="229">
        <v>2355</v>
      </c>
      <c r="G667" s="171">
        <v>418</v>
      </c>
    </row>
    <row r="668" spans="1:7" ht="15">
      <c r="A668" s="384">
        <v>665</v>
      </c>
      <c r="B668" s="309" t="s">
        <v>16</v>
      </c>
      <c r="C668" s="100">
        <v>39024</v>
      </c>
      <c r="D668" s="154" t="s">
        <v>180</v>
      </c>
      <c r="E668" s="154" t="s">
        <v>178</v>
      </c>
      <c r="F668" s="229">
        <v>1921</v>
      </c>
      <c r="G668" s="171">
        <v>417</v>
      </c>
    </row>
    <row r="669" spans="1:7" ht="15">
      <c r="A669" s="384">
        <v>666</v>
      </c>
      <c r="B669" s="102" t="s">
        <v>16</v>
      </c>
      <c r="C669" s="100">
        <v>39024</v>
      </c>
      <c r="D669" s="108" t="s">
        <v>180</v>
      </c>
      <c r="E669" s="108" t="s">
        <v>178</v>
      </c>
      <c r="F669" s="230">
        <v>1186</v>
      </c>
      <c r="G669" s="135">
        <v>237</v>
      </c>
    </row>
    <row r="670" spans="1:7" ht="15">
      <c r="A670" s="384">
        <v>667</v>
      </c>
      <c r="B670" s="102" t="s">
        <v>16</v>
      </c>
      <c r="C670" s="100">
        <v>39024</v>
      </c>
      <c r="D670" s="249" t="s">
        <v>180</v>
      </c>
      <c r="E670" s="249" t="s">
        <v>178</v>
      </c>
      <c r="F670" s="230">
        <v>958</v>
      </c>
      <c r="G670" s="135">
        <v>124</v>
      </c>
    </row>
    <row r="671" spans="1:7" ht="15">
      <c r="A671" s="384">
        <v>668</v>
      </c>
      <c r="B671" s="309" t="s">
        <v>16</v>
      </c>
      <c r="C671" s="100">
        <v>39024</v>
      </c>
      <c r="D671" s="154" t="s">
        <v>180</v>
      </c>
      <c r="E671" s="154" t="s">
        <v>178</v>
      </c>
      <c r="F671" s="222">
        <v>954</v>
      </c>
      <c r="G671" s="168">
        <v>159</v>
      </c>
    </row>
    <row r="672" spans="1:7" ht="15">
      <c r="A672" s="384">
        <v>669</v>
      </c>
      <c r="B672" s="309" t="s">
        <v>16</v>
      </c>
      <c r="C672" s="100">
        <v>39024</v>
      </c>
      <c r="D672" s="154" t="s">
        <v>180</v>
      </c>
      <c r="E672" s="154" t="s">
        <v>178</v>
      </c>
      <c r="F672" s="229">
        <v>317</v>
      </c>
      <c r="G672" s="171">
        <v>70</v>
      </c>
    </row>
    <row r="673" spans="1:7" ht="15">
      <c r="A673" s="384">
        <v>670</v>
      </c>
      <c r="B673" s="302" t="s">
        <v>40</v>
      </c>
      <c r="C673" s="98">
        <v>39010</v>
      </c>
      <c r="D673" s="152" t="s">
        <v>5</v>
      </c>
      <c r="E673" s="152" t="s">
        <v>201</v>
      </c>
      <c r="F673" s="221">
        <v>4558</v>
      </c>
      <c r="G673" s="169">
        <v>1133</v>
      </c>
    </row>
    <row r="674" spans="1:7" ht="15">
      <c r="A674" s="384">
        <v>671</v>
      </c>
      <c r="B674" s="219" t="s">
        <v>40</v>
      </c>
      <c r="C674" s="98">
        <v>39010</v>
      </c>
      <c r="D674" s="110" t="s">
        <v>5</v>
      </c>
      <c r="E674" s="109" t="s">
        <v>201</v>
      </c>
      <c r="F674" s="221">
        <v>2852</v>
      </c>
      <c r="G674" s="169">
        <v>713</v>
      </c>
    </row>
    <row r="675" spans="1:7" ht="15">
      <c r="A675" s="384">
        <v>672</v>
      </c>
      <c r="B675" s="125" t="s">
        <v>40</v>
      </c>
      <c r="C675" s="98">
        <v>39010</v>
      </c>
      <c r="D675" s="110" t="s">
        <v>5</v>
      </c>
      <c r="E675" s="109" t="s">
        <v>201</v>
      </c>
      <c r="F675" s="221">
        <v>2339</v>
      </c>
      <c r="G675" s="169">
        <v>447</v>
      </c>
    </row>
    <row r="676" spans="1:7" ht="15">
      <c r="A676" s="384">
        <v>673</v>
      </c>
      <c r="B676" s="125" t="s">
        <v>40</v>
      </c>
      <c r="C676" s="98">
        <v>39010</v>
      </c>
      <c r="D676" s="246" t="s">
        <v>5</v>
      </c>
      <c r="E676" s="247" t="s">
        <v>201</v>
      </c>
      <c r="F676" s="225">
        <v>2083</v>
      </c>
      <c r="G676" s="134">
        <v>384</v>
      </c>
    </row>
    <row r="677" spans="1:7" ht="15">
      <c r="A677" s="384">
        <v>674</v>
      </c>
      <c r="B677" s="125" t="s">
        <v>40</v>
      </c>
      <c r="C677" s="98">
        <v>39010</v>
      </c>
      <c r="D677" s="110" t="s">
        <v>5</v>
      </c>
      <c r="E677" s="109" t="s">
        <v>201</v>
      </c>
      <c r="F677" s="225">
        <v>1894</v>
      </c>
      <c r="G677" s="134">
        <v>394</v>
      </c>
    </row>
    <row r="678" spans="1:7" ht="15">
      <c r="A678" s="384">
        <v>675</v>
      </c>
      <c r="B678" s="219" t="s">
        <v>40</v>
      </c>
      <c r="C678" s="98">
        <v>39010</v>
      </c>
      <c r="D678" s="110" t="s">
        <v>5</v>
      </c>
      <c r="E678" s="109" t="s">
        <v>201</v>
      </c>
      <c r="F678" s="225">
        <v>1780</v>
      </c>
      <c r="G678" s="169">
        <v>445</v>
      </c>
    </row>
    <row r="679" spans="1:7" ht="15">
      <c r="A679" s="384">
        <v>676</v>
      </c>
      <c r="B679" s="156" t="s">
        <v>40</v>
      </c>
      <c r="C679" s="98">
        <v>39010</v>
      </c>
      <c r="D679" s="152" t="s">
        <v>5</v>
      </c>
      <c r="E679" s="152" t="s">
        <v>201</v>
      </c>
      <c r="F679" s="221">
        <v>1723</v>
      </c>
      <c r="G679" s="169">
        <v>386</v>
      </c>
    </row>
    <row r="680" spans="1:7" ht="15">
      <c r="A680" s="384">
        <v>677</v>
      </c>
      <c r="B680" s="156" t="s">
        <v>40</v>
      </c>
      <c r="C680" s="98">
        <v>39010</v>
      </c>
      <c r="D680" s="152" t="s">
        <v>5</v>
      </c>
      <c r="E680" s="152" t="s">
        <v>201</v>
      </c>
      <c r="F680" s="221">
        <v>1545.5</v>
      </c>
      <c r="G680" s="169">
        <v>304</v>
      </c>
    </row>
    <row r="681" spans="1:7" ht="15">
      <c r="A681" s="384">
        <v>678</v>
      </c>
      <c r="B681" s="125" t="s">
        <v>40</v>
      </c>
      <c r="C681" s="98">
        <v>39010</v>
      </c>
      <c r="D681" s="110" t="s">
        <v>5</v>
      </c>
      <c r="E681" s="109" t="s">
        <v>201</v>
      </c>
      <c r="F681" s="221">
        <v>1526</v>
      </c>
      <c r="G681" s="169">
        <v>373</v>
      </c>
    </row>
    <row r="682" spans="1:7" ht="15">
      <c r="A682" s="384">
        <v>679</v>
      </c>
      <c r="B682" s="219" t="s">
        <v>40</v>
      </c>
      <c r="C682" s="98">
        <v>39010</v>
      </c>
      <c r="D682" s="110" t="s">
        <v>5</v>
      </c>
      <c r="E682" s="109" t="s">
        <v>201</v>
      </c>
      <c r="F682" s="221">
        <v>1188</v>
      </c>
      <c r="G682" s="169">
        <v>297</v>
      </c>
    </row>
    <row r="683" spans="1:7" ht="15">
      <c r="A683" s="384">
        <v>680</v>
      </c>
      <c r="B683" s="219" t="s">
        <v>40</v>
      </c>
      <c r="C683" s="98">
        <v>39010</v>
      </c>
      <c r="D683" s="110" t="s">
        <v>5</v>
      </c>
      <c r="E683" s="109" t="s">
        <v>201</v>
      </c>
      <c r="F683" s="225">
        <v>1188</v>
      </c>
      <c r="G683" s="134">
        <v>297</v>
      </c>
    </row>
    <row r="684" spans="1:7" ht="15">
      <c r="A684" s="384">
        <v>681</v>
      </c>
      <c r="B684" s="219" t="s">
        <v>40</v>
      </c>
      <c r="C684" s="98">
        <v>39010</v>
      </c>
      <c r="D684" s="110" t="s">
        <v>5</v>
      </c>
      <c r="E684" s="109" t="s">
        <v>201</v>
      </c>
      <c r="F684" s="221">
        <v>952</v>
      </c>
      <c r="G684" s="169">
        <v>238</v>
      </c>
    </row>
    <row r="685" spans="1:7" ht="15">
      <c r="A685" s="384">
        <v>682</v>
      </c>
      <c r="B685" s="125" t="s">
        <v>40</v>
      </c>
      <c r="C685" s="98">
        <v>39010</v>
      </c>
      <c r="D685" s="246" t="s">
        <v>5</v>
      </c>
      <c r="E685" s="247" t="s">
        <v>201</v>
      </c>
      <c r="F685" s="221">
        <v>948</v>
      </c>
      <c r="G685" s="169">
        <v>237</v>
      </c>
    </row>
    <row r="686" spans="1:7" ht="15">
      <c r="A686" s="384">
        <v>683</v>
      </c>
      <c r="B686" s="219" t="s">
        <v>40</v>
      </c>
      <c r="C686" s="98">
        <v>39010</v>
      </c>
      <c r="D686" s="110" t="s">
        <v>5</v>
      </c>
      <c r="E686" s="109" t="s">
        <v>201</v>
      </c>
      <c r="F686" s="225">
        <v>832</v>
      </c>
      <c r="G686" s="134">
        <v>208</v>
      </c>
    </row>
    <row r="687" spans="1:7" ht="15">
      <c r="A687" s="384">
        <v>684</v>
      </c>
      <c r="B687" s="219" t="s">
        <v>40</v>
      </c>
      <c r="C687" s="98">
        <v>39010</v>
      </c>
      <c r="D687" s="110" t="s">
        <v>5</v>
      </c>
      <c r="E687" s="109" t="s">
        <v>201</v>
      </c>
      <c r="F687" s="221">
        <v>592</v>
      </c>
      <c r="G687" s="169">
        <v>148</v>
      </c>
    </row>
    <row r="688" spans="1:7" ht="15">
      <c r="A688" s="384">
        <v>685</v>
      </c>
      <c r="B688" s="219" t="s">
        <v>40</v>
      </c>
      <c r="C688" s="98">
        <v>39010</v>
      </c>
      <c r="D688" s="246" t="s">
        <v>5</v>
      </c>
      <c r="E688" s="247" t="s">
        <v>201</v>
      </c>
      <c r="F688" s="225">
        <v>357.5</v>
      </c>
      <c r="G688" s="134">
        <v>84</v>
      </c>
    </row>
    <row r="689" spans="1:7" ht="15">
      <c r="A689" s="384">
        <v>686</v>
      </c>
      <c r="B689" s="219" t="s">
        <v>40</v>
      </c>
      <c r="C689" s="98">
        <v>39010</v>
      </c>
      <c r="D689" s="110" t="s">
        <v>5</v>
      </c>
      <c r="E689" s="109" t="s">
        <v>201</v>
      </c>
      <c r="F689" s="221">
        <v>351</v>
      </c>
      <c r="G689" s="169">
        <v>51</v>
      </c>
    </row>
    <row r="690" spans="1:7" ht="15">
      <c r="A690" s="384">
        <v>687</v>
      </c>
      <c r="B690" s="219" t="s">
        <v>40</v>
      </c>
      <c r="C690" s="98">
        <v>39010</v>
      </c>
      <c r="D690" s="287" t="s">
        <v>5</v>
      </c>
      <c r="E690" s="287" t="s">
        <v>201</v>
      </c>
      <c r="F690" s="221">
        <v>254</v>
      </c>
      <c r="G690" s="169">
        <v>37</v>
      </c>
    </row>
    <row r="691" spans="1:7" ht="15">
      <c r="A691" s="384">
        <v>688</v>
      </c>
      <c r="B691" s="219" t="s">
        <v>40</v>
      </c>
      <c r="C691" s="98">
        <v>39010</v>
      </c>
      <c r="D691" s="110" t="s">
        <v>5</v>
      </c>
      <c r="E691" s="109" t="s">
        <v>201</v>
      </c>
      <c r="F691" s="221">
        <v>175</v>
      </c>
      <c r="G691" s="169">
        <v>27</v>
      </c>
    </row>
    <row r="692" spans="1:7" ht="15">
      <c r="A692" s="384">
        <v>689</v>
      </c>
      <c r="B692" s="125" t="s">
        <v>40</v>
      </c>
      <c r="C692" s="98">
        <v>39010</v>
      </c>
      <c r="D692" s="246" t="s">
        <v>5</v>
      </c>
      <c r="E692" s="247" t="s">
        <v>201</v>
      </c>
      <c r="F692" s="221">
        <v>159</v>
      </c>
      <c r="G692" s="169">
        <v>37</v>
      </c>
    </row>
    <row r="693" spans="1:7" ht="15">
      <c r="A693" s="384">
        <v>690</v>
      </c>
      <c r="B693" s="122" t="s">
        <v>335</v>
      </c>
      <c r="C693" s="97">
        <v>38814</v>
      </c>
      <c r="D693" s="104" t="s">
        <v>164</v>
      </c>
      <c r="E693" s="104" t="s">
        <v>186</v>
      </c>
      <c r="F693" s="223">
        <v>960</v>
      </c>
      <c r="G693" s="170">
        <v>192</v>
      </c>
    </row>
    <row r="694" spans="1:7" ht="15.75" thickBot="1">
      <c r="A694" s="384">
        <v>691</v>
      </c>
      <c r="B694" s="173" t="s">
        <v>298</v>
      </c>
      <c r="C694" s="174">
        <v>38996</v>
      </c>
      <c r="D694" s="175" t="s">
        <v>173</v>
      </c>
      <c r="E694" s="176" t="s">
        <v>179</v>
      </c>
      <c r="F694" s="233">
        <v>795</v>
      </c>
      <c r="G694" s="177">
        <v>159</v>
      </c>
    </row>
    <row r="695" spans="1:9" ht="15">
      <c r="A695" s="565" t="s">
        <v>166</v>
      </c>
      <c r="B695" s="566"/>
      <c r="C695" s="160"/>
      <c r="D695" s="160"/>
      <c r="E695" s="160"/>
      <c r="F695" s="234">
        <f>SUM(F4:F694)</f>
        <v>10612098.399999997</v>
      </c>
      <c r="G695" s="163">
        <f>SUM(G4:G694)</f>
        <v>1592898</v>
      </c>
      <c r="H695" s="338"/>
      <c r="I695" s="337"/>
    </row>
    <row r="696" spans="1:7" ht="12.75">
      <c r="A696" s="76"/>
      <c r="B696" s="69"/>
      <c r="C696" s="70"/>
      <c r="D696" s="70"/>
      <c r="E696" s="70"/>
      <c r="F696" s="235"/>
      <c r="G696" s="146"/>
    </row>
    <row r="697" spans="1:7" ht="12.75">
      <c r="A697" s="77"/>
      <c r="B697" s="73"/>
      <c r="C697" s="38"/>
      <c r="D697" s="38"/>
      <c r="E697" s="38"/>
      <c r="F697" s="236"/>
      <c r="G697" s="147"/>
    </row>
    <row r="698" spans="1:7" ht="12.75">
      <c r="A698" s="77"/>
      <c r="B698" s="73"/>
      <c r="C698" s="516" t="s">
        <v>13</v>
      </c>
      <c r="D698" s="557"/>
      <c r="E698" s="557"/>
      <c r="F698" s="557"/>
      <c r="G698" s="557"/>
    </row>
    <row r="699" spans="1:7" ht="12.75">
      <c r="A699" s="77"/>
      <c r="B699" s="73"/>
      <c r="C699" s="557"/>
      <c r="D699" s="557"/>
      <c r="E699" s="557"/>
      <c r="F699" s="557"/>
      <c r="G699" s="557"/>
    </row>
    <row r="700" spans="1:7" ht="12.75">
      <c r="A700" s="77"/>
      <c r="B700" s="73"/>
      <c r="C700" s="557"/>
      <c r="D700" s="557"/>
      <c r="E700" s="557"/>
      <c r="F700" s="557"/>
      <c r="G700" s="557"/>
    </row>
    <row r="701" spans="1:7" ht="12.75">
      <c r="A701" s="77"/>
      <c r="B701" s="73"/>
      <c r="C701" s="557"/>
      <c r="D701" s="557"/>
      <c r="E701" s="557"/>
      <c r="F701" s="557"/>
      <c r="G701" s="557"/>
    </row>
    <row r="702" spans="1:7" ht="12.75">
      <c r="A702" s="77"/>
      <c r="B702" s="73"/>
      <c r="C702" s="557"/>
      <c r="D702" s="557"/>
      <c r="E702" s="557"/>
      <c r="F702" s="557"/>
      <c r="G702" s="557"/>
    </row>
    <row r="703" spans="1:7" ht="12.75">
      <c r="A703" s="77"/>
      <c r="B703" s="73"/>
      <c r="C703" s="557"/>
      <c r="D703" s="557"/>
      <c r="E703" s="557"/>
      <c r="F703" s="557"/>
      <c r="G703" s="557"/>
    </row>
    <row r="704" spans="1:7" ht="12.75">
      <c r="A704" s="77"/>
      <c r="B704" s="73"/>
      <c r="C704" s="88"/>
      <c r="D704" s="75"/>
      <c r="E704" s="75"/>
      <c r="F704" s="237"/>
      <c r="G704" s="148"/>
    </row>
    <row r="705" spans="1:7" ht="12.75">
      <c r="A705" s="77"/>
      <c r="B705" s="73"/>
      <c r="C705" s="558" t="s">
        <v>1</v>
      </c>
      <c r="D705" s="557"/>
      <c r="E705" s="557"/>
      <c r="F705" s="557"/>
      <c r="G705" s="557"/>
    </row>
    <row r="706" spans="1:7" ht="12.75">
      <c r="A706" s="77"/>
      <c r="B706" s="73"/>
      <c r="C706" s="557"/>
      <c r="D706" s="557"/>
      <c r="E706" s="557"/>
      <c r="F706" s="557"/>
      <c r="G706" s="557"/>
    </row>
    <row r="707" spans="1:7" ht="12.75">
      <c r="A707" s="77"/>
      <c r="B707" s="73"/>
      <c r="C707" s="557"/>
      <c r="D707" s="557"/>
      <c r="E707" s="557"/>
      <c r="F707" s="557"/>
      <c r="G707" s="557"/>
    </row>
    <row r="708" spans="1:7" ht="12.75">
      <c r="A708" s="77"/>
      <c r="B708" s="73"/>
      <c r="C708" s="557"/>
      <c r="D708" s="557"/>
      <c r="E708" s="557"/>
      <c r="F708" s="557"/>
      <c r="G708" s="557"/>
    </row>
    <row r="709" spans="1:7" ht="12.75">
      <c r="A709" s="77"/>
      <c r="B709" s="73"/>
      <c r="C709" s="557"/>
      <c r="D709" s="557"/>
      <c r="E709" s="557"/>
      <c r="F709" s="557"/>
      <c r="G709" s="557"/>
    </row>
    <row r="710" spans="1:7" ht="12.75">
      <c r="A710" s="77"/>
      <c r="B710" s="73"/>
      <c r="C710" s="557"/>
      <c r="D710" s="557"/>
      <c r="E710" s="557"/>
      <c r="F710" s="557"/>
      <c r="G710" s="557"/>
    </row>
    <row r="711" spans="1:7" ht="12.75">
      <c r="A711" s="77"/>
      <c r="B711" s="73"/>
      <c r="C711" s="559"/>
      <c r="D711" s="559"/>
      <c r="E711" s="559"/>
      <c r="F711" s="559"/>
      <c r="G711" s="559"/>
    </row>
    <row r="712" spans="1:7" ht="12.75">
      <c r="A712" s="77"/>
      <c r="B712" s="73"/>
      <c r="C712" s="38"/>
      <c r="D712" s="38"/>
      <c r="E712" s="38"/>
      <c r="F712" s="236"/>
      <c r="G712" s="147"/>
    </row>
    <row r="713" spans="1:7" ht="12.75">
      <c r="A713" s="77"/>
      <c r="B713" s="73"/>
      <c r="C713" s="38"/>
      <c r="D713" s="38"/>
      <c r="E713" s="38"/>
      <c r="F713" s="236"/>
      <c r="G713" s="147"/>
    </row>
  </sheetData>
  <sheetProtection/>
  <mergeCells count="9">
    <mergeCell ref="C698:G703"/>
    <mergeCell ref="C705:G711"/>
    <mergeCell ref="A1:G1"/>
    <mergeCell ref="B2:B3"/>
    <mergeCell ref="C2:C3"/>
    <mergeCell ref="D2:D3"/>
    <mergeCell ref="E2:E3"/>
    <mergeCell ref="F2:G2"/>
    <mergeCell ref="A695:B695"/>
  </mergeCells>
  <printOptions/>
  <pageMargins left="0.46" right="0.3" top="0.61" bottom="0.52" header="0.5" footer="0.5"/>
  <pageSetup horizontalDpi="300" verticalDpi="300" orientation="portrait" paperSize="9" scale="75"/>
</worksheet>
</file>

<file path=xl/worksheets/sheet4.xml><?xml version="1.0" encoding="utf-8"?>
<worksheet xmlns="http://schemas.openxmlformats.org/spreadsheetml/2006/main" xmlns:r="http://schemas.openxmlformats.org/officeDocument/2006/relationships">
  <dimension ref="A1:W78"/>
  <sheetViews>
    <sheetView zoomScale="90" zoomScaleNormal="90" zoomScalePageLayoutView="0" workbookViewId="0" topLeftCell="A22">
      <selection activeCell="A78" sqref="A78:E78"/>
    </sheetView>
  </sheetViews>
  <sheetFormatPr defaultColWidth="9.140625" defaultRowHeight="12.75"/>
  <cols>
    <col min="1" max="1" width="2.7109375" style="203" bestFit="1" customWidth="1"/>
    <col min="2" max="2" width="4.7109375" style="204" bestFit="1" customWidth="1"/>
    <col min="3" max="3" width="7.421875" style="205" bestFit="1" customWidth="1"/>
    <col min="4" max="4" width="2.7109375" style="203" bestFit="1" customWidth="1"/>
    <col min="5" max="5" width="1.8515625" style="203" bestFit="1" customWidth="1"/>
    <col min="6" max="6" width="4.7109375" style="208" bestFit="1" customWidth="1"/>
    <col min="7" max="7" width="11.28125" style="207" bestFit="1" customWidth="1"/>
    <col min="8" max="8" width="8.421875" style="208" bestFit="1" customWidth="1"/>
    <col min="9" max="9" width="6.421875" style="205" bestFit="1" customWidth="1"/>
    <col min="10" max="10" width="9.7109375" style="209" bestFit="1" customWidth="1"/>
    <col min="11" max="11" width="6.28125" style="210" bestFit="1" customWidth="1"/>
    <col min="12" max="12" width="6.00390625" style="211" bestFit="1" customWidth="1"/>
    <col min="13" max="13" width="1.8515625" style="206" bestFit="1" customWidth="1"/>
    <col min="14" max="14" width="9.7109375" style="207" bestFit="1" customWidth="1"/>
    <col min="15" max="15" width="6.28125" style="208" bestFit="1" customWidth="1"/>
    <col min="16" max="16" width="6.00390625" style="212" bestFit="1" customWidth="1"/>
    <col min="17" max="17" width="2.7109375" style="203" bestFit="1" customWidth="1"/>
    <col min="18" max="18" width="10.421875" style="209" bestFit="1" customWidth="1"/>
    <col min="19" max="19" width="8.421875" style="210" bestFit="1" customWidth="1"/>
    <col min="20" max="20" width="6.00390625" style="211" bestFit="1" customWidth="1"/>
    <col min="21" max="21" width="31.00390625" style="213" bestFit="1" customWidth="1"/>
    <col min="22" max="22" width="6.28125" style="208" bestFit="1" customWidth="1"/>
    <col min="23" max="23" width="6.00390625" style="212" bestFit="1" customWidth="1"/>
    <col min="24" max="16384" width="9.140625" style="193" customWidth="1"/>
  </cols>
  <sheetData>
    <row r="1" spans="1:23" ht="14.25" thickBot="1">
      <c r="A1" s="178">
        <v>1</v>
      </c>
      <c r="B1" s="179" t="s">
        <v>305</v>
      </c>
      <c r="C1" s="180" t="s">
        <v>304</v>
      </c>
      <c r="D1" s="181">
        <v>10</v>
      </c>
      <c r="E1" s="182">
        <v>2</v>
      </c>
      <c r="F1" s="183">
        <v>56</v>
      </c>
      <c r="G1" s="184">
        <v>8693868.8</v>
      </c>
      <c r="H1" s="185">
        <v>1116813</v>
      </c>
      <c r="I1" s="328" t="s">
        <v>172</v>
      </c>
      <c r="J1" s="187">
        <v>2582022</v>
      </c>
      <c r="K1" s="188">
        <v>326328</v>
      </c>
      <c r="L1" s="189">
        <f aca="true" t="shared" si="0" ref="L1:L34">SUM(K1/H1)</f>
        <v>0.29219573912552954</v>
      </c>
      <c r="M1" s="183">
        <v>4</v>
      </c>
      <c r="N1" s="184">
        <v>3067842</v>
      </c>
      <c r="O1" s="190">
        <v>355957</v>
      </c>
      <c r="P1" s="191">
        <f aca="true" t="shared" si="1" ref="P1:P34">SUM(O1/H1)</f>
        <v>0.3187256953491766</v>
      </c>
      <c r="Q1" s="178">
        <v>15</v>
      </c>
      <c r="R1" s="187">
        <v>4982432.6</v>
      </c>
      <c r="S1" s="188">
        <v>687078</v>
      </c>
      <c r="T1" s="189">
        <f aca="true" t="shared" si="2" ref="T1:T34">SUM(S1/H1)</f>
        <v>0.6152131108789027</v>
      </c>
      <c r="U1" s="192" t="s">
        <v>306</v>
      </c>
      <c r="V1" s="190">
        <v>169709</v>
      </c>
      <c r="W1" s="191">
        <f aca="true" t="shared" si="3" ref="W1:W34">SUM(V1/H1)</f>
        <v>0.1519582956143956</v>
      </c>
    </row>
    <row r="2" spans="1:23" ht="14.25" thickBot="1">
      <c r="A2" s="178">
        <v>2</v>
      </c>
      <c r="B2" s="179" t="s">
        <v>307</v>
      </c>
      <c r="C2" s="180" t="s">
        <v>304</v>
      </c>
      <c r="D2" s="181">
        <v>11</v>
      </c>
      <c r="E2" s="182">
        <v>1</v>
      </c>
      <c r="F2" s="332">
        <v>60</v>
      </c>
      <c r="G2" s="184">
        <v>5118873.69</v>
      </c>
      <c r="H2" s="185">
        <v>659058</v>
      </c>
      <c r="I2" s="329" t="s">
        <v>173</v>
      </c>
      <c r="J2" s="187">
        <v>1728906</v>
      </c>
      <c r="K2" s="188">
        <v>201031</v>
      </c>
      <c r="L2" s="189">
        <f>SUM(K2/H2)</f>
        <v>0.305027782076843</v>
      </c>
      <c r="M2" s="183">
        <v>4</v>
      </c>
      <c r="N2" s="184">
        <v>1283953.79</v>
      </c>
      <c r="O2" s="190">
        <v>146284</v>
      </c>
      <c r="P2" s="191">
        <f>SUM(O2/H2)</f>
        <v>0.22195922058453124</v>
      </c>
      <c r="Q2" s="178">
        <v>15</v>
      </c>
      <c r="R2" s="187">
        <v>2107896.5</v>
      </c>
      <c r="S2" s="188">
        <v>296904</v>
      </c>
      <c r="T2" s="189">
        <f t="shared" si="2"/>
        <v>0.4504975282903781</v>
      </c>
      <c r="U2" s="288" t="s">
        <v>327</v>
      </c>
      <c r="V2" s="190">
        <v>124215</v>
      </c>
      <c r="W2" s="191">
        <f t="shared" si="3"/>
        <v>0.18847354861028923</v>
      </c>
    </row>
    <row r="3" spans="1:23" ht="14.25" thickBot="1">
      <c r="A3" s="178">
        <v>3</v>
      </c>
      <c r="B3" s="179" t="s">
        <v>92</v>
      </c>
      <c r="C3" s="180" t="s">
        <v>304</v>
      </c>
      <c r="D3" s="181">
        <v>10</v>
      </c>
      <c r="E3" s="182">
        <v>2</v>
      </c>
      <c r="F3" s="332">
        <v>62</v>
      </c>
      <c r="G3" s="184">
        <v>6529727.8</v>
      </c>
      <c r="H3" s="185">
        <v>890276</v>
      </c>
      <c r="I3" s="330" t="s">
        <v>91</v>
      </c>
      <c r="J3" s="187">
        <v>3607269.5</v>
      </c>
      <c r="K3" s="188">
        <v>527388</v>
      </c>
      <c r="L3" s="189">
        <f>SUM(K3/H3)</f>
        <v>0.5923870799617197</v>
      </c>
      <c r="M3" s="183">
        <v>5</v>
      </c>
      <c r="N3" s="184">
        <v>3682940.5</v>
      </c>
      <c r="O3" s="190">
        <v>511626</v>
      </c>
      <c r="P3" s="191">
        <f>SUM(O3/H3)</f>
        <v>0.5746824580242531</v>
      </c>
      <c r="Q3" s="178">
        <v>16</v>
      </c>
      <c r="R3" s="187">
        <v>4246958.5</v>
      </c>
      <c r="S3" s="188">
        <v>616836</v>
      </c>
      <c r="T3" s="189">
        <f>SUM(S3/H3)</f>
        <v>0.6928592930731593</v>
      </c>
      <c r="U3" s="192" t="s">
        <v>93</v>
      </c>
      <c r="V3" s="190">
        <v>453903</v>
      </c>
      <c r="W3" s="191">
        <f t="shared" si="3"/>
        <v>0.5098452614694768</v>
      </c>
    </row>
    <row r="4" spans="1:23" ht="14.25" thickBot="1">
      <c r="A4" s="178">
        <v>4</v>
      </c>
      <c r="B4" s="179" t="s">
        <v>94</v>
      </c>
      <c r="C4" s="180" t="s">
        <v>304</v>
      </c>
      <c r="D4" s="181">
        <v>10</v>
      </c>
      <c r="E4" s="182">
        <v>2</v>
      </c>
      <c r="F4" s="332">
        <v>61</v>
      </c>
      <c r="G4" s="184">
        <v>7092188.4</v>
      </c>
      <c r="H4" s="185">
        <v>992303</v>
      </c>
      <c r="I4" s="330" t="s">
        <v>91</v>
      </c>
      <c r="J4" s="187">
        <v>4481033</v>
      </c>
      <c r="K4" s="188">
        <v>657202</v>
      </c>
      <c r="L4" s="189">
        <f t="shared" si="0"/>
        <v>0.6622997209521688</v>
      </c>
      <c r="M4" s="183">
        <v>3</v>
      </c>
      <c r="N4" s="184">
        <v>2723182.5</v>
      </c>
      <c r="O4" s="190">
        <v>383964</v>
      </c>
      <c r="P4" s="191">
        <f t="shared" si="1"/>
        <v>0.38694229484340975</v>
      </c>
      <c r="Q4" s="178">
        <v>17</v>
      </c>
      <c r="R4" s="187">
        <v>5464750.5</v>
      </c>
      <c r="S4" s="188">
        <v>798920</v>
      </c>
      <c r="T4" s="189">
        <f t="shared" si="2"/>
        <v>0.8051169854369079</v>
      </c>
      <c r="U4" s="192" t="s">
        <v>95</v>
      </c>
      <c r="V4" s="190">
        <v>302980</v>
      </c>
      <c r="W4" s="191">
        <f t="shared" si="3"/>
        <v>0.30533012597966547</v>
      </c>
    </row>
    <row r="5" spans="1:23" ht="14.25" thickBot="1">
      <c r="A5" s="178">
        <v>5</v>
      </c>
      <c r="B5" s="179" t="s">
        <v>119</v>
      </c>
      <c r="C5" s="180" t="s">
        <v>120</v>
      </c>
      <c r="D5" s="181">
        <v>10</v>
      </c>
      <c r="E5" s="182">
        <v>2</v>
      </c>
      <c r="F5" s="332">
        <v>59</v>
      </c>
      <c r="G5" s="184">
        <v>9179093.2</v>
      </c>
      <c r="H5" s="185">
        <v>1224946</v>
      </c>
      <c r="I5" s="328" t="s">
        <v>172</v>
      </c>
      <c r="J5" s="187">
        <v>3493499</v>
      </c>
      <c r="K5" s="188">
        <v>456605</v>
      </c>
      <c r="L5" s="189">
        <f>SUM(K5/H5)</f>
        <v>0.372755207168316</v>
      </c>
      <c r="M5" s="183">
        <v>3</v>
      </c>
      <c r="N5" s="184">
        <v>4795747.5</v>
      </c>
      <c r="O5" s="190">
        <v>625765</v>
      </c>
      <c r="P5" s="191">
        <f>SUM(O5/H5)</f>
        <v>0.5108510905786867</v>
      </c>
      <c r="Q5" s="178">
        <v>19</v>
      </c>
      <c r="R5" s="187">
        <v>7048989.5</v>
      </c>
      <c r="S5" s="188">
        <v>968870</v>
      </c>
      <c r="T5" s="189">
        <f t="shared" si="2"/>
        <v>0.7909491520442534</v>
      </c>
      <c r="U5" s="192" t="s">
        <v>121</v>
      </c>
      <c r="V5" s="190">
        <v>274655</v>
      </c>
      <c r="W5" s="191">
        <f t="shared" si="3"/>
        <v>0.22421804716289534</v>
      </c>
    </row>
    <row r="6" spans="1:23" ht="14.25" thickBot="1">
      <c r="A6" s="178">
        <v>6</v>
      </c>
      <c r="B6" s="179" t="s">
        <v>140</v>
      </c>
      <c r="C6" s="180" t="s">
        <v>120</v>
      </c>
      <c r="D6" s="181">
        <v>10</v>
      </c>
      <c r="E6" s="182">
        <v>2</v>
      </c>
      <c r="F6" s="332">
        <v>51</v>
      </c>
      <c r="G6" s="184">
        <v>8785125.1</v>
      </c>
      <c r="H6" s="185">
        <v>1151294</v>
      </c>
      <c r="I6" s="328" t="s">
        <v>172</v>
      </c>
      <c r="J6" s="187">
        <v>4155506</v>
      </c>
      <c r="K6" s="188">
        <v>521201</v>
      </c>
      <c r="L6" s="189">
        <f t="shared" si="0"/>
        <v>0.4527088649814904</v>
      </c>
      <c r="M6" s="183">
        <v>5</v>
      </c>
      <c r="N6" s="184">
        <v>1872291.5</v>
      </c>
      <c r="O6" s="190">
        <v>216438</v>
      </c>
      <c r="P6" s="191">
        <f t="shared" si="1"/>
        <v>0.18799542080476403</v>
      </c>
      <c r="Q6" s="178">
        <v>17</v>
      </c>
      <c r="R6" s="187">
        <v>5912494</v>
      </c>
      <c r="S6" s="188">
        <v>810354</v>
      </c>
      <c r="T6" s="189">
        <f t="shared" si="2"/>
        <v>0.7038636525509557</v>
      </c>
      <c r="U6" s="192" t="s">
        <v>121</v>
      </c>
      <c r="V6" s="190">
        <v>238848</v>
      </c>
      <c r="W6" s="191">
        <f t="shared" si="3"/>
        <v>0.20746047490910227</v>
      </c>
    </row>
    <row r="7" spans="1:23" ht="14.25" thickBot="1">
      <c r="A7" s="178">
        <v>7</v>
      </c>
      <c r="B7" s="179" t="s">
        <v>151</v>
      </c>
      <c r="C7" s="180" t="s">
        <v>120</v>
      </c>
      <c r="D7" s="181">
        <v>9</v>
      </c>
      <c r="E7" s="182">
        <v>3</v>
      </c>
      <c r="F7" s="332">
        <v>52</v>
      </c>
      <c r="G7" s="184">
        <v>6302662.94</v>
      </c>
      <c r="H7" s="185">
        <v>828699</v>
      </c>
      <c r="I7" s="328" t="s">
        <v>172</v>
      </c>
      <c r="J7" s="187">
        <v>2914628</v>
      </c>
      <c r="K7" s="188">
        <v>366924</v>
      </c>
      <c r="L7" s="189">
        <f t="shared" si="0"/>
        <v>0.44277113885741387</v>
      </c>
      <c r="M7" s="183">
        <v>4</v>
      </c>
      <c r="N7" s="184">
        <v>1331644</v>
      </c>
      <c r="O7" s="190">
        <v>154379</v>
      </c>
      <c r="P7" s="191">
        <f t="shared" si="1"/>
        <v>0.18629080039917992</v>
      </c>
      <c r="Q7" s="178">
        <v>18</v>
      </c>
      <c r="R7" s="187">
        <v>3602022.94</v>
      </c>
      <c r="S7" s="188">
        <v>511804</v>
      </c>
      <c r="T7" s="189">
        <f t="shared" si="2"/>
        <v>0.6175993937485142</v>
      </c>
      <c r="U7" s="192" t="s">
        <v>121</v>
      </c>
      <c r="V7" s="190">
        <v>139396</v>
      </c>
      <c r="W7" s="191">
        <f t="shared" si="3"/>
        <v>0.16821065308393035</v>
      </c>
    </row>
    <row r="8" spans="1:23" ht="14.25" thickBot="1">
      <c r="A8" s="178">
        <v>8</v>
      </c>
      <c r="B8" s="179" t="s">
        <v>157</v>
      </c>
      <c r="C8" s="180" t="s">
        <v>120</v>
      </c>
      <c r="D8" s="181">
        <v>9</v>
      </c>
      <c r="E8" s="182">
        <v>3</v>
      </c>
      <c r="F8" s="183">
        <v>62</v>
      </c>
      <c r="G8" s="184">
        <v>6060298</v>
      </c>
      <c r="H8" s="185">
        <v>783267</v>
      </c>
      <c r="I8" s="328" t="s">
        <v>172</v>
      </c>
      <c r="J8" s="187">
        <v>2583853</v>
      </c>
      <c r="K8" s="188">
        <v>311964</v>
      </c>
      <c r="L8" s="189">
        <f t="shared" si="0"/>
        <v>0.39828564206075323</v>
      </c>
      <c r="M8" s="183">
        <v>5</v>
      </c>
      <c r="N8" s="184">
        <v>2873712.5</v>
      </c>
      <c r="O8" s="190">
        <v>340864</v>
      </c>
      <c r="P8" s="191">
        <f t="shared" si="1"/>
        <v>0.4351823835294989</v>
      </c>
      <c r="Q8" s="178">
        <v>19</v>
      </c>
      <c r="R8" s="187">
        <v>2347661.5</v>
      </c>
      <c r="S8" s="188">
        <v>347738</v>
      </c>
      <c r="T8" s="189">
        <f t="shared" si="2"/>
        <v>0.44395844584286076</v>
      </c>
      <c r="U8" s="288" t="s">
        <v>416</v>
      </c>
      <c r="V8" s="190">
        <v>121457</v>
      </c>
      <c r="W8" s="191">
        <f t="shared" si="3"/>
        <v>0.15506462036572458</v>
      </c>
    </row>
    <row r="9" spans="1:23" ht="14.25" thickBot="1">
      <c r="A9" s="178">
        <v>9</v>
      </c>
      <c r="B9" s="179" t="s">
        <v>417</v>
      </c>
      <c r="C9" s="180" t="s">
        <v>426</v>
      </c>
      <c r="D9" s="181">
        <v>9</v>
      </c>
      <c r="E9" s="182">
        <v>3</v>
      </c>
      <c r="F9" s="332">
        <v>61</v>
      </c>
      <c r="G9" s="184">
        <v>5290968</v>
      </c>
      <c r="H9" s="185">
        <v>677853</v>
      </c>
      <c r="I9" s="328" t="s">
        <v>172</v>
      </c>
      <c r="J9" s="187">
        <v>1779119</v>
      </c>
      <c r="K9" s="188">
        <v>220698</v>
      </c>
      <c r="L9" s="189">
        <f t="shared" si="0"/>
        <v>0.32558386552836677</v>
      </c>
      <c r="M9" s="183">
        <v>6</v>
      </c>
      <c r="N9" s="184">
        <v>1015200</v>
      </c>
      <c r="O9" s="190">
        <v>116014</v>
      </c>
      <c r="P9" s="191">
        <f t="shared" si="1"/>
        <v>0.17114920196561792</v>
      </c>
      <c r="Q9" s="178">
        <v>17</v>
      </c>
      <c r="R9" s="187">
        <v>1671440</v>
      </c>
      <c r="S9" s="188">
        <v>246439</v>
      </c>
      <c r="T9" s="189">
        <f t="shared" si="2"/>
        <v>0.36355817559264325</v>
      </c>
      <c r="U9" s="288" t="s">
        <v>416</v>
      </c>
      <c r="V9" s="190">
        <v>81309</v>
      </c>
      <c r="W9" s="191">
        <f t="shared" si="3"/>
        <v>0.11995078578983939</v>
      </c>
    </row>
    <row r="10" spans="1:23" ht="14.25" thickBot="1">
      <c r="A10" s="178">
        <v>10</v>
      </c>
      <c r="B10" s="179" t="s">
        <v>140</v>
      </c>
      <c r="C10" s="180" t="s">
        <v>426</v>
      </c>
      <c r="D10" s="181">
        <v>9</v>
      </c>
      <c r="E10" s="182">
        <v>3</v>
      </c>
      <c r="F10" s="332">
        <v>65</v>
      </c>
      <c r="G10" s="184">
        <v>5088140.05</v>
      </c>
      <c r="H10" s="185">
        <v>653289</v>
      </c>
      <c r="I10" s="328" t="s">
        <v>172</v>
      </c>
      <c r="J10" s="187">
        <v>2301130</v>
      </c>
      <c r="K10" s="188">
        <v>286844</v>
      </c>
      <c r="L10" s="189">
        <f t="shared" si="0"/>
        <v>0.43907673326812485</v>
      </c>
      <c r="M10" s="183">
        <v>5</v>
      </c>
      <c r="N10" s="184">
        <v>2343737.5</v>
      </c>
      <c r="O10" s="190">
        <v>283835</v>
      </c>
      <c r="P10" s="191">
        <f t="shared" si="1"/>
        <v>0.4344708084783304</v>
      </c>
      <c r="Q10" s="178">
        <v>21</v>
      </c>
      <c r="R10" s="187">
        <v>1588352.55</v>
      </c>
      <c r="S10" s="188">
        <v>230463</v>
      </c>
      <c r="T10" s="189">
        <f t="shared" si="2"/>
        <v>0.35277342799281786</v>
      </c>
      <c r="U10" s="288" t="s">
        <v>427</v>
      </c>
      <c r="V10" s="190">
        <v>102037</v>
      </c>
      <c r="W10" s="191">
        <f t="shared" si="3"/>
        <v>0.15618968021809643</v>
      </c>
    </row>
    <row r="11" spans="1:23" ht="14.25" thickBot="1">
      <c r="A11" s="178">
        <v>11</v>
      </c>
      <c r="B11" s="179" t="s">
        <v>151</v>
      </c>
      <c r="C11" s="180" t="s">
        <v>426</v>
      </c>
      <c r="D11" s="181">
        <v>10</v>
      </c>
      <c r="E11" s="182">
        <v>2</v>
      </c>
      <c r="F11" s="332">
        <v>69</v>
      </c>
      <c r="G11" s="184">
        <v>4964952.3</v>
      </c>
      <c r="H11" s="185">
        <v>638421</v>
      </c>
      <c r="I11" s="328" t="s">
        <v>172</v>
      </c>
      <c r="J11" s="187">
        <v>1481838</v>
      </c>
      <c r="K11" s="188">
        <v>191563</v>
      </c>
      <c r="L11" s="189">
        <f t="shared" si="0"/>
        <v>0.30005748557769873</v>
      </c>
      <c r="M11" s="183">
        <v>6</v>
      </c>
      <c r="N11" s="184">
        <v>1956043.5</v>
      </c>
      <c r="O11" s="190">
        <v>227604</v>
      </c>
      <c r="P11" s="191">
        <f t="shared" si="1"/>
        <v>0.3565108290610741</v>
      </c>
      <c r="Q11" s="178">
        <v>22</v>
      </c>
      <c r="R11" s="187">
        <v>1714676</v>
      </c>
      <c r="S11" s="188">
        <v>241825</v>
      </c>
      <c r="T11" s="189">
        <f t="shared" si="2"/>
        <v>0.3787860988282027</v>
      </c>
      <c r="U11" s="192" t="s">
        <v>211</v>
      </c>
      <c r="V11" s="190">
        <v>86101</v>
      </c>
      <c r="W11" s="191">
        <f t="shared" si="3"/>
        <v>0.1348655511018591</v>
      </c>
    </row>
    <row r="12" spans="1:23" ht="14.25" thickBot="1">
      <c r="A12" s="178">
        <v>12</v>
      </c>
      <c r="B12" s="179" t="s">
        <v>157</v>
      </c>
      <c r="C12" s="180" t="s">
        <v>426</v>
      </c>
      <c r="D12" s="181">
        <v>9</v>
      </c>
      <c r="E12" s="182">
        <v>3</v>
      </c>
      <c r="F12" s="332">
        <v>66</v>
      </c>
      <c r="G12" s="184">
        <v>7269818.42</v>
      </c>
      <c r="H12" s="185">
        <v>928595</v>
      </c>
      <c r="I12" s="328" t="s">
        <v>172</v>
      </c>
      <c r="J12" s="187">
        <v>3934346</v>
      </c>
      <c r="K12" s="188">
        <v>495714</v>
      </c>
      <c r="L12" s="189">
        <f t="shared" si="0"/>
        <v>0.533832295026357</v>
      </c>
      <c r="M12" s="183">
        <v>7</v>
      </c>
      <c r="N12" s="184">
        <v>4723762.92</v>
      </c>
      <c r="O12" s="190">
        <v>577212</v>
      </c>
      <c r="P12" s="191">
        <f t="shared" si="1"/>
        <v>0.6215971440724967</v>
      </c>
      <c r="Q12" s="178">
        <v>21</v>
      </c>
      <c r="R12" s="187">
        <v>2021747.9</v>
      </c>
      <c r="S12" s="188">
        <v>274352</v>
      </c>
      <c r="T12" s="189">
        <f t="shared" si="2"/>
        <v>0.29544850015345764</v>
      </c>
      <c r="U12" s="289" t="s">
        <v>405</v>
      </c>
      <c r="V12" s="190">
        <v>400017</v>
      </c>
      <c r="W12" s="191">
        <f t="shared" si="3"/>
        <v>0.4307766033631454</v>
      </c>
    </row>
    <row r="13" spans="1:23" ht="14.25" thickBot="1">
      <c r="A13" s="178">
        <v>13</v>
      </c>
      <c r="B13" s="179" t="s">
        <v>226</v>
      </c>
      <c r="C13" s="180" t="s">
        <v>426</v>
      </c>
      <c r="D13" s="181">
        <v>9</v>
      </c>
      <c r="E13" s="182">
        <v>3</v>
      </c>
      <c r="F13" s="332">
        <v>73</v>
      </c>
      <c r="G13" s="184">
        <v>6114106.5</v>
      </c>
      <c r="H13" s="185">
        <v>774233</v>
      </c>
      <c r="I13" s="328" t="s">
        <v>172</v>
      </c>
      <c r="J13" s="187">
        <v>2474432.5</v>
      </c>
      <c r="K13" s="188">
        <v>305358</v>
      </c>
      <c r="L13" s="189">
        <f t="shared" si="0"/>
        <v>0.3944006520001085</v>
      </c>
      <c r="M13" s="183">
        <v>4</v>
      </c>
      <c r="N13" s="184">
        <v>2046232.5</v>
      </c>
      <c r="O13" s="190">
        <v>196021</v>
      </c>
      <c r="P13" s="191">
        <f t="shared" si="1"/>
        <v>0.2531808899904809</v>
      </c>
      <c r="Q13" s="178">
        <v>22</v>
      </c>
      <c r="R13" s="187">
        <v>1677088</v>
      </c>
      <c r="S13" s="188">
        <v>229561</v>
      </c>
      <c r="T13" s="189">
        <f t="shared" si="2"/>
        <v>0.2965011824605771</v>
      </c>
      <c r="U13" s="289" t="s">
        <v>405</v>
      </c>
      <c r="V13" s="190">
        <v>186496</v>
      </c>
      <c r="W13" s="191">
        <f t="shared" si="3"/>
        <v>0.24087839190527915</v>
      </c>
    </row>
    <row r="14" spans="1:23" ht="14.25" thickBot="1">
      <c r="A14" s="178">
        <v>14</v>
      </c>
      <c r="B14" s="179" t="s">
        <v>239</v>
      </c>
      <c r="C14" s="180" t="s">
        <v>240</v>
      </c>
      <c r="D14" s="181">
        <v>10</v>
      </c>
      <c r="E14" s="182">
        <v>2</v>
      </c>
      <c r="F14" s="332">
        <v>70</v>
      </c>
      <c r="G14" s="184">
        <v>4961927.9</v>
      </c>
      <c r="H14" s="185">
        <v>628822</v>
      </c>
      <c r="I14" s="328" t="s">
        <v>172</v>
      </c>
      <c r="J14" s="187">
        <v>1789169</v>
      </c>
      <c r="K14" s="188">
        <v>219418</v>
      </c>
      <c r="L14" s="189">
        <f t="shared" si="0"/>
        <v>0.34893499273244255</v>
      </c>
      <c r="M14" s="183">
        <v>3</v>
      </c>
      <c r="N14" s="184">
        <v>862608.5</v>
      </c>
      <c r="O14" s="190">
        <v>100043</v>
      </c>
      <c r="P14" s="191">
        <f t="shared" si="1"/>
        <v>0.15909589677205951</v>
      </c>
      <c r="Q14" s="178">
        <v>21</v>
      </c>
      <c r="R14" s="187">
        <v>1369908.4</v>
      </c>
      <c r="S14" s="188">
        <v>187040</v>
      </c>
      <c r="T14" s="189">
        <f t="shared" si="2"/>
        <v>0.2974450639449638</v>
      </c>
      <c r="U14" s="192" t="s">
        <v>241</v>
      </c>
      <c r="V14" s="190">
        <v>113536</v>
      </c>
      <c r="W14" s="191">
        <f t="shared" si="3"/>
        <v>0.1805534793629994</v>
      </c>
    </row>
    <row r="15" spans="1:23" ht="14.25" thickBot="1">
      <c r="A15" s="178">
        <v>15</v>
      </c>
      <c r="B15" s="179" t="s">
        <v>248</v>
      </c>
      <c r="C15" s="180" t="s">
        <v>240</v>
      </c>
      <c r="D15" s="181">
        <v>11</v>
      </c>
      <c r="E15" s="182">
        <v>1</v>
      </c>
      <c r="F15" s="183">
        <v>80</v>
      </c>
      <c r="G15" s="184">
        <v>3793841.7</v>
      </c>
      <c r="H15" s="185">
        <v>487888</v>
      </c>
      <c r="I15" s="328" t="s">
        <v>172</v>
      </c>
      <c r="J15" s="187">
        <v>1073448</v>
      </c>
      <c r="K15" s="188">
        <v>134939</v>
      </c>
      <c r="L15" s="189">
        <f t="shared" si="0"/>
        <v>0.27657782113927787</v>
      </c>
      <c r="M15" s="183">
        <v>8</v>
      </c>
      <c r="N15" s="184">
        <v>1316910.5</v>
      </c>
      <c r="O15" s="190">
        <v>145325</v>
      </c>
      <c r="P15" s="191">
        <f t="shared" si="1"/>
        <v>0.29786549371987014</v>
      </c>
      <c r="Q15" s="178">
        <v>22</v>
      </c>
      <c r="R15" s="187">
        <v>698457</v>
      </c>
      <c r="S15" s="188">
        <v>104479</v>
      </c>
      <c r="T15" s="189">
        <f t="shared" si="2"/>
        <v>0.21414545961368184</v>
      </c>
      <c r="U15" s="288" t="s">
        <v>262</v>
      </c>
      <c r="V15" s="190">
        <v>73516</v>
      </c>
      <c r="W15" s="191">
        <f t="shared" si="3"/>
        <v>0.15068212376611026</v>
      </c>
    </row>
    <row r="16" spans="1:23" ht="14.25" thickBot="1">
      <c r="A16" s="178">
        <v>16</v>
      </c>
      <c r="B16" s="179" t="s">
        <v>263</v>
      </c>
      <c r="C16" s="180" t="s">
        <v>240</v>
      </c>
      <c r="D16" s="181">
        <v>10</v>
      </c>
      <c r="E16" s="182">
        <v>2</v>
      </c>
      <c r="F16" s="183">
        <v>90</v>
      </c>
      <c r="G16" s="184">
        <v>3559223.45</v>
      </c>
      <c r="H16" s="185">
        <v>471342</v>
      </c>
      <c r="I16" s="331" t="s">
        <v>27</v>
      </c>
      <c r="J16" s="187">
        <v>659788.5</v>
      </c>
      <c r="K16" s="188">
        <v>94559</v>
      </c>
      <c r="L16" s="189">
        <f t="shared" si="0"/>
        <v>0.20061653746112165</v>
      </c>
      <c r="M16" s="183">
        <v>7</v>
      </c>
      <c r="N16" s="184">
        <v>1560286</v>
      </c>
      <c r="O16" s="190">
        <v>186713</v>
      </c>
      <c r="P16" s="191">
        <f t="shared" si="1"/>
        <v>0.3961306227749702</v>
      </c>
      <c r="Q16" s="178">
        <v>27</v>
      </c>
      <c r="R16" s="187">
        <v>738315.5</v>
      </c>
      <c r="S16" s="188">
        <v>107568</v>
      </c>
      <c r="T16" s="189">
        <f t="shared" si="2"/>
        <v>0.22821645429433404</v>
      </c>
      <c r="U16" s="288" t="s">
        <v>264</v>
      </c>
      <c r="V16" s="190">
        <v>70778</v>
      </c>
      <c r="W16" s="191">
        <f t="shared" si="3"/>
        <v>0.1501627268522644</v>
      </c>
    </row>
    <row r="17" spans="1:23" ht="14.25" thickBot="1">
      <c r="A17" s="178">
        <v>17</v>
      </c>
      <c r="B17" s="179" t="s">
        <v>278</v>
      </c>
      <c r="C17" s="180" t="s">
        <v>240</v>
      </c>
      <c r="D17" s="181">
        <v>10</v>
      </c>
      <c r="E17" s="182">
        <v>2</v>
      </c>
      <c r="F17" s="183">
        <v>71</v>
      </c>
      <c r="G17" s="184">
        <v>4495714.65</v>
      </c>
      <c r="H17" s="185">
        <v>593277</v>
      </c>
      <c r="I17" s="329" t="s">
        <v>173</v>
      </c>
      <c r="J17" s="187">
        <v>1764375</v>
      </c>
      <c r="K17" s="188">
        <v>236210</v>
      </c>
      <c r="L17" s="189">
        <f t="shared" si="0"/>
        <v>0.3981445429369418</v>
      </c>
      <c r="M17" s="183">
        <v>4</v>
      </c>
      <c r="N17" s="184">
        <v>2537879</v>
      </c>
      <c r="O17" s="190">
        <v>316879</v>
      </c>
      <c r="P17" s="191">
        <f t="shared" si="1"/>
        <v>0.5341164413924693</v>
      </c>
      <c r="Q17" s="178">
        <v>19</v>
      </c>
      <c r="R17" s="187">
        <v>1827729.5</v>
      </c>
      <c r="S17" s="188">
        <v>253779</v>
      </c>
      <c r="T17" s="189">
        <f t="shared" si="2"/>
        <v>0.42775802871171476</v>
      </c>
      <c r="U17" s="192" t="s">
        <v>284</v>
      </c>
      <c r="V17" s="190">
        <v>189829</v>
      </c>
      <c r="W17" s="191">
        <f t="shared" si="3"/>
        <v>0.31996689573335896</v>
      </c>
    </row>
    <row r="18" spans="1:23" ht="14.25" thickBot="1">
      <c r="A18" s="178">
        <v>18</v>
      </c>
      <c r="B18" s="179" t="s">
        <v>285</v>
      </c>
      <c r="C18" s="180" t="s">
        <v>286</v>
      </c>
      <c r="D18" s="181">
        <v>10</v>
      </c>
      <c r="E18" s="182">
        <v>2</v>
      </c>
      <c r="F18" s="332">
        <v>76</v>
      </c>
      <c r="G18" s="184">
        <v>3359765</v>
      </c>
      <c r="H18" s="185">
        <v>442122</v>
      </c>
      <c r="I18" s="329" t="s">
        <v>173</v>
      </c>
      <c r="J18" s="187">
        <v>937970</v>
      </c>
      <c r="K18" s="188">
        <v>122853</v>
      </c>
      <c r="L18" s="189">
        <f t="shared" si="0"/>
        <v>0.27787126630206144</v>
      </c>
      <c r="M18" s="183">
        <v>6</v>
      </c>
      <c r="N18" s="184">
        <v>1353681</v>
      </c>
      <c r="O18" s="190">
        <v>157965</v>
      </c>
      <c r="P18" s="191">
        <f t="shared" si="1"/>
        <v>0.35728825980159323</v>
      </c>
      <c r="Q18" s="178">
        <v>26</v>
      </c>
      <c r="R18" s="187">
        <v>870655</v>
      </c>
      <c r="S18" s="188">
        <v>126269</v>
      </c>
      <c r="T18" s="189">
        <f t="shared" si="2"/>
        <v>0.2855976404702774</v>
      </c>
      <c r="U18" s="192" t="s">
        <v>284</v>
      </c>
      <c r="V18" s="190">
        <v>87354</v>
      </c>
      <c r="W18" s="191">
        <f t="shared" si="3"/>
        <v>0.1975789487969384</v>
      </c>
    </row>
    <row r="19" spans="1:23" ht="14.25" thickBot="1">
      <c r="A19" s="178">
        <v>19</v>
      </c>
      <c r="B19" s="179" t="s">
        <v>494</v>
      </c>
      <c r="C19" s="180" t="s">
        <v>286</v>
      </c>
      <c r="D19" s="181">
        <v>11</v>
      </c>
      <c r="E19" s="182">
        <v>2</v>
      </c>
      <c r="F19" s="332">
        <v>67</v>
      </c>
      <c r="G19" s="184">
        <v>4612289</v>
      </c>
      <c r="H19" s="185">
        <v>605808</v>
      </c>
      <c r="I19" s="328" t="s">
        <v>172</v>
      </c>
      <c r="J19" s="187">
        <v>3219718</v>
      </c>
      <c r="K19" s="188">
        <v>408181</v>
      </c>
      <c r="L19" s="189">
        <f t="shared" si="0"/>
        <v>0.6737794812878007</v>
      </c>
      <c r="M19" s="183">
        <v>3</v>
      </c>
      <c r="N19" s="184">
        <v>2878018</v>
      </c>
      <c r="O19" s="190">
        <v>367437</v>
      </c>
      <c r="P19" s="191">
        <f t="shared" si="1"/>
        <v>0.6065238491403216</v>
      </c>
      <c r="Q19" s="178">
        <v>13</v>
      </c>
      <c r="R19" s="187">
        <v>569522</v>
      </c>
      <c r="S19" s="188">
        <v>86852</v>
      </c>
      <c r="T19" s="189">
        <f t="shared" si="2"/>
        <v>0.14336555476322532</v>
      </c>
      <c r="U19" s="288" t="s">
        <v>524</v>
      </c>
      <c r="V19" s="190">
        <v>347281</v>
      </c>
      <c r="W19" s="191">
        <f t="shared" si="3"/>
        <v>0.5732525816760425</v>
      </c>
    </row>
    <row r="20" spans="1:23" ht="14.25" thickBot="1">
      <c r="A20" s="178">
        <v>20</v>
      </c>
      <c r="B20" s="179" t="s">
        <v>500</v>
      </c>
      <c r="C20" s="180" t="s">
        <v>286</v>
      </c>
      <c r="D20" s="181">
        <v>11</v>
      </c>
      <c r="E20" s="182">
        <v>2</v>
      </c>
      <c r="F20" s="332">
        <v>75</v>
      </c>
      <c r="G20" s="184">
        <v>2959174</v>
      </c>
      <c r="H20" s="185">
        <v>393916</v>
      </c>
      <c r="I20" s="328" t="s">
        <v>172</v>
      </c>
      <c r="J20" s="187">
        <v>1704605</v>
      </c>
      <c r="K20" s="188">
        <v>222213</v>
      </c>
      <c r="L20" s="189">
        <f t="shared" si="0"/>
        <v>0.5641126534591131</v>
      </c>
      <c r="M20" s="183">
        <v>4</v>
      </c>
      <c r="N20" s="184">
        <v>279843</v>
      </c>
      <c r="O20" s="190">
        <v>31294</v>
      </c>
      <c r="P20" s="191">
        <f t="shared" si="1"/>
        <v>0.07944333309639619</v>
      </c>
      <c r="Q20" s="178">
        <v>17</v>
      </c>
      <c r="R20" s="187">
        <v>313436.5</v>
      </c>
      <c r="S20" s="188">
        <v>49288</v>
      </c>
      <c r="T20" s="189">
        <f t="shared" si="2"/>
        <v>0.12512312269620934</v>
      </c>
      <c r="U20" s="288" t="s">
        <v>524</v>
      </c>
      <c r="V20" s="190">
        <v>180161</v>
      </c>
      <c r="W20" s="191">
        <f t="shared" si="3"/>
        <v>0.4573589293148793</v>
      </c>
    </row>
    <row r="21" spans="1:23" ht="14.25" thickBot="1">
      <c r="A21" s="178">
        <v>21</v>
      </c>
      <c r="B21" s="179" t="s">
        <v>509</v>
      </c>
      <c r="C21" s="180" t="s">
        <v>286</v>
      </c>
      <c r="D21" s="181">
        <v>11</v>
      </c>
      <c r="E21" s="182">
        <v>2</v>
      </c>
      <c r="F21" s="183">
        <v>80</v>
      </c>
      <c r="G21" s="184">
        <v>3150227.5</v>
      </c>
      <c r="H21" s="185">
        <v>405630</v>
      </c>
      <c r="I21" s="328" t="s">
        <v>172</v>
      </c>
      <c r="J21" s="187">
        <v>1232820</v>
      </c>
      <c r="K21" s="188">
        <v>156882</v>
      </c>
      <c r="L21" s="189">
        <f t="shared" si="0"/>
        <v>0.38676133422084163</v>
      </c>
      <c r="M21" s="183">
        <v>5</v>
      </c>
      <c r="N21" s="184">
        <v>1355753</v>
      </c>
      <c r="O21" s="190">
        <v>154038</v>
      </c>
      <c r="P21" s="191">
        <f t="shared" si="1"/>
        <v>0.3797500184897567</v>
      </c>
      <c r="Q21" s="178">
        <v>21</v>
      </c>
      <c r="R21" s="187">
        <v>207115</v>
      </c>
      <c r="S21" s="188">
        <v>36794</v>
      </c>
      <c r="T21" s="189">
        <f t="shared" si="2"/>
        <v>0.09070828094568942</v>
      </c>
      <c r="U21" s="288" t="s">
        <v>524</v>
      </c>
      <c r="V21" s="190">
        <v>109405</v>
      </c>
      <c r="W21" s="191">
        <f t="shared" si="3"/>
        <v>0.26971624386756404</v>
      </c>
    </row>
    <row r="22" spans="1:23" ht="14.25" thickBot="1">
      <c r="A22" s="178">
        <v>22</v>
      </c>
      <c r="B22" s="179" t="s">
        <v>522</v>
      </c>
      <c r="C22" s="180" t="s">
        <v>286</v>
      </c>
      <c r="D22" s="181">
        <v>12</v>
      </c>
      <c r="E22" s="182">
        <v>2</v>
      </c>
      <c r="F22" s="332">
        <v>74</v>
      </c>
      <c r="G22" s="184">
        <v>4828196</v>
      </c>
      <c r="H22" s="185">
        <v>625697</v>
      </c>
      <c r="I22" s="329" t="s">
        <v>173</v>
      </c>
      <c r="J22" s="187">
        <v>3728995</v>
      </c>
      <c r="K22" s="188">
        <v>470309</v>
      </c>
      <c r="L22" s="189">
        <f t="shared" si="0"/>
        <v>0.7516561530581096</v>
      </c>
      <c r="M22" s="183">
        <v>4</v>
      </c>
      <c r="N22" s="184">
        <v>3565551</v>
      </c>
      <c r="O22" s="190">
        <v>448009</v>
      </c>
      <c r="P22" s="191">
        <f t="shared" si="1"/>
        <v>0.7160158990693578</v>
      </c>
      <c r="Q22" s="178">
        <v>17</v>
      </c>
      <c r="R22" s="187">
        <v>140344.5</v>
      </c>
      <c r="S22" s="188">
        <v>29233</v>
      </c>
      <c r="T22" s="189">
        <f t="shared" si="2"/>
        <v>0.04672069707861792</v>
      </c>
      <c r="U22" s="288" t="s">
        <v>525</v>
      </c>
      <c r="V22" s="190">
        <v>445802</v>
      </c>
      <c r="W22" s="191">
        <f t="shared" si="3"/>
        <v>0.7124886326768388</v>
      </c>
    </row>
    <row r="23" spans="1:23" ht="14.25" thickBot="1">
      <c r="A23" s="178">
        <v>23</v>
      </c>
      <c r="B23" s="179" t="s">
        <v>530</v>
      </c>
      <c r="C23" s="180" t="s">
        <v>531</v>
      </c>
      <c r="D23" s="181">
        <v>12</v>
      </c>
      <c r="E23" s="182">
        <v>2</v>
      </c>
      <c r="F23" s="332">
        <v>84</v>
      </c>
      <c r="G23" s="184">
        <v>2978904.01</v>
      </c>
      <c r="H23" s="185">
        <v>389341</v>
      </c>
      <c r="I23" s="329" t="s">
        <v>173</v>
      </c>
      <c r="J23" s="187">
        <v>1696424</v>
      </c>
      <c r="K23" s="188">
        <v>217756</v>
      </c>
      <c r="L23" s="189">
        <f t="shared" si="0"/>
        <v>0.5592937810299968</v>
      </c>
      <c r="M23" s="183">
        <v>5</v>
      </c>
      <c r="N23" s="184">
        <v>699611</v>
      </c>
      <c r="O23" s="190">
        <v>79702</v>
      </c>
      <c r="P23" s="191">
        <f t="shared" si="1"/>
        <v>0.20471000999124161</v>
      </c>
      <c r="Q23" s="178">
        <v>12</v>
      </c>
      <c r="R23" s="187">
        <v>49305.51</v>
      </c>
      <c r="S23" s="188">
        <v>12229</v>
      </c>
      <c r="T23" s="189">
        <f t="shared" si="2"/>
        <v>0.03140948423104682</v>
      </c>
      <c r="U23" s="288" t="s">
        <v>525</v>
      </c>
      <c r="V23" s="190">
        <v>204260</v>
      </c>
      <c r="W23" s="191">
        <f t="shared" si="3"/>
        <v>0.524630080058355</v>
      </c>
    </row>
    <row r="24" spans="1:23" ht="14.25" thickBot="1">
      <c r="A24" s="178">
        <v>24</v>
      </c>
      <c r="B24" s="179" t="s">
        <v>341</v>
      </c>
      <c r="C24" s="180" t="s">
        <v>531</v>
      </c>
      <c r="D24" s="181">
        <v>12</v>
      </c>
      <c r="E24" s="182">
        <v>2</v>
      </c>
      <c r="F24" s="332">
        <v>84</v>
      </c>
      <c r="G24" s="184">
        <v>3552854.08</v>
      </c>
      <c r="H24" s="185">
        <v>463248</v>
      </c>
      <c r="I24" s="328" t="s">
        <v>172</v>
      </c>
      <c r="J24" s="187">
        <v>1627429</v>
      </c>
      <c r="K24" s="188">
        <v>194169</v>
      </c>
      <c r="L24" s="189">
        <f t="shared" si="0"/>
        <v>0.4191469795876075</v>
      </c>
      <c r="M24" s="183">
        <v>3</v>
      </c>
      <c r="N24" s="184">
        <v>1610580.5</v>
      </c>
      <c r="O24" s="190">
        <v>183829</v>
      </c>
      <c r="P24" s="191">
        <f t="shared" si="1"/>
        <v>0.39682632197008944</v>
      </c>
      <c r="Q24" s="178">
        <v>18</v>
      </c>
      <c r="R24" s="187">
        <v>32359.08</v>
      </c>
      <c r="S24" s="188">
        <v>7942</v>
      </c>
      <c r="T24" s="189">
        <f t="shared" si="2"/>
        <v>0.017144164680689394</v>
      </c>
      <c r="U24" s="288" t="s">
        <v>452</v>
      </c>
      <c r="V24" s="190">
        <v>161361</v>
      </c>
      <c r="W24" s="191">
        <f t="shared" si="3"/>
        <v>0.3483253030774013</v>
      </c>
    </row>
    <row r="25" spans="1:23" ht="14.25" thickBot="1">
      <c r="A25" s="178">
        <v>25</v>
      </c>
      <c r="B25" s="179" t="s">
        <v>366</v>
      </c>
      <c r="C25" s="180" t="s">
        <v>531</v>
      </c>
      <c r="D25" s="181">
        <v>11</v>
      </c>
      <c r="E25" s="182">
        <v>3</v>
      </c>
      <c r="F25" s="332">
        <v>80</v>
      </c>
      <c r="G25" s="184">
        <v>4243340</v>
      </c>
      <c r="H25" s="185">
        <v>565779</v>
      </c>
      <c r="I25" s="329" t="s">
        <v>173</v>
      </c>
      <c r="J25" s="187">
        <v>2794589</v>
      </c>
      <c r="K25" s="188">
        <v>375727</v>
      </c>
      <c r="L25" s="189">
        <f t="shared" si="0"/>
        <v>0.6640879212554726</v>
      </c>
      <c r="M25" s="183">
        <v>4</v>
      </c>
      <c r="N25" s="184">
        <v>2454465</v>
      </c>
      <c r="O25" s="190">
        <v>316566</v>
      </c>
      <c r="P25" s="191">
        <f t="shared" si="1"/>
        <v>0.5595223576696908</v>
      </c>
      <c r="Q25" s="178">
        <v>19</v>
      </c>
      <c r="R25" s="187">
        <v>23459.5</v>
      </c>
      <c r="S25" s="188">
        <v>6606</v>
      </c>
      <c r="T25" s="189">
        <f t="shared" si="2"/>
        <v>0.011675937070835078</v>
      </c>
      <c r="U25" s="288" t="s">
        <v>471</v>
      </c>
      <c r="V25" s="190">
        <v>285694</v>
      </c>
      <c r="W25" s="191">
        <f t="shared" si="3"/>
        <v>0.504956882457638</v>
      </c>
    </row>
    <row r="26" spans="1:23" ht="14.25" thickBot="1">
      <c r="A26" s="178">
        <v>26</v>
      </c>
      <c r="B26" s="179" t="s">
        <v>372</v>
      </c>
      <c r="C26" s="180" t="s">
        <v>531</v>
      </c>
      <c r="D26" s="181">
        <v>12</v>
      </c>
      <c r="E26" s="182">
        <v>2</v>
      </c>
      <c r="F26" s="332">
        <v>80</v>
      </c>
      <c r="G26" s="184">
        <v>2627810.75</v>
      </c>
      <c r="H26" s="185">
        <v>339771</v>
      </c>
      <c r="I26" s="329" t="s">
        <v>173</v>
      </c>
      <c r="J26" s="187">
        <v>1481215</v>
      </c>
      <c r="K26" s="188">
        <v>192269</v>
      </c>
      <c r="L26" s="189">
        <f t="shared" si="0"/>
        <v>0.565878194430955</v>
      </c>
      <c r="M26" s="183">
        <v>4</v>
      </c>
      <c r="N26" s="184">
        <v>542348.25</v>
      </c>
      <c r="O26" s="190">
        <v>61128</v>
      </c>
      <c r="P26" s="191">
        <f t="shared" si="1"/>
        <v>0.17990940957291823</v>
      </c>
      <c r="Q26" s="178">
        <v>16</v>
      </c>
      <c r="R26" s="187">
        <v>23541</v>
      </c>
      <c r="S26" s="188">
        <v>6633</v>
      </c>
      <c r="T26" s="189">
        <f t="shared" si="2"/>
        <v>0.019521972151831674</v>
      </c>
      <c r="U26" s="288" t="s">
        <v>471</v>
      </c>
      <c r="V26" s="190">
        <v>127266</v>
      </c>
      <c r="W26" s="191">
        <f t="shared" si="3"/>
        <v>0.3745640446065144</v>
      </c>
    </row>
    <row r="27" spans="1:23" ht="14.25" thickBot="1">
      <c r="A27" s="178">
        <v>27</v>
      </c>
      <c r="B27" s="179" t="s">
        <v>380</v>
      </c>
      <c r="C27" s="180" t="s">
        <v>381</v>
      </c>
      <c r="D27" s="181">
        <v>13</v>
      </c>
      <c r="E27" s="182">
        <v>1</v>
      </c>
      <c r="F27" s="332">
        <v>97</v>
      </c>
      <c r="G27" s="184">
        <v>2387677.1</v>
      </c>
      <c r="H27" s="185">
        <v>314768</v>
      </c>
      <c r="I27" s="330" t="s">
        <v>91</v>
      </c>
      <c r="J27" s="187">
        <v>853542.5</v>
      </c>
      <c r="K27" s="188">
        <v>107395</v>
      </c>
      <c r="L27" s="189">
        <f t="shared" si="0"/>
        <v>0.3411877954557007</v>
      </c>
      <c r="M27" s="183">
        <v>3</v>
      </c>
      <c r="N27" s="184">
        <v>83544.5</v>
      </c>
      <c r="O27" s="190">
        <v>98170</v>
      </c>
      <c r="P27" s="191">
        <f t="shared" si="1"/>
        <v>0.31188049611142177</v>
      </c>
      <c r="Q27" s="178">
        <v>18</v>
      </c>
      <c r="R27" s="187">
        <v>41065</v>
      </c>
      <c r="S27" s="188">
        <v>12158</v>
      </c>
      <c r="T27" s="189">
        <f t="shared" si="2"/>
        <v>0.038625273217099576</v>
      </c>
      <c r="U27" s="288" t="s">
        <v>383</v>
      </c>
      <c r="V27" s="190">
        <v>88667</v>
      </c>
      <c r="W27" s="191">
        <f t="shared" si="3"/>
        <v>0.2816900066080415</v>
      </c>
    </row>
    <row r="28" spans="1:23" ht="14.25" thickBot="1">
      <c r="A28" s="178">
        <v>28</v>
      </c>
      <c r="B28" s="179" t="s">
        <v>248</v>
      </c>
      <c r="C28" s="180" t="s">
        <v>381</v>
      </c>
      <c r="D28" s="181">
        <v>12</v>
      </c>
      <c r="E28" s="182">
        <v>2</v>
      </c>
      <c r="F28" s="332">
        <v>100</v>
      </c>
      <c r="G28" s="184">
        <v>2882966.52</v>
      </c>
      <c r="H28" s="185">
        <v>368462</v>
      </c>
      <c r="I28" s="329" t="s">
        <v>173</v>
      </c>
      <c r="J28" s="187">
        <v>1958232</v>
      </c>
      <c r="K28" s="188">
        <v>247212</v>
      </c>
      <c r="L28" s="189">
        <f t="shared" si="0"/>
        <v>0.6709294309860989</v>
      </c>
      <c r="M28" s="183">
        <v>4</v>
      </c>
      <c r="N28" s="184">
        <v>1591726</v>
      </c>
      <c r="O28" s="190">
        <v>191421</v>
      </c>
      <c r="P28" s="191">
        <f t="shared" si="1"/>
        <v>0.519513545494515</v>
      </c>
      <c r="Q28" s="178">
        <v>16</v>
      </c>
      <c r="R28" s="187">
        <v>67700.52</v>
      </c>
      <c r="S28" s="188">
        <v>12674</v>
      </c>
      <c r="T28" s="189">
        <f t="shared" si="2"/>
        <v>0.03439703415820356</v>
      </c>
      <c r="U28" s="288" t="s">
        <v>398</v>
      </c>
      <c r="V28" s="190">
        <v>171772</v>
      </c>
      <c r="W28" s="191">
        <f t="shared" si="3"/>
        <v>0.46618647241777983</v>
      </c>
    </row>
    <row r="29" spans="1:23" ht="14.25" thickBot="1">
      <c r="A29" s="178">
        <v>29</v>
      </c>
      <c r="B29" s="179" t="s">
        <v>263</v>
      </c>
      <c r="C29" s="180" t="s">
        <v>381</v>
      </c>
      <c r="D29" s="181">
        <v>13</v>
      </c>
      <c r="E29" s="182">
        <v>1</v>
      </c>
      <c r="F29" s="332">
        <v>97</v>
      </c>
      <c r="G29" s="184">
        <v>2366264.44</v>
      </c>
      <c r="H29" s="185">
        <v>305340</v>
      </c>
      <c r="I29" s="329" t="s">
        <v>173</v>
      </c>
      <c r="J29" s="187">
        <v>1184103</v>
      </c>
      <c r="K29" s="188">
        <v>153581</v>
      </c>
      <c r="L29" s="189">
        <f t="shared" si="0"/>
        <v>0.5029835593109321</v>
      </c>
      <c r="M29" s="183">
        <v>4</v>
      </c>
      <c r="N29" s="184">
        <v>576762</v>
      </c>
      <c r="O29" s="190">
        <v>62645</v>
      </c>
      <c r="P29" s="191">
        <f t="shared" si="1"/>
        <v>0.20516473439444555</v>
      </c>
      <c r="Q29" s="178">
        <v>14</v>
      </c>
      <c r="R29" s="187">
        <v>22018.5</v>
      </c>
      <c r="S29" s="188">
        <v>5225</v>
      </c>
      <c r="T29" s="189">
        <f t="shared" si="2"/>
        <v>0.01711207178882557</v>
      </c>
      <c r="U29" s="288" t="s">
        <v>398</v>
      </c>
      <c r="V29" s="190">
        <v>95387</v>
      </c>
      <c r="W29" s="191">
        <f t="shared" si="3"/>
        <v>0.3123960175542019</v>
      </c>
    </row>
    <row r="30" spans="1:23" ht="14.25" thickBot="1">
      <c r="A30" s="178">
        <v>30</v>
      </c>
      <c r="B30" s="179" t="s">
        <v>278</v>
      </c>
      <c r="C30" s="180" t="s">
        <v>381</v>
      </c>
      <c r="D30" s="181">
        <v>12</v>
      </c>
      <c r="E30" s="182">
        <v>2</v>
      </c>
      <c r="F30" s="332">
        <v>98</v>
      </c>
      <c r="G30" s="184">
        <v>1851045.14</v>
      </c>
      <c r="H30" s="185">
        <v>245221</v>
      </c>
      <c r="I30" s="329" t="s">
        <v>173</v>
      </c>
      <c r="J30" s="187">
        <v>692695</v>
      </c>
      <c r="K30" s="188">
        <v>94205</v>
      </c>
      <c r="L30" s="189">
        <f t="shared" si="0"/>
        <v>0.38416367276864544</v>
      </c>
      <c r="M30" s="183">
        <v>4</v>
      </c>
      <c r="N30" s="184">
        <v>183700</v>
      </c>
      <c r="O30" s="190">
        <v>19141</v>
      </c>
      <c r="P30" s="191">
        <f t="shared" si="1"/>
        <v>0.07805612080531439</v>
      </c>
      <c r="Q30" s="178">
        <v>11</v>
      </c>
      <c r="R30" s="187">
        <v>31915</v>
      </c>
      <c r="S30" s="188">
        <v>8107</v>
      </c>
      <c r="T30" s="189">
        <f t="shared" si="2"/>
        <v>0.033059974472006884</v>
      </c>
      <c r="U30" s="288" t="s">
        <v>398</v>
      </c>
      <c r="V30" s="190">
        <v>57277</v>
      </c>
      <c r="W30" s="191">
        <f t="shared" si="3"/>
        <v>0.23357298110683833</v>
      </c>
    </row>
    <row r="31" spans="1:23" ht="14.25" thickBot="1">
      <c r="A31" s="178">
        <v>31</v>
      </c>
      <c r="B31" s="179" t="s">
        <v>472</v>
      </c>
      <c r="C31" s="180" t="s">
        <v>473</v>
      </c>
      <c r="D31" s="181">
        <v>12</v>
      </c>
      <c r="E31" s="182">
        <v>2</v>
      </c>
      <c r="F31" s="332">
        <v>105</v>
      </c>
      <c r="G31" s="184">
        <v>1947547.75</v>
      </c>
      <c r="H31" s="185">
        <v>260181</v>
      </c>
      <c r="I31" s="330" t="s">
        <v>91</v>
      </c>
      <c r="J31" s="187">
        <v>798508.5</v>
      </c>
      <c r="K31" s="188">
        <v>103044</v>
      </c>
      <c r="L31" s="189">
        <f t="shared" si="0"/>
        <v>0.39604736702526316</v>
      </c>
      <c r="M31" s="183">
        <v>4</v>
      </c>
      <c r="N31" s="184">
        <v>683246.5</v>
      </c>
      <c r="O31" s="190">
        <v>80503</v>
      </c>
      <c r="P31" s="191">
        <f t="shared" si="1"/>
        <v>0.3094115250537126</v>
      </c>
      <c r="Q31" s="178">
        <v>12</v>
      </c>
      <c r="R31" s="187">
        <v>90904</v>
      </c>
      <c r="S31" s="188">
        <v>19555</v>
      </c>
      <c r="T31" s="189">
        <f t="shared" si="2"/>
        <v>0.07515921608418755</v>
      </c>
      <c r="U31" s="288" t="s">
        <v>488</v>
      </c>
      <c r="V31" s="190">
        <v>62237</v>
      </c>
      <c r="W31" s="191">
        <f t="shared" si="3"/>
        <v>0.23920655236162516</v>
      </c>
    </row>
    <row r="32" spans="1:23" ht="14.25" thickBot="1">
      <c r="A32" s="178">
        <v>32</v>
      </c>
      <c r="B32" s="179" t="s">
        <v>489</v>
      </c>
      <c r="C32" s="180" t="s">
        <v>473</v>
      </c>
      <c r="D32" s="181">
        <v>12</v>
      </c>
      <c r="E32" s="182">
        <v>2</v>
      </c>
      <c r="F32" s="332">
        <v>111</v>
      </c>
      <c r="G32" s="184">
        <v>1987638</v>
      </c>
      <c r="H32" s="185">
        <v>254815</v>
      </c>
      <c r="I32" s="329" t="s">
        <v>173</v>
      </c>
      <c r="J32" s="187">
        <v>530409</v>
      </c>
      <c r="K32" s="188">
        <v>69371</v>
      </c>
      <c r="L32" s="189">
        <f t="shared" si="0"/>
        <v>0.27224064517394975</v>
      </c>
      <c r="M32" s="183">
        <v>6</v>
      </c>
      <c r="N32" s="184">
        <v>844484</v>
      </c>
      <c r="O32" s="190">
        <v>92210</v>
      </c>
      <c r="P32" s="191">
        <f t="shared" si="1"/>
        <v>0.36187037654769144</v>
      </c>
      <c r="Q32" s="178">
        <v>21</v>
      </c>
      <c r="R32" s="187">
        <v>40319.5</v>
      </c>
      <c r="S32" s="188">
        <v>9850</v>
      </c>
      <c r="T32" s="189">
        <f t="shared" si="2"/>
        <v>0.03865549516315758</v>
      </c>
      <c r="U32" s="288" t="s">
        <v>488</v>
      </c>
      <c r="V32" s="190">
        <v>38008</v>
      </c>
      <c r="W32" s="191">
        <f t="shared" si="3"/>
        <v>0.1491591939250044</v>
      </c>
    </row>
    <row r="33" spans="1:23" ht="14.25" thickBot="1">
      <c r="A33" s="178">
        <v>33</v>
      </c>
      <c r="B33" s="179" t="s">
        <v>537</v>
      </c>
      <c r="C33" s="180" t="s">
        <v>473</v>
      </c>
      <c r="D33" s="181">
        <v>12</v>
      </c>
      <c r="E33" s="182">
        <v>2</v>
      </c>
      <c r="F33" s="332">
        <v>100</v>
      </c>
      <c r="G33" s="184">
        <v>3867406.97</v>
      </c>
      <c r="H33" s="185">
        <v>508040</v>
      </c>
      <c r="I33" s="328" t="s">
        <v>172</v>
      </c>
      <c r="J33" s="187">
        <v>2874285</v>
      </c>
      <c r="K33" s="188">
        <v>367194</v>
      </c>
      <c r="L33" s="189">
        <f t="shared" si="0"/>
        <v>0.7227659239429967</v>
      </c>
      <c r="M33" s="183">
        <v>1</v>
      </c>
      <c r="N33" s="184">
        <v>2602908</v>
      </c>
      <c r="O33" s="190">
        <v>336478</v>
      </c>
      <c r="P33" s="191">
        <f t="shared" si="1"/>
        <v>0.6623061176285332</v>
      </c>
      <c r="Q33" s="178">
        <v>18</v>
      </c>
      <c r="R33" s="187">
        <v>68039.5</v>
      </c>
      <c r="S33" s="188">
        <v>17209</v>
      </c>
      <c r="T33" s="189">
        <f t="shared" si="2"/>
        <v>0.033873317061648686</v>
      </c>
      <c r="U33" s="288" t="s">
        <v>548</v>
      </c>
      <c r="V33" s="190">
        <v>336478</v>
      </c>
      <c r="W33" s="191">
        <f t="shared" si="3"/>
        <v>0.6623061176285332</v>
      </c>
    </row>
    <row r="34" spans="1:23" ht="14.25" thickBot="1">
      <c r="A34" s="178">
        <v>34</v>
      </c>
      <c r="B34" s="179" t="s">
        <v>552</v>
      </c>
      <c r="C34" s="180" t="s">
        <v>473</v>
      </c>
      <c r="D34" s="181">
        <v>13</v>
      </c>
      <c r="E34" s="182">
        <v>1</v>
      </c>
      <c r="F34" s="332">
        <v>89</v>
      </c>
      <c r="G34" s="184">
        <v>2583438</v>
      </c>
      <c r="H34" s="185">
        <v>338063</v>
      </c>
      <c r="I34" s="328" t="s">
        <v>172</v>
      </c>
      <c r="J34" s="187">
        <v>1266733</v>
      </c>
      <c r="K34" s="188">
        <v>164263</v>
      </c>
      <c r="L34" s="189">
        <f t="shared" si="0"/>
        <v>0.4858946409397065</v>
      </c>
      <c r="M34" s="183">
        <v>3</v>
      </c>
      <c r="N34" s="184">
        <v>693182.5</v>
      </c>
      <c r="O34" s="190">
        <v>80019</v>
      </c>
      <c r="P34" s="191">
        <f t="shared" si="1"/>
        <v>0.2366984851935882</v>
      </c>
      <c r="Q34" s="178">
        <v>13</v>
      </c>
      <c r="R34" s="187">
        <v>26670.5</v>
      </c>
      <c r="S34" s="188">
        <v>5882</v>
      </c>
      <c r="T34" s="189">
        <f t="shared" si="2"/>
        <v>0.01739912383194848</v>
      </c>
      <c r="U34" s="288" t="s">
        <v>548</v>
      </c>
      <c r="V34" s="190">
        <v>141879</v>
      </c>
      <c r="W34" s="191">
        <f t="shared" si="3"/>
        <v>0.41968213025382844</v>
      </c>
    </row>
    <row r="35" spans="1:23" ht="14.25" thickBot="1">
      <c r="A35" s="178"/>
      <c r="B35" s="179"/>
      <c r="C35" s="180"/>
      <c r="D35" s="181"/>
      <c r="E35" s="182"/>
      <c r="F35" s="332"/>
      <c r="G35" s="184"/>
      <c r="H35" s="185"/>
      <c r="I35" s="186"/>
      <c r="J35" s="187"/>
      <c r="K35" s="188"/>
      <c r="L35" s="189"/>
      <c r="M35" s="183"/>
      <c r="N35" s="184"/>
      <c r="O35" s="190"/>
      <c r="P35" s="191"/>
      <c r="Q35" s="178"/>
      <c r="R35" s="187"/>
      <c r="S35" s="188"/>
      <c r="T35" s="189"/>
      <c r="U35" s="192"/>
      <c r="V35" s="190"/>
      <c r="W35" s="191"/>
    </row>
    <row r="36" spans="1:23" ht="14.25" thickBot="1">
      <c r="A36" s="178"/>
      <c r="B36" s="179"/>
      <c r="C36" s="180"/>
      <c r="D36" s="181"/>
      <c r="E36" s="182"/>
      <c r="F36" s="332"/>
      <c r="G36" s="184"/>
      <c r="H36" s="185"/>
      <c r="I36" s="186"/>
      <c r="J36" s="187"/>
      <c r="K36" s="188"/>
      <c r="L36" s="189"/>
      <c r="M36" s="183"/>
      <c r="N36" s="184"/>
      <c r="O36" s="190"/>
      <c r="P36" s="191"/>
      <c r="Q36" s="178"/>
      <c r="R36" s="187"/>
      <c r="S36" s="188"/>
      <c r="T36" s="189"/>
      <c r="U36" s="192"/>
      <c r="V36" s="190"/>
      <c r="W36" s="191"/>
    </row>
    <row r="37" spans="1:23" ht="14.25" thickBot="1">
      <c r="A37" s="178"/>
      <c r="B37" s="179"/>
      <c r="C37" s="180"/>
      <c r="D37" s="181"/>
      <c r="E37" s="182"/>
      <c r="F37" s="332"/>
      <c r="G37" s="184"/>
      <c r="H37" s="185"/>
      <c r="I37" s="186"/>
      <c r="J37" s="187"/>
      <c r="K37" s="188"/>
      <c r="L37" s="189"/>
      <c r="M37" s="183"/>
      <c r="N37" s="184"/>
      <c r="O37" s="190"/>
      <c r="P37" s="191"/>
      <c r="Q37" s="178"/>
      <c r="R37" s="187"/>
      <c r="S37" s="188"/>
      <c r="T37" s="189"/>
      <c r="U37" s="192"/>
      <c r="V37" s="190"/>
      <c r="W37" s="191"/>
    </row>
    <row r="38" spans="1:23" ht="14.25" thickBot="1">
      <c r="A38" s="178"/>
      <c r="B38" s="179"/>
      <c r="C38" s="180"/>
      <c r="D38" s="181"/>
      <c r="E38" s="182"/>
      <c r="F38" s="332"/>
      <c r="G38" s="184"/>
      <c r="H38" s="185"/>
      <c r="I38" s="186"/>
      <c r="J38" s="187"/>
      <c r="K38" s="188"/>
      <c r="L38" s="189"/>
      <c r="M38" s="183"/>
      <c r="N38" s="184"/>
      <c r="O38" s="190"/>
      <c r="P38" s="191"/>
      <c r="Q38" s="178"/>
      <c r="R38" s="187"/>
      <c r="S38" s="188"/>
      <c r="T38" s="189"/>
      <c r="U38" s="192"/>
      <c r="V38" s="190"/>
      <c r="W38" s="191"/>
    </row>
    <row r="39" spans="1:23" ht="14.25" thickBot="1">
      <c r="A39" s="178"/>
      <c r="B39" s="179"/>
      <c r="C39" s="180"/>
      <c r="D39" s="181"/>
      <c r="E39" s="182"/>
      <c r="F39" s="332"/>
      <c r="G39" s="184"/>
      <c r="H39" s="185"/>
      <c r="I39" s="186"/>
      <c r="J39" s="187"/>
      <c r="K39" s="188"/>
      <c r="L39" s="189"/>
      <c r="M39" s="183"/>
      <c r="N39" s="184"/>
      <c r="O39" s="190"/>
      <c r="P39" s="191"/>
      <c r="Q39" s="178"/>
      <c r="R39" s="187"/>
      <c r="S39" s="188"/>
      <c r="T39" s="189"/>
      <c r="U39" s="192"/>
      <c r="V39" s="190"/>
      <c r="W39" s="191"/>
    </row>
    <row r="40" spans="1:23" ht="14.25" thickBot="1">
      <c r="A40" s="178"/>
      <c r="B40" s="179"/>
      <c r="C40" s="180"/>
      <c r="D40" s="181"/>
      <c r="E40" s="182"/>
      <c r="F40" s="332"/>
      <c r="G40" s="184"/>
      <c r="H40" s="185"/>
      <c r="I40" s="186"/>
      <c r="J40" s="187"/>
      <c r="K40" s="188"/>
      <c r="L40" s="189"/>
      <c r="M40" s="183"/>
      <c r="N40" s="184"/>
      <c r="O40" s="190"/>
      <c r="P40" s="191"/>
      <c r="Q40" s="178"/>
      <c r="R40" s="187"/>
      <c r="S40" s="188"/>
      <c r="T40" s="189"/>
      <c r="U40" s="192"/>
      <c r="V40" s="190"/>
      <c r="W40" s="191"/>
    </row>
    <row r="41" spans="1:23" ht="14.25" hidden="1" thickBot="1">
      <c r="A41" s="178"/>
      <c r="B41" s="179"/>
      <c r="C41" s="180"/>
      <c r="D41" s="181"/>
      <c r="E41" s="182"/>
      <c r="F41" s="332"/>
      <c r="G41" s="184"/>
      <c r="H41" s="185"/>
      <c r="I41" s="186"/>
      <c r="J41" s="187"/>
      <c r="K41" s="188"/>
      <c r="L41" s="189"/>
      <c r="M41" s="183"/>
      <c r="N41" s="184"/>
      <c r="O41" s="190"/>
      <c r="P41" s="191"/>
      <c r="Q41" s="178"/>
      <c r="R41" s="187"/>
      <c r="S41" s="188"/>
      <c r="T41" s="189"/>
      <c r="U41" s="192"/>
      <c r="V41" s="190"/>
      <c r="W41" s="191"/>
    </row>
    <row r="42" spans="1:23" ht="14.25" hidden="1" thickBot="1">
      <c r="A42" s="178"/>
      <c r="B42" s="179"/>
      <c r="C42" s="180"/>
      <c r="D42" s="181"/>
      <c r="E42" s="182"/>
      <c r="F42" s="332"/>
      <c r="G42" s="184"/>
      <c r="H42" s="185"/>
      <c r="I42" s="186"/>
      <c r="J42" s="187"/>
      <c r="K42" s="188"/>
      <c r="L42" s="189"/>
      <c r="M42" s="183"/>
      <c r="N42" s="184"/>
      <c r="O42" s="190"/>
      <c r="P42" s="191"/>
      <c r="Q42" s="178"/>
      <c r="R42" s="187"/>
      <c r="S42" s="188"/>
      <c r="T42" s="189"/>
      <c r="U42" s="192"/>
      <c r="V42" s="190"/>
      <c r="W42" s="191"/>
    </row>
    <row r="43" spans="1:23" ht="14.25" hidden="1" thickBot="1">
      <c r="A43" s="178"/>
      <c r="B43" s="179"/>
      <c r="C43" s="180"/>
      <c r="D43" s="181"/>
      <c r="E43" s="182"/>
      <c r="F43" s="332"/>
      <c r="G43" s="184"/>
      <c r="H43" s="185"/>
      <c r="I43" s="186"/>
      <c r="J43" s="187"/>
      <c r="K43" s="188"/>
      <c r="L43" s="189"/>
      <c r="M43" s="183"/>
      <c r="N43" s="184"/>
      <c r="O43" s="190"/>
      <c r="P43" s="191"/>
      <c r="Q43" s="178"/>
      <c r="R43" s="187"/>
      <c r="S43" s="188"/>
      <c r="T43" s="189"/>
      <c r="U43" s="192"/>
      <c r="V43" s="190"/>
      <c r="W43" s="191"/>
    </row>
    <row r="44" spans="1:23" ht="14.25" hidden="1" thickBot="1">
      <c r="A44" s="178"/>
      <c r="B44" s="179"/>
      <c r="C44" s="180"/>
      <c r="D44" s="181"/>
      <c r="E44" s="182"/>
      <c r="F44" s="332"/>
      <c r="G44" s="184"/>
      <c r="H44" s="185"/>
      <c r="I44" s="186"/>
      <c r="J44" s="187"/>
      <c r="K44" s="188"/>
      <c r="L44" s="189"/>
      <c r="M44" s="183"/>
      <c r="N44" s="184"/>
      <c r="O44" s="190"/>
      <c r="P44" s="191"/>
      <c r="Q44" s="178"/>
      <c r="R44" s="187"/>
      <c r="S44" s="188"/>
      <c r="T44" s="189"/>
      <c r="U44" s="192"/>
      <c r="V44" s="190"/>
      <c r="W44" s="191"/>
    </row>
    <row r="45" spans="1:23" ht="14.25" hidden="1" thickBot="1">
      <c r="A45" s="178"/>
      <c r="B45" s="179"/>
      <c r="C45" s="180"/>
      <c r="D45" s="181"/>
      <c r="E45" s="182"/>
      <c r="F45" s="332"/>
      <c r="G45" s="184"/>
      <c r="H45" s="185"/>
      <c r="I45" s="186"/>
      <c r="J45" s="187"/>
      <c r="K45" s="188"/>
      <c r="L45" s="189"/>
      <c r="M45" s="183"/>
      <c r="N45" s="184"/>
      <c r="O45" s="190"/>
      <c r="P45" s="191"/>
      <c r="Q45" s="178"/>
      <c r="R45" s="187"/>
      <c r="S45" s="188"/>
      <c r="T45" s="189"/>
      <c r="U45" s="192"/>
      <c r="V45" s="190"/>
      <c r="W45" s="191"/>
    </row>
    <row r="46" spans="1:23" ht="14.25" hidden="1" thickBot="1">
      <c r="A46" s="178"/>
      <c r="B46" s="179"/>
      <c r="C46" s="180"/>
      <c r="D46" s="181"/>
      <c r="E46" s="182"/>
      <c r="F46" s="332"/>
      <c r="G46" s="184"/>
      <c r="H46" s="185"/>
      <c r="I46" s="186"/>
      <c r="J46" s="187"/>
      <c r="K46" s="188"/>
      <c r="L46" s="189"/>
      <c r="M46" s="183"/>
      <c r="N46" s="184"/>
      <c r="O46" s="190"/>
      <c r="P46" s="191"/>
      <c r="Q46" s="178"/>
      <c r="R46" s="187"/>
      <c r="S46" s="188"/>
      <c r="T46" s="189"/>
      <c r="U46" s="192"/>
      <c r="V46" s="190"/>
      <c r="W46" s="191"/>
    </row>
    <row r="47" spans="1:23" ht="14.25" hidden="1" thickBot="1">
      <c r="A47" s="178"/>
      <c r="B47" s="179"/>
      <c r="C47" s="180"/>
      <c r="D47" s="181"/>
      <c r="E47" s="182"/>
      <c r="F47" s="332"/>
      <c r="G47" s="184"/>
      <c r="H47" s="185"/>
      <c r="I47" s="186"/>
      <c r="J47" s="187"/>
      <c r="K47" s="188"/>
      <c r="L47" s="189"/>
      <c r="M47" s="183"/>
      <c r="N47" s="184"/>
      <c r="O47" s="190"/>
      <c r="P47" s="191"/>
      <c r="Q47" s="178"/>
      <c r="R47" s="187"/>
      <c r="S47" s="188"/>
      <c r="T47" s="189"/>
      <c r="U47" s="192"/>
      <c r="V47" s="190"/>
      <c r="W47" s="191"/>
    </row>
    <row r="48" spans="1:23" ht="14.25" hidden="1" thickBot="1">
      <c r="A48" s="178"/>
      <c r="B48" s="179"/>
      <c r="C48" s="180"/>
      <c r="D48" s="181"/>
      <c r="E48" s="182"/>
      <c r="F48" s="332"/>
      <c r="G48" s="184"/>
      <c r="H48" s="185"/>
      <c r="I48" s="186"/>
      <c r="J48" s="187"/>
      <c r="K48" s="188"/>
      <c r="L48" s="189"/>
      <c r="M48" s="183"/>
      <c r="N48" s="184"/>
      <c r="O48" s="190"/>
      <c r="P48" s="191"/>
      <c r="Q48" s="178"/>
      <c r="R48" s="187"/>
      <c r="S48" s="188"/>
      <c r="T48" s="189"/>
      <c r="U48" s="192"/>
      <c r="V48" s="190"/>
      <c r="W48" s="191"/>
    </row>
    <row r="49" spans="1:23" ht="14.25" hidden="1" thickBot="1">
      <c r="A49" s="178"/>
      <c r="B49" s="179"/>
      <c r="C49" s="180"/>
      <c r="D49" s="181"/>
      <c r="E49" s="182"/>
      <c r="F49" s="332"/>
      <c r="G49" s="184"/>
      <c r="H49" s="185"/>
      <c r="I49" s="186"/>
      <c r="J49" s="187"/>
      <c r="K49" s="188"/>
      <c r="L49" s="189"/>
      <c r="M49" s="183"/>
      <c r="N49" s="184"/>
      <c r="O49" s="190"/>
      <c r="P49" s="191"/>
      <c r="Q49" s="178"/>
      <c r="R49" s="187"/>
      <c r="S49" s="188"/>
      <c r="T49" s="189"/>
      <c r="U49" s="192"/>
      <c r="V49" s="190"/>
      <c r="W49" s="191"/>
    </row>
    <row r="50" spans="1:23" ht="14.25" hidden="1" thickBot="1">
      <c r="A50" s="178"/>
      <c r="B50" s="179"/>
      <c r="C50" s="180"/>
      <c r="D50" s="181"/>
      <c r="E50" s="182"/>
      <c r="F50" s="332"/>
      <c r="G50" s="184"/>
      <c r="H50" s="185"/>
      <c r="I50" s="186"/>
      <c r="J50" s="187"/>
      <c r="K50" s="188"/>
      <c r="L50" s="189"/>
      <c r="M50" s="183"/>
      <c r="N50" s="184"/>
      <c r="O50" s="190"/>
      <c r="P50" s="191"/>
      <c r="Q50" s="178"/>
      <c r="R50" s="187"/>
      <c r="S50" s="188"/>
      <c r="T50" s="189"/>
      <c r="U50" s="192"/>
      <c r="V50" s="190"/>
      <c r="W50" s="191"/>
    </row>
    <row r="51" spans="1:23" ht="14.25" hidden="1" thickBot="1">
      <c r="A51" s="178"/>
      <c r="B51" s="179"/>
      <c r="C51" s="180"/>
      <c r="D51" s="181"/>
      <c r="E51" s="182"/>
      <c r="F51" s="332"/>
      <c r="G51" s="184"/>
      <c r="H51" s="185"/>
      <c r="I51" s="186"/>
      <c r="J51" s="187"/>
      <c r="K51" s="188"/>
      <c r="L51" s="189"/>
      <c r="M51" s="183"/>
      <c r="N51" s="184"/>
      <c r="O51" s="190"/>
      <c r="P51" s="191"/>
      <c r="Q51" s="178"/>
      <c r="R51" s="187"/>
      <c r="S51" s="188"/>
      <c r="T51" s="189"/>
      <c r="U51" s="192"/>
      <c r="V51" s="190"/>
      <c r="W51" s="191"/>
    </row>
    <row r="52" spans="1:23" ht="14.25" hidden="1" thickBot="1">
      <c r="A52" s="178"/>
      <c r="B52" s="179"/>
      <c r="C52" s="180"/>
      <c r="D52" s="181"/>
      <c r="E52" s="182"/>
      <c r="F52" s="332"/>
      <c r="G52" s="184"/>
      <c r="H52" s="185"/>
      <c r="I52" s="186"/>
      <c r="J52" s="187"/>
      <c r="K52" s="188"/>
      <c r="L52" s="189"/>
      <c r="M52" s="183"/>
      <c r="N52" s="184"/>
      <c r="O52" s="190"/>
      <c r="P52" s="191"/>
      <c r="Q52" s="178"/>
      <c r="R52" s="187"/>
      <c r="S52" s="188"/>
      <c r="T52" s="189"/>
      <c r="U52" s="192"/>
      <c r="V52" s="190"/>
      <c r="W52" s="191"/>
    </row>
    <row r="53" spans="1:23" ht="14.25" hidden="1" thickBot="1">
      <c r="A53" s="178"/>
      <c r="B53" s="179"/>
      <c r="C53" s="180"/>
      <c r="D53" s="181"/>
      <c r="E53" s="182"/>
      <c r="F53" s="332"/>
      <c r="G53" s="184"/>
      <c r="H53" s="185"/>
      <c r="I53" s="186"/>
      <c r="J53" s="187"/>
      <c r="K53" s="188"/>
      <c r="L53" s="189"/>
      <c r="M53" s="183"/>
      <c r="N53" s="184"/>
      <c r="O53" s="190"/>
      <c r="P53" s="191"/>
      <c r="Q53" s="178"/>
      <c r="R53" s="187"/>
      <c r="S53" s="188"/>
      <c r="T53" s="189"/>
      <c r="U53" s="192"/>
      <c r="V53" s="190"/>
      <c r="W53" s="191"/>
    </row>
    <row r="54" spans="1:23" ht="14.25" hidden="1" thickBot="1">
      <c r="A54" s="178"/>
      <c r="B54" s="179"/>
      <c r="C54" s="180"/>
      <c r="D54" s="181"/>
      <c r="E54" s="182"/>
      <c r="F54" s="332"/>
      <c r="G54" s="184"/>
      <c r="H54" s="185"/>
      <c r="I54" s="186"/>
      <c r="J54" s="187"/>
      <c r="K54" s="188"/>
      <c r="L54" s="189"/>
      <c r="M54" s="183"/>
      <c r="N54" s="184"/>
      <c r="O54" s="190"/>
      <c r="P54" s="191"/>
      <c r="Q54" s="178"/>
      <c r="R54" s="187"/>
      <c r="S54" s="188"/>
      <c r="T54" s="189"/>
      <c r="U54" s="192"/>
      <c r="V54" s="190"/>
      <c r="W54" s="191"/>
    </row>
    <row r="55" spans="1:23" ht="14.25" hidden="1" thickBot="1">
      <c r="A55" s="178"/>
      <c r="B55" s="179"/>
      <c r="C55" s="180"/>
      <c r="D55" s="181"/>
      <c r="E55" s="182"/>
      <c r="F55" s="332"/>
      <c r="G55" s="184"/>
      <c r="H55" s="185"/>
      <c r="I55" s="186"/>
      <c r="J55" s="187"/>
      <c r="K55" s="188"/>
      <c r="L55" s="189"/>
      <c r="M55" s="183"/>
      <c r="N55" s="184"/>
      <c r="O55" s="190"/>
      <c r="P55" s="191"/>
      <c r="Q55" s="178"/>
      <c r="R55" s="187"/>
      <c r="S55" s="188"/>
      <c r="T55" s="189"/>
      <c r="U55" s="192"/>
      <c r="V55" s="190"/>
      <c r="W55" s="191"/>
    </row>
    <row r="56" spans="1:23" ht="14.25" hidden="1" thickBot="1">
      <c r="A56" s="178"/>
      <c r="B56" s="179"/>
      <c r="C56" s="180"/>
      <c r="D56" s="181"/>
      <c r="E56" s="182"/>
      <c r="F56" s="332"/>
      <c r="G56" s="184"/>
      <c r="H56" s="185"/>
      <c r="I56" s="186"/>
      <c r="J56" s="187"/>
      <c r="K56" s="188"/>
      <c r="L56" s="189"/>
      <c r="M56" s="183"/>
      <c r="N56" s="184"/>
      <c r="O56" s="190"/>
      <c r="P56" s="191"/>
      <c r="Q56" s="178"/>
      <c r="R56" s="187"/>
      <c r="S56" s="188"/>
      <c r="T56" s="189"/>
      <c r="U56" s="192"/>
      <c r="V56" s="190"/>
      <c r="W56" s="191"/>
    </row>
    <row r="57" spans="1:23" ht="14.25" hidden="1" thickBot="1">
      <c r="A57" s="178"/>
      <c r="B57" s="179"/>
      <c r="C57" s="180"/>
      <c r="D57" s="181"/>
      <c r="E57" s="182"/>
      <c r="F57" s="332"/>
      <c r="G57" s="184"/>
      <c r="H57" s="185"/>
      <c r="I57" s="186"/>
      <c r="J57" s="187"/>
      <c r="K57" s="188"/>
      <c r="L57" s="189"/>
      <c r="M57" s="183"/>
      <c r="N57" s="184"/>
      <c r="O57" s="190"/>
      <c r="P57" s="191"/>
      <c r="Q57" s="178"/>
      <c r="R57" s="187"/>
      <c r="S57" s="188"/>
      <c r="T57" s="189"/>
      <c r="U57" s="192"/>
      <c r="V57" s="190"/>
      <c r="W57" s="191"/>
    </row>
    <row r="58" spans="1:23" ht="14.25" hidden="1" thickBot="1">
      <c r="A58" s="178"/>
      <c r="B58" s="179"/>
      <c r="C58" s="180"/>
      <c r="D58" s="181"/>
      <c r="E58" s="182"/>
      <c r="F58" s="332"/>
      <c r="G58" s="184"/>
      <c r="H58" s="185"/>
      <c r="I58" s="186"/>
      <c r="J58" s="187"/>
      <c r="K58" s="188"/>
      <c r="L58" s="189"/>
      <c r="M58" s="183"/>
      <c r="N58" s="184"/>
      <c r="O58" s="190"/>
      <c r="P58" s="191"/>
      <c r="Q58" s="178"/>
      <c r="R58" s="187"/>
      <c r="S58" s="188"/>
      <c r="T58" s="189"/>
      <c r="U58" s="192"/>
      <c r="V58" s="190"/>
      <c r="W58" s="191"/>
    </row>
    <row r="59" spans="1:23" ht="14.25" hidden="1" thickBot="1">
      <c r="A59" s="178"/>
      <c r="B59" s="179"/>
      <c r="C59" s="180"/>
      <c r="D59" s="181"/>
      <c r="E59" s="182"/>
      <c r="F59" s="332"/>
      <c r="G59" s="184"/>
      <c r="H59" s="185"/>
      <c r="I59" s="186"/>
      <c r="J59" s="187"/>
      <c r="K59" s="188"/>
      <c r="L59" s="189"/>
      <c r="M59" s="183"/>
      <c r="N59" s="184"/>
      <c r="O59" s="190"/>
      <c r="P59" s="191"/>
      <c r="Q59" s="178"/>
      <c r="R59" s="187"/>
      <c r="S59" s="188"/>
      <c r="T59" s="189"/>
      <c r="U59" s="192"/>
      <c r="V59" s="190"/>
      <c r="W59" s="191"/>
    </row>
    <row r="60" spans="1:23" ht="14.25" hidden="1" thickBot="1">
      <c r="A60" s="178"/>
      <c r="B60" s="179"/>
      <c r="C60" s="180"/>
      <c r="D60" s="181"/>
      <c r="E60" s="182"/>
      <c r="F60" s="332"/>
      <c r="G60" s="184"/>
      <c r="H60" s="185"/>
      <c r="I60" s="186"/>
      <c r="J60" s="187"/>
      <c r="K60" s="188"/>
      <c r="L60" s="189"/>
      <c r="M60" s="183"/>
      <c r="N60" s="184"/>
      <c r="O60" s="190"/>
      <c r="P60" s="191"/>
      <c r="Q60" s="178"/>
      <c r="R60" s="187"/>
      <c r="S60" s="188"/>
      <c r="T60" s="189"/>
      <c r="U60" s="192"/>
      <c r="V60" s="190"/>
      <c r="W60" s="191"/>
    </row>
    <row r="61" spans="1:23" ht="14.25" hidden="1" thickBot="1">
      <c r="A61" s="178"/>
      <c r="B61" s="179"/>
      <c r="C61" s="180"/>
      <c r="D61" s="181"/>
      <c r="E61" s="182"/>
      <c r="F61" s="332"/>
      <c r="G61" s="184"/>
      <c r="H61" s="185"/>
      <c r="I61" s="186"/>
      <c r="J61" s="187"/>
      <c r="K61" s="188"/>
      <c r="L61" s="189"/>
      <c r="M61" s="183"/>
      <c r="N61" s="184"/>
      <c r="O61" s="190"/>
      <c r="P61" s="191"/>
      <c r="Q61" s="178"/>
      <c r="R61" s="187"/>
      <c r="S61" s="188"/>
      <c r="T61" s="189"/>
      <c r="U61" s="192"/>
      <c r="V61" s="190"/>
      <c r="W61" s="191"/>
    </row>
    <row r="62" spans="1:23" ht="14.25" hidden="1" thickBot="1">
      <c r="A62" s="178"/>
      <c r="B62" s="179"/>
      <c r="C62" s="180"/>
      <c r="D62" s="181"/>
      <c r="E62" s="182"/>
      <c r="F62" s="332"/>
      <c r="G62" s="184"/>
      <c r="H62" s="185"/>
      <c r="I62" s="186"/>
      <c r="J62" s="187"/>
      <c r="K62" s="188"/>
      <c r="L62" s="189"/>
      <c r="M62" s="183"/>
      <c r="N62" s="184"/>
      <c r="O62" s="190"/>
      <c r="P62" s="191"/>
      <c r="Q62" s="178"/>
      <c r="R62" s="187"/>
      <c r="S62" s="188"/>
      <c r="T62" s="189"/>
      <c r="U62" s="192"/>
      <c r="V62" s="190"/>
      <c r="W62" s="191"/>
    </row>
    <row r="63" spans="1:23" ht="14.25" hidden="1" thickBot="1">
      <c r="A63" s="178"/>
      <c r="B63" s="179"/>
      <c r="C63" s="180"/>
      <c r="D63" s="181"/>
      <c r="E63" s="182"/>
      <c r="F63" s="332"/>
      <c r="G63" s="184"/>
      <c r="H63" s="185"/>
      <c r="I63" s="186"/>
      <c r="J63" s="187"/>
      <c r="K63" s="188"/>
      <c r="L63" s="189"/>
      <c r="M63" s="183"/>
      <c r="N63" s="184"/>
      <c r="O63" s="190"/>
      <c r="P63" s="191"/>
      <c r="Q63" s="178"/>
      <c r="R63" s="187"/>
      <c r="S63" s="188"/>
      <c r="T63" s="189"/>
      <c r="U63" s="192"/>
      <c r="V63" s="190"/>
      <c r="W63" s="191"/>
    </row>
    <row r="64" spans="1:23" ht="14.25" hidden="1" thickBot="1">
      <c r="A64" s="178"/>
      <c r="B64" s="179"/>
      <c r="C64" s="180"/>
      <c r="D64" s="181"/>
      <c r="E64" s="182"/>
      <c r="F64" s="332"/>
      <c r="G64" s="184"/>
      <c r="H64" s="185"/>
      <c r="I64" s="186"/>
      <c r="J64" s="187"/>
      <c r="K64" s="188"/>
      <c r="L64" s="189"/>
      <c r="M64" s="183"/>
      <c r="N64" s="184"/>
      <c r="O64" s="190"/>
      <c r="P64" s="191"/>
      <c r="Q64" s="178"/>
      <c r="R64" s="187"/>
      <c r="S64" s="188"/>
      <c r="T64" s="189"/>
      <c r="U64" s="192"/>
      <c r="V64" s="190"/>
      <c r="W64" s="191"/>
    </row>
    <row r="65" spans="1:23" ht="14.25" hidden="1" thickBot="1">
      <c r="A65" s="178"/>
      <c r="B65" s="179"/>
      <c r="C65" s="180"/>
      <c r="D65" s="181"/>
      <c r="E65" s="182"/>
      <c r="F65" s="332"/>
      <c r="G65" s="184"/>
      <c r="H65" s="185"/>
      <c r="I65" s="186"/>
      <c r="J65" s="187"/>
      <c r="K65" s="188"/>
      <c r="L65" s="189"/>
      <c r="M65" s="183"/>
      <c r="N65" s="184"/>
      <c r="O65" s="190"/>
      <c r="P65" s="191"/>
      <c r="Q65" s="178"/>
      <c r="R65" s="187"/>
      <c r="S65" s="188"/>
      <c r="T65" s="189"/>
      <c r="U65" s="192"/>
      <c r="V65" s="190"/>
      <c r="W65" s="191"/>
    </row>
    <row r="66" spans="1:23" ht="14.25" hidden="1" thickBot="1">
      <c r="A66" s="178"/>
      <c r="B66" s="179"/>
      <c r="C66" s="180"/>
      <c r="D66" s="181"/>
      <c r="E66" s="182"/>
      <c r="F66" s="332"/>
      <c r="G66" s="184"/>
      <c r="H66" s="185"/>
      <c r="I66" s="186"/>
      <c r="J66" s="187"/>
      <c r="K66" s="188"/>
      <c r="L66" s="189"/>
      <c r="M66" s="183"/>
      <c r="N66" s="184"/>
      <c r="O66" s="190"/>
      <c r="P66" s="191"/>
      <c r="Q66" s="178"/>
      <c r="R66" s="187"/>
      <c r="S66" s="188"/>
      <c r="T66" s="189"/>
      <c r="U66" s="192"/>
      <c r="V66" s="190"/>
      <c r="W66" s="191"/>
    </row>
    <row r="67" spans="1:23" ht="14.25" hidden="1" thickBot="1">
      <c r="A67" s="178"/>
      <c r="B67" s="179"/>
      <c r="C67" s="180"/>
      <c r="D67" s="181"/>
      <c r="E67" s="182"/>
      <c r="F67" s="332"/>
      <c r="G67" s="184"/>
      <c r="H67" s="185"/>
      <c r="I67" s="186"/>
      <c r="J67" s="187"/>
      <c r="K67" s="188"/>
      <c r="L67" s="189"/>
      <c r="M67" s="183"/>
      <c r="N67" s="184"/>
      <c r="O67" s="190"/>
      <c r="P67" s="191"/>
      <c r="Q67" s="178"/>
      <c r="R67" s="187"/>
      <c r="S67" s="188"/>
      <c r="T67" s="189"/>
      <c r="U67" s="192"/>
      <c r="V67" s="190"/>
      <c r="W67" s="191"/>
    </row>
    <row r="68" spans="1:23" ht="14.25" hidden="1" thickBot="1">
      <c r="A68" s="178"/>
      <c r="B68" s="179"/>
      <c r="C68" s="180"/>
      <c r="D68" s="181"/>
      <c r="E68" s="182"/>
      <c r="F68" s="332"/>
      <c r="G68" s="184"/>
      <c r="H68" s="185"/>
      <c r="I68" s="186"/>
      <c r="J68" s="187"/>
      <c r="K68" s="188"/>
      <c r="L68" s="189"/>
      <c r="M68" s="183"/>
      <c r="N68" s="184"/>
      <c r="O68" s="190"/>
      <c r="P68" s="191"/>
      <c r="Q68" s="178"/>
      <c r="R68" s="187"/>
      <c r="S68" s="188"/>
      <c r="T68" s="189"/>
      <c r="U68" s="192"/>
      <c r="V68" s="190"/>
      <c r="W68" s="191"/>
    </row>
    <row r="69" spans="1:23" ht="14.25" hidden="1" thickBot="1">
      <c r="A69" s="178"/>
      <c r="B69" s="179"/>
      <c r="C69" s="180"/>
      <c r="D69" s="181"/>
      <c r="E69" s="182"/>
      <c r="F69" s="332"/>
      <c r="G69" s="184"/>
      <c r="H69" s="185"/>
      <c r="I69" s="186"/>
      <c r="J69" s="187"/>
      <c r="K69" s="188"/>
      <c r="L69" s="189"/>
      <c r="M69" s="183"/>
      <c r="N69" s="184"/>
      <c r="O69" s="190"/>
      <c r="P69" s="191"/>
      <c r="Q69" s="178"/>
      <c r="R69" s="187"/>
      <c r="S69" s="188"/>
      <c r="T69" s="189"/>
      <c r="U69" s="192"/>
      <c r="V69" s="190"/>
      <c r="W69" s="191"/>
    </row>
    <row r="70" spans="1:23" ht="14.25" hidden="1" thickBot="1">
      <c r="A70" s="178"/>
      <c r="B70" s="179"/>
      <c r="C70" s="180"/>
      <c r="D70" s="181"/>
      <c r="E70" s="182"/>
      <c r="F70" s="332"/>
      <c r="G70" s="184"/>
      <c r="H70" s="185"/>
      <c r="I70" s="186"/>
      <c r="J70" s="187"/>
      <c r="K70" s="188"/>
      <c r="L70" s="189"/>
      <c r="M70" s="183"/>
      <c r="N70" s="184"/>
      <c r="O70" s="190"/>
      <c r="P70" s="191"/>
      <c r="Q70" s="178"/>
      <c r="R70" s="187"/>
      <c r="S70" s="188"/>
      <c r="T70" s="189"/>
      <c r="U70" s="192"/>
      <c r="V70" s="190"/>
      <c r="W70" s="191"/>
    </row>
    <row r="71" spans="1:23" ht="14.25" hidden="1" thickBot="1">
      <c r="A71" s="178"/>
      <c r="B71" s="179"/>
      <c r="C71" s="180"/>
      <c r="D71" s="181"/>
      <c r="E71" s="182"/>
      <c r="F71" s="332"/>
      <c r="G71" s="184"/>
      <c r="H71" s="185"/>
      <c r="I71" s="186"/>
      <c r="J71" s="187"/>
      <c r="K71" s="188"/>
      <c r="L71" s="189"/>
      <c r="M71" s="183"/>
      <c r="N71" s="184"/>
      <c r="O71" s="190"/>
      <c r="P71" s="191"/>
      <c r="Q71" s="178"/>
      <c r="R71" s="187"/>
      <c r="S71" s="188"/>
      <c r="T71" s="189"/>
      <c r="U71" s="192"/>
      <c r="V71" s="190"/>
      <c r="W71" s="191"/>
    </row>
    <row r="72" spans="1:23" ht="14.25" hidden="1" thickBot="1">
      <c r="A72" s="178"/>
      <c r="B72" s="179"/>
      <c r="C72" s="180"/>
      <c r="D72" s="181"/>
      <c r="E72" s="182"/>
      <c r="F72" s="332"/>
      <c r="G72" s="184"/>
      <c r="H72" s="185"/>
      <c r="I72" s="186"/>
      <c r="J72" s="187"/>
      <c r="K72" s="188"/>
      <c r="L72" s="189"/>
      <c r="M72" s="183"/>
      <c r="N72" s="184"/>
      <c r="O72" s="190"/>
      <c r="P72" s="191"/>
      <c r="Q72" s="178"/>
      <c r="R72" s="187"/>
      <c r="S72" s="188"/>
      <c r="T72" s="189"/>
      <c r="U72" s="192"/>
      <c r="V72" s="190"/>
      <c r="W72" s="191"/>
    </row>
    <row r="73" spans="1:23" ht="14.25" hidden="1" thickBot="1">
      <c r="A73" s="178"/>
      <c r="B73" s="179"/>
      <c r="C73" s="180"/>
      <c r="D73" s="181"/>
      <c r="E73" s="182"/>
      <c r="F73" s="332"/>
      <c r="G73" s="184"/>
      <c r="H73" s="185"/>
      <c r="I73" s="186"/>
      <c r="J73" s="187"/>
      <c r="K73" s="188"/>
      <c r="L73" s="189"/>
      <c r="M73" s="183"/>
      <c r="N73" s="184"/>
      <c r="O73" s="190"/>
      <c r="P73" s="191"/>
      <c r="Q73" s="178"/>
      <c r="R73" s="187"/>
      <c r="S73" s="188"/>
      <c r="T73" s="189"/>
      <c r="U73" s="192"/>
      <c r="V73" s="190"/>
      <c r="W73" s="191"/>
    </row>
    <row r="74" spans="1:23" ht="14.25" hidden="1" thickBot="1">
      <c r="A74" s="178"/>
      <c r="B74" s="179"/>
      <c r="C74" s="180"/>
      <c r="D74" s="181"/>
      <c r="E74" s="182"/>
      <c r="F74" s="332"/>
      <c r="G74" s="184"/>
      <c r="H74" s="185"/>
      <c r="I74" s="186"/>
      <c r="J74" s="187"/>
      <c r="K74" s="188"/>
      <c r="L74" s="189"/>
      <c r="M74" s="183"/>
      <c r="N74" s="184"/>
      <c r="O74" s="190"/>
      <c r="P74" s="191"/>
      <c r="Q74" s="178"/>
      <c r="R74" s="187"/>
      <c r="S74" s="188"/>
      <c r="T74" s="189"/>
      <c r="U74" s="192"/>
      <c r="V74" s="190"/>
      <c r="W74" s="191"/>
    </row>
    <row r="75" spans="1:23" ht="14.25" thickBot="1">
      <c r="A75" s="178"/>
      <c r="B75" s="179"/>
      <c r="C75" s="180"/>
      <c r="D75" s="181"/>
      <c r="E75" s="182"/>
      <c r="F75" s="332"/>
      <c r="G75" s="184"/>
      <c r="H75" s="185"/>
      <c r="I75" s="186"/>
      <c r="J75" s="187"/>
      <c r="K75" s="188"/>
      <c r="L75" s="189"/>
      <c r="M75" s="183"/>
      <c r="N75" s="184"/>
      <c r="O75" s="190"/>
      <c r="P75" s="191"/>
      <c r="Q75" s="178"/>
      <c r="R75" s="187"/>
      <c r="S75" s="188"/>
      <c r="T75" s="189"/>
      <c r="U75" s="192"/>
      <c r="V75" s="190"/>
      <c r="W75" s="191"/>
    </row>
    <row r="77" spans="1:23" ht="14.25" thickBot="1">
      <c r="A77" s="567">
        <v>2007</v>
      </c>
      <c r="B77" s="568"/>
      <c r="C77" s="568"/>
      <c r="D77" s="568"/>
      <c r="E77" s="568"/>
      <c r="F77" s="197">
        <f>SUM(F1:F76)</f>
        <v>2605</v>
      </c>
      <c r="G77" s="196">
        <f>SUM(G1:G76)</f>
        <v>155487075.16</v>
      </c>
      <c r="H77" s="197">
        <f>SUM(H1:H76)</f>
        <v>20326578</v>
      </c>
      <c r="I77" s="270">
        <f>G77/H77</f>
        <v>7.6494467076553665</v>
      </c>
      <c r="J77" s="198"/>
      <c r="K77" s="199"/>
      <c r="L77" s="200"/>
      <c r="M77" s="195"/>
      <c r="N77" s="196"/>
      <c r="O77" s="197"/>
      <c r="P77" s="201"/>
      <c r="Q77" s="194"/>
      <c r="R77" s="198">
        <f>SUM(R1:R76)</f>
        <v>51639291.5</v>
      </c>
      <c r="S77" s="199">
        <f>SUM(S1:S76)</f>
        <v>7366516</v>
      </c>
      <c r="T77" s="200">
        <f>SUM(S77/H77)</f>
        <v>0.36240807478760073</v>
      </c>
      <c r="U77" s="202"/>
      <c r="V77" s="197"/>
      <c r="W77" s="201"/>
    </row>
    <row r="78" spans="1:23" s="265" customFormat="1" ht="14.25" thickBot="1">
      <c r="A78" s="569" t="s">
        <v>428</v>
      </c>
      <c r="B78" s="570"/>
      <c r="C78" s="570"/>
      <c r="D78" s="570"/>
      <c r="E78" s="570"/>
      <c r="F78" s="258">
        <v>2540</v>
      </c>
      <c r="G78" s="257">
        <v>165035398.26</v>
      </c>
      <c r="H78" s="258">
        <v>24414496</v>
      </c>
      <c r="I78" s="271">
        <f>G78/H78</f>
        <v>6.759729885884189</v>
      </c>
      <c r="J78" s="259"/>
      <c r="K78" s="260"/>
      <c r="L78" s="261"/>
      <c r="M78" s="256"/>
      <c r="N78" s="257"/>
      <c r="O78" s="258"/>
      <c r="P78" s="262"/>
      <c r="Q78" s="263"/>
      <c r="R78" s="259">
        <v>82359539</v>
      </c>
      <c r="S78" s="260">
        <v>12933348</v>
      </c>
      <c r="T78" s="261">
        <f>SUM(S78/H78)</f>
        <v>0.5297405279224278</v>
      </c>
      <c r="U78" s="264"/>
      <c r="V78" s="258"/>
      <c r="W78" s="262"/>
    </row>
  </sheetData>
  <sheetProtection/>
  <mergeCells count="2">
    <mergeCell ref="A77:E77"/>
    <mergeCell ref="A78:E78"/>
  </mergeCells>
  <printOptions/>
  <pageMargins left="0.75" right="0.75" top="1" bottom="1" header="0.5" footer="0.5"/>
  <pageSetup orientation="portrait" paperSize="9"/>
  <ignoredErrors>
    <ignoredError sqref="B3 B7 B11 B20 B24 B33" twoDigitTextYear="1"/>
    <ignoredError sqref="H79:H80 G79:G80 H77 F79:F80 F77 G77 I77:Q80 R79:R80 R77 T77:U80 S77 S79:S80" emptyCellReferenc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2007-07-05T09:40:17Z</cp:lastPrinted>
  <dcterms:created xsi:type="dcterms:W3CDTF">2006-03-17T12:24:26Z</dcterms:created>
  <dcterms:modified xsi:type="dcterms:W3CDTF">2007-08-24T20:42:57Z</dcterms:modified>
  <cp:category/>
  <cp:version/>
  <cp:contentType/>
  <cp:contentStatus/>
</cp:coreProperties>
</file>