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60" windowWidth="15480" windowHeight="11640" tabRatio="804" activeTab="0"/>
  </bookViews>
  <sheets>
    <sheet name="Aug 03 - 05 we 32)" sheetId="1" r:id="rId1"/>
    <sheet name="Aug 03 - 05 (TOP 32" sheetId="2" r:id="rId2"/>
  </sheets>
  <definedNames>
    <definedName name="_xlnm.Print_Area" localSheetId="1">'Aug 03 - 05 (TOP 32'!$A$1:$W$45</definedName>
    <definedName name="_xlnm.Print_Area" localSheetId="0">'Aug 03 - 05 we 32)'!$A$1:$W$108</definedName>
  </definedNames>
  <calcPr fullCalcOnLoad="1"/>
</workbook>
</file>

<file path=xl/sharedStrings.xml><?xml version="1.0" encoding="utf-8"?>
<sst xmlns="http://schemas.openxmlformats.org/spreadsheetml/2006/main" count="371" uniqueCount="156">
  <si>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</si>
  <si>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</si>
  <si>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</si>
  <si>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</si>
  <si>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</si>
  <si>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</si>
  <si>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</si>
  <si>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</si>
  <si>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</si>
  <si>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</si>
  <si>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</si>
  <si>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</si>
  <si>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</si>
  <si>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</si>
  <si>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</si>
  <si>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</si>
  <si>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</si>
  <si>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</si>
  <si>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</si>
  <si>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HOAX</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</si>
  <si>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</si>
  <si>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</si>
  <si>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MUTLULUK</t>
  </si>
  <si>
    <t>KENDA</t>
  </si>
  <si>
    <t>FILMPOP</t>
  </si>
  <si>
    <t>CANDY</t>
  </si>
  <si>
    <t>MIRAMAX</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</si>
  <si>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</si>
  <si>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</si>
  <si>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</si>
  <si>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</si>
  <si>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</si>
  <si>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</si>
  <si>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</si>
  <si>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</si>
  <si>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DONDURMAM GAYMAK</t>
  </si>
  <si>
    <t>HERMES</t>
  </si>
  <si>
    <t>MR. BEAN'S HOLIDAY</t>
  </si>
  <si>
    <t>OPEN SEASON</t>
  </si>
  <si>
    <t>TRANSFORMERS</t>
  </si>
  <si>
    <t>RISE: BLOOD HUNTER</t>
  </si>
  <si>
    <t>Last Weekend</t>
  </si>
  <si>
    <t>Cumulative</t>
  </si>
  <si>
    <t>Scr.Avg.
(Adm.)</t>
  </si>
  <si>
    <t>Avg.
Ticket</t>
  </si>
  <si>
    <t>.</t>
  </si>
  <si>
    <t>*Sorted according to Weekend Total G.B.O. - Hafta sonu toplam hasılat sütununa göre sıralanmıştır.</t>
  </si>
  <si>
    <t>FOX</t>
  </si>
  <si>
    <t>COLUMBIA</t>
  </si>
  <si>
    <t>Company</t>
  </si>
  <si>
    <t>35 MILIM</t>
  </si>
  <si>
    <t>MEET THE ROBINSONS</t>
  </si>
  <si>
    <t>SON OSMANLI "YANDIM ALİ"</t>
  </si>
  <si>
    <t>28 WEEKS LATER</t>
  </si>
  <si>
    <t>WHISPER</t>
  </si>
  <si>
    <t>HOT FUZZ</t>
  </si>
  <si>
    <t>TRUANDS</t>
  </si>
  <si>
    <t>ANS</t>
  </si>
  <si>
    <t>WEINSTEIN CO.</t>
  </si>
  <si>
    <t>TMNT</t>
  </si>
  <si>
    <t>AVSAR FILM</t>
  </si>
  <si>
    <t>EUROPA</t>
  </si>
  <si>
    <t>OZEN - UMUT</t>
  </si>
  <si>
    <t>NEXT</t>
  </si>
  <si>
    <t>WILD BUNCH</t>
  </si>
  <si>
    <t>ISTANBUL GUNESI</t>
  </si>
  <si>
    <t>SÖZÜN BİTTİĞİ YER</t>
  </si>
  <si>
    <t>UNIVERSAL</t>
  </si>
  <si>
    <t>ONE MISSED CALL: FINAL</t>
  </si>
  <si>
    <t>SUNSHINE</t>
  </si>
  <si>
    <t>FRACTURE</t>
  </si>
  <si>
    <t>ZODIAC</t>
  </si>
  <si>
    <t>HILLS HAVE EYES 2</t>
  </si>
  <si>
    <t>BESTLINE</t>
  </si>
  <si>
    <t>FIDA</t>
  </si>
  <si>
    <t>LAST MIMZY, THE</t>
  </si>
  <si>
    <t>NEW LINE</t>
  </si>
  <si>
    <t>BETA</t>
  </si>
  <si>
    <t>BLOOD AND CHOCOLATE</t>
  </si>
  <si>
    <t>TAXI 4</t>
  </si>
  <si>
    <t>DELTA FARCE</t>
  </si>
  <si>
    <t>VACANCY</t>
  </si>
  <si>
    <t>DEATH PROOF</t>
  </si>
  <si>
    <t>FRAGILE, A GHOST STORY</t>
  </si>
  <si>
    <t>FACTORY GIRL</t>
  </si>
  <si>
    <t>NEW FILMS</t>
  </si>
  <si>
    <t>PARIS, JE T'AIME</t>
  </si>
  <si>
    <t>UMUT - OZEN</t>
  </si>
  <si>
    <t>SEVGİLİM İSTANBUL</t>
  </si>
  <si>
    <t>AMENIS</t>
  </si>
  <si>
    <t>MAVİ GÖZLÜ DEV</t>
  </si>
  <si>
    <t>ENERGY - SINEVIZYON</t>
  </si>
  <si>
    <t>*Bu hafta sonu R Film ve Barbar Film'in dağıtımda filmi yoktur. Bir Film'in ise hafta sonu raporu elimize ulaşmamıştır.</t>
  </si>
  <si>
    <t>SIMSONS MOVIE, THE</t>
  </si>
  <si>
    <t>GRINDHOUSE</t>
  </si>
  <si>
    <t>BLACK SNAKE MOAN</t>
  </si>
  <si>
    <t>BKM</t>
  </si>
  <si>
    <t>BEYNELMİLEL</t>
  </si>
  <si>
    <t>FRITT WILT</t>
  </si>
  <si>
    <t>OCEAN'S THIRTEEN</t>
  </si>
  <si>
    <t>PIRATES OF THE CARIBBEAN: AT WORLD'S END</t>
  </si>
  <si>
    <t>GREAT RAID, THE</t>
  </si>
  <si>
    <t>IBERIA</t>
  </si>
  <si>
    <t>MANDATE</t>
  </si>
  <si>
    <t>REAPING, THE</t>
  </si>
  <si>
    <t>PULSE</t>
  </si>
  <si>
    <t>*Bilgisayarlarımızda yaşanan internet bağlantısı problemleri yüzünden bu hafta sonuna ait raporu ancak sizlere ulaştırabildik. Aksamadan dolayı bütün firmalardan özür dileriz...</t>
  </si>
  <si>
    <t>SURF'S UP</t>
  </si>
  <si>
    <t>DISTURBIA</t>
  </si>
  <si>
    <t>IT'S A BOY GIRL THING</t>
  </si>
  <si>
    <t>ICON</t>
  </si>
  <si>
    <t>GEORGIA GIRL</t>
  </si>
  <si>
    <t>LA VIE EN ROSE</t>
  </si>
  <si>
    <t xml:space="preserve">QUAND J'ETAIS CHANTEUR </t>
  </si>
  <si>
    <t>FALL DOWN DEAD</t>
  </si>
  <si>
    <t>SCENES OF A SEXUAL NATURE</t>
  </si>
  <si>
    <t>BIR FILM</t>
  </si>
  <si>
    <t>THE WORKS</t>
  </si>
  <si>
    <t>HORS DE PRIX</t>
  </si>
  <si>
    <t>SEEDS OF DEATH</t>
  </si>
  <si>
    <t>GAUMONT</t>
  </si>
  <si>
    <t>DEAD IN 3 DAYS</t>
  </si>
  <si>
    <t>DREAMACHINE</t>
  </si>
  <si>
    <t>GOODBYE BAFANA</t>
  </si>
  <si>
    <t>PAN'S LABYRINTH</t>
  </si>
  <si>
    <t>ICE AGE 2; THE MELTDOWN</t>
  </si>
  <si>
    <t>NUMBER 23, THE</t>
  </si>
  <si>
    <t>BARNYARD</t>
  </si>
  <si>
    <t>İLK AŞK</t>
  </si>
  <si>
    <t>TIM'S</t>
  </si>
  <si>
    <t>SPIDER-MAN 3</t>
  </si>
  <si>
    <t>HOST, THE</t>
  </si>
  <si>
    <t>CINECLICK</t>
  </si>
  <si>
    <t>LIVES OF OTHERS, THE</t>
  </si>
  <si>
    <t>UNUTULMAYANLAR</t>
  </si>
  <si>
    <t>AKADEMI</t>
  </si>
  <si>
    <t>PERFECT STRANGER</t>
  </si>
  <si>
    <t>IMPY'S ISLAND</t>
  </si>
  <si>
    <t>TIGLON</t>
  </si>
  <si>
    <t>TALES FROM EARTHSEA</t>
  </si>
  <si>
    <t>MR. BROOKS</t>
  </si>
  <si>
    <t>ELEMENT</t>
  </si>
  <si>
    <t>SHOOTER</t>
  </si>
  <si>
    <t>CASHBACK</t>
  </si>
  <si>
    <t>A.E. FILM</t>
  </si>
  <si>
    <t>MISTRESS OF SPICES</t>
  </si>
  <si>
    <t>LIMON</t>
  </si>
  <si>
    <t>MESSENGERS, THE</t>
  </si>
  <si>
    <t>AMERİKALILAR KARADENİZ'DE 2</t>
  </si>
  <si>
    <t>ENERGY</t>
  </si>
  <si>
    <t>SATURNO CONTRO</t>
  </si>
  <si>
    <t>AFS</t>
  </si>
  <si>
    <t>BUG</t>
  </si>
  <si>
    <t>YOUNG HANNIBAL</t>
  </si>
  <si>
    <t>BARDA</t>
  </si>
  <si>
    <t>FILMAKAR</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</si>
</sst>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2"/>
      <name val="Trebuchet MS"/>
      <family val="2"/>
    </font>
    <font>
      <b/>
      <sz val="12"/>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4">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0" fontId="26" fillId="0" borderId="17" xfId="0" applyFont="1" applyFill="1" applyBorder="1" applyAlignment="1">
      <alignment horizontal="left" vertical="center"/>
    </xf>
    <xf numFmtId="190" fontId="26" fillId="0" borderId="17" xfId="0" applyNumberFormat="1" applyFont="1" applyFill="1" applyBorder="1" applyAlignment="1">
      <alignment horizontal="center" vertical="center"/>
    </xf>
    <xf numFmtId="0" fontId="26" fillId="0" borderId="17" xfId="0" applyFont="1" applyFill="1" applyBorder="1" applyAlignment="1">
      <alignment horizontal="center" vertical="center"/>
    </xf>
    <xf numFmtId="191" fontId="26" fillId="0" borderId="17" xfId="42" applyNumberFormat="1" applyFont="1" applyFill="1" applyBorder="1" applyAlignment="1">
      <alignment horizontal="right" vertical="center"/>
    </xf>
    <xf numFmtId="188" fontId="26" fillId="0" borderId="17" xfId="42" applyNumberFormat="1" applyFont="1" applyFill="1" applyBorder="1" applyAlignment="1">
      <alignment horizontal="right" vertical="center"/>
    </xf>
    <xf numFmtId="191" fontId="27" fillId="0" borderId="17" xfId="42" applyNumberFormat="1" applyFont="1" applyFill="1" applyBorder="1" applyAlignment="1">
      <alignment horizontal="right" vertical="center"/>
    </xf>
    <xf numFmtId="188" fontId="27" fillId="0" borderId="17" xfId="42" applyNumberFormat="1" applyFont="1" applyFill="1" applyBorder="1" applyAlignment="1">
      <alignment horizontal="right" vertical="center"/>
    </xf>
    <xf numFmtId="193" fontId="26" fillId="0" borderId="17" xfId="42" applyNumberFormat="1" applyFont="1" applyFill="1" applyBorder="1" applyAlignment="1">
      <alignment vertical="center"/>
    </xf>
    <xf numFmtId="192" fontId="26" fillId="0" borderId="17" xfId="60" applyNumberFormat="1" applyFont="1" applyFill="1" applyBorder="1" applyAlignment="1">
      <alignment vertical="center"/>
    </xf>
    <xf numFmtId="191" fontId="26" fillId="0" borderId="17" xfId="0" applyNumberFormat="1" applyFont="1" applyFill="1" applyBorder="1" applyAlignment="1">
      <alignment horizontal="right" vertical="center"/>
    </xf>
    <xf numFmtId="188" fontId="26" fillId="0" borderId="17" xfId="0" applyNumberFormat="1" applyFont="1" applyFill="1" applyBorder="1" applyAlignment="1">
      <alignment horizontal="right" vertical="center"/>
    </xf>
    <xf numFmtId="0" fontId="26" fillId="0" borderId="17" xfId="0" applyFont="1" applyFill="1" applyBorder="1" applyAlignment="1" applyProtection="1">
      <alignment horizontal="left" vertical="center"/>
      <protection locked="0"/>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center" vertical="center"/>
      <protection locked="0"/>
    </xf>
    <xf numFmtId="191" fontId="26" fillId="0" borderId="17" xfId="42" applyNumberFormat="1" applyFont="1" applyFill="1" applyBorder="1" applyAlignment="1" applyProtection="1">
      <alignment horizontal="right" vertical="center"/>
      <protection locked="0"/>
    </xf>
    <xf numFmtId="188" fontId="26" fillId="0" borderId="17" xfId="42" applyNumberFormat="1" applyFont="1" applyFill="1" applyBorder="1" applyAlignment="1" applyProtection="1">
      <alignment horizontal="right" vertical="center"/>
      <protection locked="0"/>
    </xf>
    <xf numFmtId="191" fontId="27" fillId="0" borderId="17" xfId="42" applyNumberFormat="1" applyFont="1" applyFill="1" applyBorder="1" applyAlignment="1" applyProtection="1">
      <alignment horizontal="right" vertical="center"/>
      <protection/>
    </xf>
    <xf numFmtId="188" fontId="27" fillId="0" borderId="17" xfId="42" applyNumberFormat="1" applyFont="1" applyFill="1" applyBorder="1" applyAlignment="1" applyProtection="1">
      <alignment horizontal="right" vertical="center"/>
      <protection/>
    </xf>
    <xf numFmtId="188" fontId="26" fillId="0" borderId="17" xfId="60" applyNumberFormat="1" applyFont="1" applyFill="1" applyBorder="1" applyAlignment="1" applyProtection="1">
      <alignment horizontal="right" vertical="center"/>
      <protection/>
    </xf>
    <xf numFmtId="193" fontId="26" fillId="0" borderId="17" xfId="60" applyNumberFormat="1" applyFont="1" applyFill="1" applyBorder="1" applyAlignment="1" applyProtection="1">
      <alignment vertical="center"/>
      <protection/>
    </xf>
    <xf numFmtId="192" fontId="26" fillId="0" borderId="17" xfId="60" applyNumberFormat="1" applyFont="1" applyFill="1" applyBorder="1" applyAlignment="1" applyProtection="1">
      <alignment vertical="center"/>
      <protection/>
    </xf>
    <xf numFmtId="191" fontId="26" fillId="0" borderId="17" xfId="42" applyNumberFormat="1" applyFont="1" applyFill="1" applyBorder="1" applyAlignment="1" applyProtection="1">
      <alignment horizontal="right" vertical="center"/>
      <protection/>
    </xf>
    <xf numFmtId="0" fontId="26" fillId="0" borderId="17" xfId="0" applyNumberFormat="1" applyFont="1" applyFill="1" applyBorder="1" applyAlignment="1" applyProtection="1">
      <alignment horizontal="left" vertical="center"/>
      <protection locked="0"/>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left" vertical="center"/>
    </xf>
    <xf numFmtId="0" fontId="26" fillId="0" borderId="17" xfId="0" applyNumberFormat="1" applyFont="1" applyFill="1" applyBorder="1" applyAlignment="1">
      <alignment horizontal="center" vertical="center"/>
    </xf>
    <xf numFmtId="0" fontId="26" fillId="0" borderId="17" xfId="0" applyFont="1" applyFill="1" applyBorder="1" applyAlignment="1" applyProtection="1">
      <alignment horizontal="left" vertical="center"/>
      <protection/>
    </xf>
    <xf numFmtId="190" fontId="26" fillId="0" borderId="17" xfId="0" applyNumberFormat="1" applyFont="1" applyFill="1" applyBorder="1" applyAlignment="1" applyProtection="1">
      <alignment horizontal="center" vertical="center"/>
      <protection/>
    </xf>
    <xf numFmtId="0" fontId="26" fillId="0" borderId="17" xfId="0" applyFont="1" applyFill="1" applyBorder="1" applyAlignment="1" applyProtection="1">
      <alignment horizontal="center" vertical="center"/>
      <protection/>
    </xf>
    <xf numFmtId="191" fontId="26" fillId="0" borderId="17" xfId="0" applyNumberFormat="1" applyFont="1" applyFill="1" applyBorder="1" applyAlignment="1" applyProtection="1">
      <alignment horizontal="right" vertical="center"/>
      <protection/>
    </xf>
    <xf numFmtId="188" fontId="26" fillId="0" borderId="17" xfId="0" applyNumberFormat="1" applyFont="1" applyFill="1" applyBorder="1" applyAlignment="1" applyProtection="1">
      <alignment horizontal="right" vertical="center"/>
      <protection/>
    </xf>
    <xf numFmtId="191" fontId="27" fillId="0" borderId="17" xfId="0" applyNumberFormat="1" applyFont="1" applyFill="1" applyBorder="1" applyAlignment="1" applyProtection="1">
      <alignment horizontal="right" vertical="center"/>
      <protection/>
    </xf>
    <xf numFmtId="188" fontId="27" fillId="0" borderId="17" xfId="0" applyNumberFormat="1" applyFont="1" applyFill="1" applyBorder="1" applyAlignment="1" applyProtection="1">
      <alignment horizontal="right" vertical="center"/>
      <protection/>
    </xf>
    <xf numFmtId="192" fontId="26" fillId="0" borderId="17" xfId="0" applyNumberFormat="1" applyFont="1" applyFill="1" applyBorder="1" applyAlignment="1" applyProtection="1">
      <alignment vertical="center"/>
      <protection/>
    </xf>
    <xf numFmtId="0" fontId="26" fillId="0" borderId="17" xfId="57" applyFont="1" applyFill="1" applyBorder="1" applyAlignment="1" applyProtection="1">
      <alignment horizontal="left" vertical="center"/>
      <protection/>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17" xfId="57" applyFont="1" applyFill="1" applyBorder="1" applyAlignment="1" applyProtection="1">
      <alignment horizontal="center" vertical="center"/>
      <protection/>
    </xf>
    <xf numFmtId="191" fontId="26" fillId="0" borderId="17" xfId="57" applyNumberFormat="1" applyFont="1" applyFill="1" applyBorder="1" applyAlignment="1" applyProtection="1">
      <alignment horizontal="right" vertical="center"/>
      <protection/>
    </xf>
    <xf numFmtId="188" fontId="26" fillId="0" borderId="17" xfId="57" applyNumberFormat="1" applyFont="1" applyFill="1" applyBorder="1" applyAlignment="1" applyProtection="1">
      <alignment horizontal="right" vertical="center"/>
      <protection/>
    </xf>
    <xf numFmtId="191" fontId="27" fillId="0" borderId="17" xfId="57" applyNumberFormat="1" applyFont="1" applyFill="1" applyBorder="1" applyAlignment="1" applyProtection="1">
      <alignment horizontal="right" vertical="center"/>
      <protection/>
    </xf>
    <xf numFmtId="188" fontId="27" fillId="0" borderId="17" xfId="57" applyNumberFormat="1" applyFont="1" applyFill="1" applyBorder="1" applyAlignment="1" applyProtection="1">
      <alignment horizontal="right" vertical="center"/>
      <protection/>
    </xf>
    <xf numFmtId="192" fontId="26" fillId="0" borderId="17" xfId="57" applyNumberFormat="1" applyFont="1" applyFill="1" applyBorder="1" applyAlignment="1" applyProtection="1">
      <alignment vertical="center"/>
      <protection/>
    </xf>
    <xf numFmtId="193" fontId="26" fillId="0" borderId="17" xfId="57" applyNumberFormat="1" applyFont="1" applyFill="1" applyBorder="1" applyAlignment="1" applyProtection="1">
      <alignment vertical="center"/>
      <protection/>
    </xf>
    <xf numFmtId="194" fontId="26" fillId="0" borderId="17" xfId="0" applyNumberFormat="1" applyFont="1" applyFill="1" applyBorder="1" applyAlignment="1">
      <alignment horizontal="left" vertical="center"/>
    </xf>
    <xf numFmtId="191" fontId="27" fillId="0" borderId="17" xfId="0" applyNumberFormat="1" applyFont="1" applyFill="1" applyBorder="1" applyAlignment="1">
      <alignment horizontal="right" vertical="center"/>
    </xf>
    <xf numFmtId="188" fontId="27" fillId="0" borderId="17" xfId="0" applyNumberFormat="1" applyFont="1" applyFill="1" applyBorder="1" applyAlignment="1">
      <alignment horizontal="right" vertical="center"/>
    </xf>
    <xf numFmtId="190" fontId="26" fillId="0" borderId="17" xfId="0" applyNumberFormat="1" applyFont="1" applyFill="1" applyBorder="1" applyAlignment="1">
      <alignment horizontal="left" vertical="center"/>
    </xf>
    <xf numFmtId="192" fontId="26" fillId="0" borderId="17" xfId="0" applyNumberFormat="1" applyFont="1" applyFill="1" applyBorder="1" applyAlignment="1">
      <alignment vertical="center"/>
    </xf>
    <xf numFmtId="0" fontId="26" fillId="0" borderId="22" xfId="0" applyFont="1" applyFill="1" applyBorder="1" applyAlignment="1">
      <alignment horizontal="left" vertical="center"/>
    </xf>
    <xf numFmtId="190" fontId="26" fillId="0" borderId="23" xfId="0" applyNumberFormat="1" applyFont="1" applyFill="1" applyBorder="1" applyAlignment="1">
      <alignment horizontal="center" vertical="center"/>
    </xf>
    <xf numFmtId="0" fontId="26" fillId="0" borderId="23" xfId="0" applyFont="1" applyFill="1" applyBorder="1" applyAlignment="1">
      <alignment horizontal="left" vertical="center"/>
    </xf>
    <xf numFmtId="0" fontId="26" fillId="0" borderId="23" xfId="0" applyFont="1" applyFill="1" applyBorder="1" applyAlignment="1">
      <alignment horizontal="center" vertical="center"/>
    </xf>
    <xf numFmtId="191" fontId="26" fillId="0" borderId="23" xfId="42" applyNumberFormat="1" applyFont="1" applyFill="1" applyBorder="1" applyAlignment="1">
      <alignment horizontal="right" vertical="center"/>
    </xf>
    <xf numFmtId="188" fontId="26" fillId="0" borderId="23" xfId="42" applyNumberFormat="1" applyFont="1" applyFill="1" applyBorder="1" applyAlignment="1">
      <alignment horizontal="right" vertical="center"/>
    </xf>
    <xf numFmtId="191" fontId="27" fillId="0" borderId="23" xfId="42" applyNumberFormat="1" applyFont="1" applyFill="1" applyBorder="1" applyAlignment="1">
      <alignment horizontal="right" vertical="center"/>
    </xf>
    <xf numFmtId="188" fontId="27" fillId="0" borderId="23" xfId="42" applyNumberFormat="1" applyFont="1" applyFill="1" applyBorder="1" applyAlignment="1">
      <alignment horizontal="right" vertical="center"/>
    </xf>
    <xf numFmtId="193" fontId="26" fillId="0" borderId="23" xfId="42" applyNumberFormat="1" applyFont="1" applyFill="1" applyBorder="1" applyAlignment="1">
      <alignment vertical="center"/>
    </xf>
    <xf numFmtId="192" fontId="26" fillId="0" borderId="23" xfId="60" applyNumberFormat="1" applyFont="1" applyFill="1" applyBorder="1" applyAlignment="1">
      <alignment vertical="center"/>
    </xf>
    <xf numFmtId="191" fontId="26" fillId="0" borderId="23" xfId="0" applyNumberFormat="1" applyFont="1" applyFill="1" applyBorder="1" applyAlignment="1">
      <alignment horizontal="right" vertical="center"/>
    </xf>
    <xf numFmtId="188" fontId="26" fillId="0" borderId="23" xfId="0" applyNumberFormat="1" applyFont="1" applyFill="1" applyBorder="1" applyAlignment="1">
      <alignment horizontal="right" vertical="center"/>
    </xf>
    <xf numFmtId="193" fontId="26" fillId="0" borderId="24" xfId="0" applyNumberFormat="1" applyFont="1" applyFill="1" applyBorder="1" applyAlignment="1">
      <alignment vertical="center"/>
    </xf>
    <xf numFmtId="0" fontId="26" fillId="0" borderId="25" xfId="0" applyFont="1" applyFill="1" applyBorder="1" applyAlignment="1" applyProtection="1">
      <alignment horizontal="left" vertical="center"/>
      <protection locked="0"/>
    </xf>
    <xf numFmtId="193" fontId="26" fillId="0" borderId="26" xfId="42" applyNumberFormat="1" applyFont="1" applyFill="1" applyBorder="1" applyAlignment="1" applyProtection="1">
      <alignment vertical="center"/>
      <protection locked="0"/>
    </xf>
    <xf numFmtId="0" fontId="26" fillId="0" borderId="25" xfId="0" applyFont="1" applyFill="1" applyBorder="1" applyAlignment="1">
      <alignment horizontal="left" vertical="center"/>
    </xf>
    <xf numFmtId="193" fontId="26" fillId="0" borderId="26" xfId="42" applyNumberFormat="1" applyFont="1" applyFill="1" applyBorder="1" applyAlignment="1">
      <alignment vertical="center"/>
    </xf>
    <xf numFmtId="193" fontId="26" fillId="0" borderId="26" xfId="60" applyNumberFormat="1" applyFont="1" applyFill="1" applyBorder="1" applyAlignment="1" applyProtection="1">
      <alignment vertical="center"/>
      <protection/>
    </xf>
    <xf numFmtId="0" fontId="26" fillId="0" borderId="25" xfId="0" applyNumberFormat="1" applyFont="1" applyFill="1" applyBorder="1" applyAlignment="1" applyProtection="1">
      <alignment horizontal="left" vertical="center"/>
      <protection locked="0"/>
    </xf>
    <xf numFmtId="193" fontId="26" fillId="0" borderId="26" xfId="0" applyNumberFormat="1" applyFont="1" applyFill="1" applyBorder="1" applyAlignment="1">
      <alignment vertical="center"/>
    </xf>
    <xf numFmtId="0" fontId="26" fillId="0" borderId="25" xfId="0" applyNumberFormat="1" applyFont="1" applyFill="1" applyBorder="1" applyAlignment="1">
      <alignment horizontal="left" vertical="center"/>
    </xf>
    <xf numFmtId="0" fontId="26" fillId="0" borderId="25" xfId="0" applyFont="1" applyFill="1" applyBorder="1" applyAlignment="1" applyProtection="1">
      <alignment horizontal="left" vertical="center"/>
      <protection/>
    </xf>
    <xf numFmtId="193" fontId="26" fillId="0" borderId="26" xfId="0" applyNumberFormat="1" applyFont="1" applyFill="1" applyBorder="1" applyAlignment="1" applyProtection="1">
      <alignment vertical="center"/>
      <protection/>
    </xf>
    <xf numFmtId="0" fontId="26" fillId="0" borderId="25" xfId="57" applyFont="1" applyFill="1" applyBorder="1" applyAlignment="1" applyProtection="1">
      <alignment horizontal="left" vertical="center"/>
      <protection/>
    </xf>
    <xf numFmtId="193" fontId="26" fillId="0" borderId="26" xfId="57" applyNumberFormat="1" applyFont="1" applyFill="1" applyBorder="1" applyAlignment="1" applyProtection="1">
      <alignment vertical="center"/>
      <protection/>
    </xf>
    <xf numFmtId="0" fontId="26" fillId="0" borderId="27" xfId="0" applyFont="1" applyFill="1" applyBorder="1" applyAlignment="1">
      <alignment horizontal="left" vertical="center"/>
    </xf>
    <xf numFmtId="190" fontId="26" fillId="0" borderId="28" xfId="0" applyNumberFormat="1" applyFont="1" applyFill="1" applyBorder="1" applyAlignment="1" applyProtection="1">
      <alignment horizontal="center" vertical="center"/>
      <protection locked="0"/>
    </xf>
    <xf numFmtId="0" fontId="26" fillId="0" borderId="28" xfId="0" applyFont="1" applyFill="1" applyBorder="1" applyAlignment="1">
      <alignment horizontal="left" vertical="center"/>
    </xf>
    <xf numFmtId="0" fontId="26" fillId="0" borderId="28" xfId="0" applyFont="1" applyFill="1" applyBorder="1" applyAlignment="1">
      <alignment horizontal="center" vertical="center"/>
    </xf>
    <xf numFmtId="191" fontId="26" fillId="0" borderId="28" xfId="42" applyNumberFormat="1" applyFont="1" applyFill="1" applyBorder="1" applyAlignment="1">
      <alignment horizontal="right" vertical="center"/>
    </xf>
    <xf numFmtId="188" fontId="26" fillId="0" borderId="28" xfId="42" applyNumberFormat="1" applyFont="1" applyFill="1" applyBorder="1" applyAlignment="1">
      <alignment horizontal="right" vertical="center"/>
    </xf>
    <xf numFmtId="191" fontId="27" fillId="0" borderId="28" xfId="42" applyNumberFormat="1" applyFont="1" applyFill="1" applyBorder="1" applyAlignment="1">
      <alignment horizontal="right" vertical="center"/>
    </xf>
    <xf numFmtId="188" fontId="27" fillId="0" borderId="28" xfId="42" applyNumberFormat="1" applyFont="1" applyFill="1" applyBorder="1" applyAlignment="1">
      <alignment horizontal="right" vertical="center"/>
    </xf>
    <xf numFmtId="193" fontId="26" fillId="0" borderId="28" xfId="42" applyNumberFormat="1" applyFont="1" applyFill="1" applyBorder="1" applyAlignment="1">
      <alignment vertical="center"/>
    </xf>
    <xf numFmtId="192" fontId="26" fillId="0" borderId="28" xfId="60" applyNumberFormat="1" applyFont="1" applyFill="1" applyBorder="1" applyAlignment="1" applyProtection="1">
      <alignment vertical="center"/>
      <protection/>
    </xf>
    <xf numFmtId="193" fontId="26" fillId="0" borderId="29" xfId="42" applyNumberFormat="1" applyFont="1" applyFill="1" applyBorder="1" applyAlignment="1">
      <alignment vertical="center"/>
    </xf>
    <xf numFmtId="0" fontId="26" fillId="0" borderId="30" xfId="0" applyFont="1" applyFill="1" applyBorder="1" applyAlignment="1">
      <alignment horizontal="left" vertical="center"/>
    </xf>
    <xf numFmtId="190" fontId="26" fillId="0" borderId="21" xfId="0" applyNumberFormat="1" applyFont="1" applyFill="1" applyBorder="1" applyAlignment="1">
      <alignment horizontal="center" vertical="center"/>
    </xf>
    <xf numFmtId="0" fontId="26" fillId="0" borderId="21" xfId="0" applyFont="1" applyFill="1" applyBorder="1" applyAlignment="1">
      <alignment horizontal="left" vertical="center"/>
    </xf>
    <xf numFmtId="0" fontId="26" fillId="0" borderId="21" xfId="0" applyFont="1" applyFill="1" applyBorder="1" applyAlignment="1">
      <alignment horizontal="center" vertical="center"/>
    </xf>
    <xf numFmtId="191" fontId="26" fillId="0" borderId="21" xfId="42" applyNumberFormat="1" applyFont="1" applyFill="1" applyBorder="1" applyAlignment="1">
      <alignment horizontal="right" vertical="center"/>
    </xf>
    <xf numFmtId="188" fontId="26" fillId="0" borderId="21" xfId="42" applyNumberFormat="1" applyFont="1" applyFill="1" applyBorder="1" applyAlignment="1">
      <alignment horizontal="right" vertical="center"/>
    </xf>
    <xf numFmtId="191" fontId="27" fillId="0" borderId="21" xfId="42" applyNumberFormat="1" applyFont="1" applyFill="1" applyBorder="1" applyAlignment="1">
      <alignment horizontal="right" vertical="center"/>
    </xf>
    <xf numFmtId="188" fontId="27" fillId="0" borderId="21" xfId="42" applyNumberFormat="1" applyFont="1" applyFill="1" applyBorder="1" applyAlignment="1">
      <alignment horizontal="right" vertical="center"/>
    </xf>
    <xf numFmtId="193" fontId="26" fillId="0" borderId="21" xfId="42" applyNumberFormat="1" applyFont="1" applyFill="1" applyBorder="1" applyAlignment="1">
      <alignment vertical="center"/>
    </xf>
    <xf numFmtId="192" fontId="26" fillId="0" borderId="21" xfId="60" applyNumberFormat="1" applyFont="1" applyFill="1" applyBorder="1" applyAlignment="1" applyProtection="1">
      <alignment vertical="center"/>
      <protection/>
    </xf>
    <xf numFmtId="193" fontId="26" fillId="0" borderId="31" xfId="42" applyNumberFormat="1" applyFont="1" applyFill="1" applyBorder="1" applyAlignment="1">
      <alignment vertical="center"/>
    </xf>
    <xf numFmtId="0" fontId="26" fillId="0" borderId="32" xfId="0" applyFont="1" applyFill="1" applyBorder="1" applyAlignment="1">
      <alignment horizontal="left" vertical="center"/>
    </xf>
    <xf numFmtId="190" fontId="26" fillId="0" borderId="33" xfId="0" applyNumberFormat="1" applyFont="1" applyFill="1" applyBorder="1" applyAlignment="1">
      <alignment horizontal="center" vertical="center"/>
    </xf>
    <xf numFmtId="0" fontId="26" fillId="0" borderId="33" xfId="0" applyFont="1" applyFill="1" applyBorder="1" applyAlignment="1">
      <alignment horizontal="left" vertical="center"/>
    </xf>
    <xf numFmtId="0" fontId="26" fillId="0" borderId="33" xfId="0" applyFont="1" applyFill="1" applyBorder="1" applyAlignment="1">
      <alignment horizontal="center" vertical="center"/>
    </xf>
    <xf numFmtId="191" fontId="26" fillId="0" borderId="33" xfId="42" applyNumberFormat="1" applyFont="1" applyFill="1" applyBorder="1" applyAlignment="1">
      <alignment horizontal="right" vertical="center"/>
    </xf>
    <xf numFmtId="188" fontId="26" fillId="0" borderId="33" xfId="42" applyNumberFormat="1" applyFont="1" applyFill="1" applyBorder="1" applyAlignment="1">
      <alignment horizontal="right" vertical="center"/>
    </xf>
    <xf numFmtId="191" fontId="27" fillId="0" borderId="33" xfId="42" applyNumberFormat="1" applyFont="1" applyFill="1" applyBorder="1" applyAlignment="1">
      <alignment horizontal="right" vertical="center"/>
    </xf>
    <xf numFmtId="188" fontId="27" fillId="0" borderId="33" xfId="42" applyNumberFormat="1" applyFont="1" applyFill="1" applyBorder="1" applyAlignment="1">
      <alignment horizontal="right" vertical="center"/>
    </xf>
    <xf numFmtId="193" fontId="26" fillId="0" borderId="33" xfId="42" applyNumberFormat="1" applyFont="1" applyFill="1" applyBorder="1" applyAlignment="1">
      <alignment vertical="center"/>
    </xf>
    <xf numFmtId="192" fontId="26" fillId="0" borderId="33" xfId="60" applyNumberFormat="1" applyFont="1" applyFill="1" applyBorder="1" applyAlignment="1">
      <alignment vertical="center"/>
    </xf>
    <xf numFmtId="193" fontId="26" fillId="0" borderId="34" xfId="42" applyNumberFormat="1" applyFont="1" applyFill="1" applyBorder="1" applyAlignment="1">
      <alignment vertical="center"/>
    </xf>
    <xf numFmtId="190" fontId="26" fillId="0" borderId="28" xfId="0" applyNumberFormat="1" applyFont="1" applyFill="1" applyBorder="1" applyAlignment="1">
      <alignment horizontal="center" vertical="center"/>
    </xf>
    <xf numFmtId="194" fontId="26" fillId="0" borderId="28" xfId="0" applyNumberFormat="1" applyFont="1" applyFill="1" applyBorder="1" applyAlignment="1">
      <alignment horizontal="left" vertical="center"/>
    </xf>
    <xf numFmtId="191" fontId="26" fillId="0" borderId="28" xfId="0" applyNumberFormat="1" applyFont="1" applyFill="1" applyBorder="1" applyAlignment="1">
      <alignment horizontal="right" vertical="center"/>
    </xf>
    <xf numFmtId="188" fontId="26" fillId="0" borderId="28" xfId="0" applyNumberFormat="1" applyFont="1" applyFill="1" applyBorder="1" applyAlignment="1">
      <alignment horizontal="right" vertical="center"/>
    </xf>
    <xf numFmtId="191" fontId="27" fillId="0" borderId="28" xfId="0" applyNumberFormat="1" applyFont="1" applyFill="1" applyBorder="1" applyAlignment="1">
      <alignment horizontal="right" vertical="center"/>
    </xf>
    <xf numFmtId="188" fontId="27" fillId="0" borderId="28" xfId="0" applyNumberFormat="1" applyFont="1" applyFill="1" applyBorder="1" applyAlignment="1">
      <alignment horizontal="right" vertical="center"/>
    </xf>
    <xf numFmtId="193" fontId="26" fillId="0" borderId="29" xfId="0" applyNumberFormat="1" applyFont="1" applyFill="1" applyBorder="1" applyAlignment="1">
      <alignmen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5" xfId="0" applyFont="1" applyFill="1" applyBorder="1" applyAlignment="1">
      <alignment horizontal="center" vertical="center"/>
    </xf>
    <xf numFmtId="0" fontId="23"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0" borderId="0" xfId="0" applyAlignment="1">
      <alignment/>
    </xf>
    <xf numFmtId="185" fontId="17" fillId="0" borderId="38"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71" fontId="17" fillId="0" borderId="38"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8"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204787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7354550" y="0"/>
          <a:ext cx="30575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2045970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6925925" y="390525"/>
          <a:ext cx="3333750"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32
</a:t>
          </a:r>
          <a:r>
            <a:rPr lang="en-US" cap="none" sz="1600" b="0" i="0" u="none" baseline="0">
              <a:solidFill>
                <a:srgbClr val="FFFFFF"/>
              </a:solidFill>
              <a:latin typeface="Impact"/>
              <a:ea typeface="Impact"/>
              <a:cs typeface="Impact"/>
            </a:rPr>
            <a:t>03 - 05 AUG'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496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477125" y="0"/>
          <a:ext cx="28384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8393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343775" y="0"/>
          <a:ext cx="24384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971550</xdr:rowOff>
    </xdr:to>
    <xdr:sp>
      <xdr:nvSpPr>
        <xdr:cNvPr id="5" name="Text Box 6"/>
        <xdr:cNvSpPr txBox="1">
          <a:spLocks noChangeArrowheads="1"/>
        </xdr:cNvSpPr>
      </xdr:nvSpPr>
      <xdr:spPr>
        <a:xfrm>
          <a:off x="19050" y="38100"/>
          <a:ext cx="9829800" cy="93345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7686675" y="409575"/>
          <a:ext cx="20097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8393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343775" y="0"/>
          <a:ext cx="24384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1085850</xdr:rowOff>
    </xdr:to>
    <xdr:sp>
      <xdr:nvSpPr>
        <xdr:cNvPr id="9" name="Text Box 10"/>
        <xdr:cNvSpPr txBox="1">
          <a:spLocks noChangeArrowheads="1"/>
        </xdr:cNvSpPr>
      </xdr:nvSpPr>
      <xdr:spPr>
        <a:xfrm>
          <a:off x="19050" y="38100"/>
          <a:ext cx="9829800" cy="1047750"/>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571500</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7915275" y="390525"/>
          <a:ext cx="1800225"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32
</a:t>
          </a:r>
          <a:r>
            <a:rPr lang="en-US" cap="none" sz="1200" b="0" i="0" u="none" baseline="0">
              <a:solidFill>
                <a:srgbClr val="FFFFFF"/>
              </a:solidFill>
              <a:latin typeface="Impact"/>
              <a:ea typeface="Impact"/>
              <a:cs typeface="Impact"/>
            </a:rPr>
            <a:t>03 - 05 AUG'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108"/>
  <sheetViews>
    <sheetView tabSelected="1" zoomScalePageLayoutView="0" workbookViewId="0" topLeftCell="A1">
      <selection activeCell="B3" sqref="B3:B4"/>
    </sheetView>
  </sheetViews>
  <sheetFormatPr defaultColWidth="39.8515625" defaultRowHeight="12.75"/>
  <cols>
    <col min="1" max="1" width="3.00390625" style="30" bestFit="1" customWidth="1"/>
    <col min="2" max="2" width="51.57421875" style="4" bestFit="1" customWidth="1"/>
    <col min="3" max="3" width="11.00390625" style="65" bestFit="1" customWidth="1"/>
    <col min="4" max="4" width="16.140625" style="3" bestFit="1" customWidth="1"/>
    <col min="5" max="5" width="24.8515625" style="3" bestFit="1" customWidth="1"/>
    <col min="6" max="6" width="7.140625" style="5" bestFit="1" customWidth="1"/>
    <col min="7" max="7" width="8.57421875" style="5" bestFit="1" customWidth="1"/>
    <col min="8" max="8" width="10.00390625" style="5" customWidth="1"/>
    <col min="9" max="9" width="13.8515625" style="82" bestFit="1" customWidth="1"/>
    <col min="10" max="10" width="8.140625" style="92" bestFit="1" customWidth="1"/>
    <col min="11" max="11" width="13.8515625" style="82" bestFit="1" customWidth="1"/>
    <col min="12" max="12" width="8.140625" style="92" bestFit="1" customWidth="1"/>
    <col min="13" max="13" width="13.8515625" style="82" bestFit="1" customWidth="1"/>
    <col min="14" max="14" width="8.140625" style="92" bestFit="1" customWidth="1"/>
    <col min="15" max="15" width="16.28125" style="86" bestFit="1" customWidth="1"/>
    <col min="16" max="16" width="10.28125" style="99" customWidth="1"/>
    <col min="17" max="17" width="10.28125" style="92" bestFit="1" customWidth="1"/>
    <col min="18" max="18" width="8.140625" style="16" bestFit="1" customWidth="1"/>
    <col min="19" max="19" width="15.00390625" style="89" bestFit="1" customWidth="1"/>
    <col min="20" max="20" width="10.00390625" style="3" bestFit="1" customWidth="1"/>
    <col min="21" max="21" width="17.57421875" style="82" bestFit="1" customWidth="1"/>
    <col min="22" max="22" width="13.140625" style="92" bestFit="1" customWidth="1"/>
    <col min="23" max="23" width="8.140625" style="16" bestFit="1" customWidth="1"/>
    <col min="24" max="24" width="39.8515625" style="1" customWidth="1"/>
    <col min="25" max="27" width="39.8515625" style="3" customWidth="1"/>
    <col min="28" max="28" width="2.1406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45" t="s">
        <v>28</v>
      </c>
      <c r="B2" s="246"/>
      <c r="C2" s="246"/>
      <c r="D2" s="246"/>
      <c r="E2" s="246"/>
      <c r="F2" s="246"/>
      <c r="G2" s="246"/>
      <c r="H2" s="246"/>
      <c r="I2" s="246"/>
      <c r="J2" s="246"/>
      <c r="K2" s="246"/>
      <c r="L2" s="246"/>
      <c r="M2" s="246"/>
      <c r="N2" s="246"/>
      <c r="O2" s="246"/>
      <c r="P2" s="246"/>
      <c r="Q2" s="246"/>
      <c r="R2" s="246"/>
      <c r="S2" s="246"/>
      <c r="T2" s="246"/>
      <c r="U2" s="246"/>
      <c r="V2" s="246"/>
      <c r="W2" s="246"/>
    </row>
    <row r="3" spans="1:23" s="29" customFormat="1" ht="20.25" customHeight="1">
      <c r="A3" s="31"/>
      <c r="B3" s="252" t="s">
        <v>34</v>
      </c>
      <c r="C3" s="254" t="s">
        <v>10</v>
      </c>
      <c r="D3" s="248" t="s">
        <v>0</v>
      </c>
      <c r="E3" s="248" t="s">
        <v>49</v>
      </c>
      <c r="F3" s="248" t="s">
        <v>11</v>
      </c>
      <c r="G3" s="248" t="s">
        <v>12</v>
      </c>
      <c r="H3" s="248" t="s">
        <v>13</v>
      </c>
      <c r="I3" s="247" t="s">
        <v>1</v>
      </c>
      <c r="J3" s="247"/>
      <c r="K3" s="247" t="s">
        <v>2</v>
      </c>
      <c r="L3" s="247"/>
      <c r="M3" s="247" t="s">
        <v>3</v>
      </c>
      <c r="N3" s="247"/>
      <c r="O3" s="250" t="s">
        <v>14</v>
      </c>
      <c r="P3" s="250"/>
      <c r="Q3" s="250"/>
      <c r="R3" s="250"/>
      <c r="S3" s="247" t="s">
        <v>41</v>
      </c>
      <c r="T3" s="247"/>
      <c r="U3" s="250" t="s">
        <v>42</v>
      </c>
      <c r="V3" s="250"/>
      <c r="W3" s="251"/>
    </row>
    <row r="4" spans="1:23" s="29" customFormat="1" ht="52.5" customHeight="1" thickBot="1">
      <c r="A4" s="58"/>
      <c r="B4" s="253"/>
      <c r="C4" s="255"/>
      <c r="D4" s="256"/>
      <c r="E4" s="256"/>
      <c r="F4" s="249"/>
      <c r="G4" s="249"/>
      <c r="H4" s="249"/>
      <c r="I4" s="112" t="s">
        <v>9</v>
      </c>
      <c r="J4" s="113" t="s">
        <v>5</v>
      </c>
      <c r="K4" s="112" t="s">
        <v>9</v>
      </c>
      <c r="L4" s="113" t="s">
        <v>5</v>
      </c>
      <c r="M4" s="112" t="s">
        <v>9</v>
      </c>
      <c r="N4" s="113" t="s">
        <v>5</v>
      </c>
      <c r="O4" s="114" t="s">
        <v>9</v>
      </c>
      <c r="P4" s="115" t="s">
        <v>5</v>
      </c>
      <c r="Q4" s="115" t="s">
        <v>43</v>
      </c>
      <c r="R4" s="116" t="s">
        <v>44</v>
      </c>
      <c r="S4" s="112" t="s">
        <v>9</v>
      </c>
      <c r="T4" s="117" t="s">
        <v>4</v>
      </c>
      <c r="U4" s="112" t="s">
        <v>9</v>
      </c>
      <c r="V4" s="113" t="s">
        <v>5</v>
      </c>
      <c r="W4" s="118" t="s">
        <v>44</v>
      </c>
    </row>
    <row r="5" spans="1:23" s="29" customFormat="1" ht="18">
      <c r="A5" s="53">
        <v>1</v>
      </c>
      <c r="B5" s="169" t="s">
        <v>93</v>
      </c>
      <c r="C5" s="170">
        <v>39290</v>
      </c>
      <c r="D5" s="171" t="s">
        <v>31</v>
      </c>
      <c r="E5" s="171" t="s">
        <v>47</v>
      </c>
      <c r="F5" s="172">
        <v>80</v>
      </c>
      <c r="G5" s="172">
        <v>80</v>
      </c>
      <c r="H5" s="172">
        <v>2</v>
      </c>
      <c r="I5" s="173">
        <v>47875.5</v>
      </c>
      <c r="J5" s="174">
        <v>6002</v>
      </c>
      <c r="K5" s="173">
        <v>65259.5</v>
      </c>
      <c r="L5" s="174">
        <v>7836</v>
      </c>
      <c r="M5" s="173">
        <v>64401</v>
      </c>
      <c r="N5" s="174">
        <v>7703</v>
      </c>
      <c r="O5" s="175">
        <f>I5+K5+M5</f>
        <v>177536</v>
      </c>
      <c r="P5" s="176">
        <f>J5+L5+N5</f>
        <v>21541</v>
      </c>
      <c r="Q5" s="174">
        <f>+P5/G5</f>
        <v>269.2625</v>
      </c>
      <c r="R5" s="177">
        <f>+O5/P5</f>
        <v>8.241771505501138</v>
      </c>
      <c r="S5" s="173">
        <v>287405.5</v>
      </c>
      <c r="T5" s="178">
        <f>(+S5-O5)/S5</f>
        <v>0.38228043652609295</v>
      </c>
      <c r="U5" s="179">
        <v>683527</v>
      </c>
      <c r="V5" s="180">
        <v>83778</v>
      </c>
      <c r="W5" s="181">
        <f>U5/V5</f>
        <v>8.15878870347824</v>
      </c>
    </row>
    <row r="6" spans="1:23" s="29" customFormat="1" ht="18">
      <c r="A6" s="53">
        <v>2</v>
      </c>
      <c r="B6" s="182" t="s">
        <v>107</v>
      </c>
      <c r="C6" s="131">
        <v>39297</v>
      </c>
      <c r="D6" s="132" t="s">
        <v>6</v>
      </c>
      <c r="E6" s="130" t="s">
        <v>48</v>
      </c>
      <c r="F6" s="133">
        <v>51</v>
      </c>
      <c r="G6" s="133">
        <v>52</v>
      </c>
      <c r="H6" s="133">
        <v>1</v>
      </c>
      <c r="I6" s="134">
        <v>42012</v>
      </c>
      <c r="J6" s="135">
        <v>4598</v>
      </c>
      <c r="K6" s="134">
        <v>62752</v>
      </c>
      <c r="L6" s="135">
        <v>6447</v>
      </c>
      <c r="M6" s="134">
        <v>65900</v>
      </c>
      <c r="N6" s="135">
        <v>6692</v>
      </c>
      <c r="O6" s="136">
        <f>+I6+K6+M6</f>
        <v>170664</v>
      </c>
      <c r="P6" s="137">
        <f>+J6+L6+N6</f>
        <v>17737</v>
      </c>
      <c r="Q6" s="138">
        <f>IF(O6&lt;&gt;0,P6/G6,"")</f>
        <v>341.09615384615387</v>
      </c>
      <c r="R6" s="139">
        <f>IF(O6&lt;&gt;0,O6/P6,"")</f>
        <v>9.621920279641428</v>
      </c>
      <c r="S6" s="134"/>
      <c r="T6" s="140"/>
      <c r="U6" s="134">
        <v>170664</v>
      </c>
      <c r="V6" s="135">
        <v>17737</v>
      </c>
      <c r="W6" s="183">
        <f>U6/V6</f>
        <v>9.621920279641428</v>
      </c>
    </row>
    <row r="7" spans="1:24" s="6" customFormat="1" ht="18">
      <c r="A7" s="54">
        <v>3</v>
      </c>
      <c r="B7" s="216" t="s">
        <v>108</v>
      </c>
      <c r="C7" s="217">
        <v>39297</v>
      </c>
      <c r="D7" s="218" t="s">
        <v>17</v>
      </c>
      <c r="E7" s="218" t="s">
        <v>30</v>
      </c>
      <c r="F7" s="219">
        <v>62</v>
      </c>
      <c r="G7" s="219">
        <v>63</v>
      </c>
      <c r="H7" s="219">
        <v>1</v>
      </c>
      <c r="I7" s="220">
        <v>30567</v>
      </c>
      <c r="J7" s="221">
        <v>3376</v>
      </c>
      <c r="K7" s="220">
        <v>49474</v>
      </c>
      <c r="L7" s="221">
        <v>5114</v>
      </c>
      <c r="M7" s="220">
        <v>52778</v>
      </c>
      <c r="N7" s="221">
        <v>5521</v>
      </c>
      <c r="O7" s="222">
        <f>+M7+K7+I7</f>
        <v>132819</v>
      </c>
      <c r="P7" s="223">
        <f>+N7+L7+J7</f>
        <v>14011</v>
      </c>
      <c r="Q7" s="221">
        <f>+P7/G7</f>
        <v>222.3968253968254</v>
      </c>
      <c r="R7" s="224">
        <f>+O7/P7</f>
        <v>9.479623153236743</v>
      </c>
      <c r="S7" s="220"/>
      <c r="T7" s="225"/>
      <c r="U7" s="220">
        <v>132819</v>
      </c>
      <c r="V7" s="221">
        <v>14011</v>
      </c>
      <c r="W7" s="226">
        <f>+U7/V7</f>
        <v>9.479623153236743</v>
      </c>
      <c r="X7" s="7"/>
    </row>
    <row r="8" spans="1:24" s="6" customFormat="1" ht="18">
      <c r="A8" s="102">
        <v>4</v>
      </c>
      <c r="B8" s="205" t="s">
        <v>39</v>
      </c>
      <c r="C8" s="206">
        <v>39269</v>
      </c>
      <c r="D8" s="207" t="s">
        <v>17</v>
      </c>
      <c r="E8" s="207" t="s">
        <v>30</v>
      </c>
      <c r="F8" s="208">
        <v>156</v>
      </c>
      <c r="G8" s="208">
        <v>160</v>
      </c>
      <c r="H8" s="208">
        <v>5</v>
      </c>
      <c r="I8" s="209">
        <v>26220</v>
      </c>
      <c r="J8" s="210">
        <v>3565</v>
      </c>
      <c r="K8" s="209">
        <v>42207</v>
      </c>
      <c r="L8" s="210">
        <v>5247</v>
      </c>
      <c r="M8" s="209">
        <v>48024</v>
      </c>
      <c r="N8" s="210">
        <v>6031</v>
      </c>
      <c r="O8" s="211">
        <f>+M8+K8+I8</f>
        <v>116451</v>
      </c>
      <c r="P8" s="212">
        <f>+N8+L8+J8</f>
        <v>14843</v>
      </c>
      <c r="Q8" s="210">
        <f>+P8/G8</f>
        <v>92.76875</v>
      </c>
      <c r="R8" s="213">
        <f>+O8/P8</f>
        <v>7.845516405039413</v>
      </c>
      <c r="S8" s="209">
        <v>163796</v>
      </c>
      <c r="T8" s="214">
        <f>IF(S8&lt;&gt;0,-(S8-O8)/S8,"")</f>
        <v>-0.2890485726147159</v>
      </c>
      <c r="U8" s="209">
        <v>3033275</v>
      </c>
      <c r="V8" s="210">
        <v>376784</v>
      </c>
      <c r="W8" s="215">
        <f>+U8/V8</f>
        <v>8.050434731835747</v>
      </c>
      <c r="X8" s="7"/>
    </row>
    <row r="9" spans="1:24" s="6" customFormat="1" ht="18">
      <c r="A9" s="52">
        <v>5</v>
      </c>
      <c r="B9" s="182" t="s">
        <v>109</v>
      </c>
      <c r="C9" s="131">
        <v>39297</v>
      </c>
      <c r="D9" s="130" t="s">
        <v>33</v>
      </c>
      <c r="E9" s="130" t="s">
        <v>110</v>
      </c>
      <c r="F9" s="133">
        <v>40</v>
      </c>
      <c r="G9" s="133">
        <v>40</v>
      </c>
      <c r="H9" s="133">
        <v>1</v>
      </c>
      <c r="I9" s="134">
        <v>19544.5</v>
      </c>
      <c r="J9" s="135">
        <v>2276</v>
      </c>
      <c r="K9" s="134">
        <v>28614.5</v>
      </c>
      <c r="L9" s="135">
        <v>3062</v>
      </c>
      <c r="M9" s="134">
        <v>41772.5</v>
      </c>
      <c r="N9" s="135">
        <v>4264</v>
      </c>
      <c r="O9" s="136">
        <f>I9+K9+M9</f>
        <v>89931.5</v>
      </c>
      <c r="P9" s="137">
        <f>J9+L9+N9</f>
        <v>9602</v>
      </c>
      <c r="Q9" s="123">
        <f>+P9/G9</f>
        <v>240.05</v>
      </c>
      <c r="R9" s="126">
        <f>+O9/P9</f>
        <v>9.365913351385128</v>
      </c>
      <c r="S9" s="134"/>
      <c r="T9" s="140">
        <f>IF(S9&lt;&gt;0,-(S9-O9)/S9,"")</f>
      </c>
      <c r="U9" s="141">
        <f>89931.5+0</f>
        <v>89931.5</v>
      </c>
      <c r="V9" s="129">
        <f>9602+0</f>
        <v>9602</v>
      </c>
      <c r="W9" s="186">
        <f>IF(U9&lt;&gt;0,U9/V9,"")</f>
        <v>9.365913351385128</v>
      </c>
      <c r="X9" s="7"/>
    </row>
    <row r="10" spans="1:25" s="9" customFormat="1" ht="18">
      <c r="A10" s="53">
        <v>6</v>
      </c>
      <c r="B10" s="187" t="s">
        <v>111</v>
      </c>
      <c r="C10" s="131">
        <v>39297</v>
      </c>
      <c r="D10" s="142" t="s">
        <v>21</v>
      </c>
      <c r="E10" s="142" t="s">
        <v>21</v>
      </c>
      <c r="F10" s="143">
        <v>25</v>
      </c>
      <c r="G10" s="143">
        <v>25</v>
      </c>
      <c r="H10" s="143">
        <v>1</v>
      </c>
      <c r="I10" s="134">
        <v>14714.5</v>
      </c>
      <c r="J10" s="135">
        <v>1281</v>
      </c>
      <c r="K10" s="134">
        <v>25608.5</v>
      </c>
      <c r="L10" s="135">
        <v>2157</v>
      </c>
      <c r="M10" s="134">
        <v>25542</v>
      </c>
      <c r="N10" s="135">
        <v>2091</v>
      </c>
      <c r="O10" s="136">
        <f>+I10+K10+M10</f>
        <v>65865</v>
      </c>
      <c r="P10" s="137">
        <f>+J10+L10+N10</f>
        <v>5529</v>
      </c>
      <c r="Q10" s="123">
        <f>+P10/G10</f>
        <v>221.16</v>
      </c>
      <c r="R10" s="126">
        <f>+O10/P10</f>
        <v>11.912642430819316</v>
      </c>
      <c r="S10" s="134"/>
      <c r="T10" s="140">
        <f>IF(S10&lt;&gt;0,-(S10-O10)/S10,"")</f>
      </c>
      <c r="U10" s="134">
        <v>65865</v>
      </c>
      <c r="V10" s="135">
        <v>5529</v>
      </c>
      <c r="W10" s="186">
        <f>U10/V10</f>
        <v>11.912642430819316</v>
      </c>
      <c r="Y10" s="8"/>
    </row>
    <row r="11" spans="1:24" s="10" customFormat="1" ht="18">
      <c r="A11" s="52">
        <v>7</v>
      </c>
      <c r="B11" s="184" t="s">
        <v>53</v>
      </c>
      <c r="C11" s="120">
        <v>39276</v>
      </c>
      <c r="D11" s="119" t="s">
        <v>31</v>
      </c>
      <c r="E11" s="119" t="s">
        <v>47</v>
      </c>
      <c r="F11" s="121">
        <v>40</v>
      </c>
      <c r="G11" s="121">
        <v>40</v>
      </c>
      <c r="H11" s="121">
        <v>4</v>
      </c>
      <c r="I11" s="122">
        <v>10077</v>
      </c>
      <c r="J11" s="123">
        <v>1205</v>
      </c>
      <c r="K11" s="122">
        <v>16527.5</v>
      </c>
      <c r="L11" s="123">
        <v>1860</v>
      </c>
      <c r="M11" s="122">
        <v>21714.5</v>
      </c>
      <c r="N11" s="123">
        <v>2471</v>
      </c>
      <c r="O11" s="124">
        <f>SUM(I11+K11+M11)</f>
        <v>48319</v>
      </c>
      <c r="P11" s="125">
        <f>SUM(J11+L11+N11)</f>
        <v>5536</v>
      </c>
      <c r="Q11" s="123">
        <f>+P11/G11</f>
        <v>138.4</v>
      </c>
      <c r="R11" s="126">
        <f>+O11/P11</f>
        <v>8.728143063583815</v>
      </c>
      <c r="S11" s="122">
        <v>92452.5</v>
      </c>
      <c r="T11" s="127">
        <f>(+S11-O11)/S11</f>
        <v>0.4773640518103891</v>
      </c>
      <c r="U11" s="128">
        <v>636229.5</v>
      </c>
      <c r="V11" s="129">
        <v>72373</v>
      </c>
      <c r="W11" s="188">
        <f>U11/V11</f>
        <v>8.790978679894435</v>
      </c>
      <c r="X11" s="8"/>
    </row>
    <row r="12" spans="1:24" s="10" customFormat="1" ht="18">
      <c r="A12" s="53">
        <v>8</v>
      </c>
      <c r="B12" s="182" t="s">
        <v>94</v>
      </c>
      <c r="C12" s="131">
        <v>39290</v>
      </c>
      <c r="D12" s="132" t="s">
        <v>6</v>
      </c>
      <c r="E12" s="130" t="s">
        <v>24</v>
      </c>
      <c r="F12" s="133">
        <v>40</v>
      </c>
      <c r="G12" s="133">
        <v>40</v>
      </c>
      <c r="H12" s="133">
        <v>2</v>
      </c>
      <c r="I12" s="134">
        <v>10162</v>
      </c>
      <c r="J12" s="135">
        <v>1078</v>
      </c>
      <c r="K12" s="134">
        <v>15851</v>
      </c>
      <c r="L12" s="135">
        <v>1571</v>
      </c>
      <c r="M12" s="134">
        <v>17661</v>
      </c>
      <c r="N12" s="135">
        <v>1790</v>
      </c>
      <c r="O12" s="136">
        <f>+I12+K12+M12</f>
        <v>43674</v>
      </c>
      <c r="P12" s="137">
        <f>+J12+L12+N12</f>
        <v>4439</v>
      </c>
      <c r="Q12" s="138">
        <f>IF(O12&lt;&gt;0,P12/G12,"")</f>
        <v>110.975</v>
      </c>
      <c r="R12" s="139">
        <f>IF(O12&lt;&gt;0,O12/P12,"")</f>
        <v>9.838702410452804</v>
      </c>
      <c r="S12" s="134">
        <v>75555</v>
      </c>
      <c r="T12" s="140">
        <f>IF(S12&lt;&gt;0,-(S12-O12)/S12,"")</f>
        <v>-0.42195751439348816</v>
      </c>
      <c r="U12" s="134">
        <v>161058</v>
      </c>
      <c r="V12" s="135">
        <v>17163</v>
      </c>
      <c r="W12" s="183">
        <f>U12/V12</f>
        <v>9.38402377206782</v>
      </c>
      <c r="X12" s="11"/>
    </row>
    <row r="13" spans="1:24" s="10" customFormat="1" ht="18">
      <c r="A13" s="52">
        <v>9</v>
      </c>
      <c r="B13" s="184" t="s">
        <v>15</v>
      </c>
      <c r="C13" s="120">
        <v>39262</v>
      </c>
      <c r="D13" s="119" t="s">
        <v>31</v>
      </c>
      <c r="E13" s="119" t="s">
        <v>47</v>
      </c>
      <c r="F13" s="121">
        <v>78</v>
      </c>
      <c r="G13" s="121">
        <v>76</v>
      </c>
      <c r="H13" s="121">
        <v>6</v>
      </c>
      <c r="I13" s="122">
        <v>9753</v>
      </c>
      <c r="J13" s="123">
        <v>1598</v>
      </c>
      <c r="K13" s="122">
        <v>14079</v>
      </c>
      <c r="L13" s="123">
        <v>2228</v>
      </c>
      <c r="M13" s="122">
        <v>17471</v>
      </c>
      <c r="N13" s="123">
        <v>2767</v>
      </c>
      <c r="O13" s="124">
        <f>I13+K13+M13</f>
        <v>41303</v>
      </c>
      <c r="P13" s="125">
        <f>J13+L13+N13</f>
        <v>6593</v>
      </c>
      <c r="Q13" s="123">
        <f aca="true" t="shared" si="0" ref="Q13:Q22">+P13/G13</f>
        <v>86.75</v>
      </c>
      <c r="R13" s="126">
        <f aca="true" t="shared" si="1" ref="R13:R22">+O13/P13</f>
        <v>6.264674654937054</v>
      </c>
      <c r="S13" s="122">
        <v>53700.5</v>
      </c>
      <c r="T13" s="140">
        <f>IF(S13&lt;&gt;0,-(S13-O13)/S13,"")</f>
        <v>-0.23086377221813578</v>
      </c>
      <c r="U13" s="128">
        <v>1666317.5</v>
      </c>
      <c r="V13" s="129">
        <v>205406</v>
      </c>
      <c r="W13" s="188">
        <f>U13/V13</f>
        <v>8.112311714360827</v>
      </c>
      <c r="X13" s="8"/>
    </row>
    <row r="14" spans="1:24" s="10" customFormat="1" ht="18">
      <c r="A14" s="53">
        <v>10</v>
      </c>
      <c r="B14" s="184" t="s">
        <v>16</v>
      </c>
      <c r="C14" s="120">
        <v>39248</v>
      </c>
      <c r="D14" s="119" t="s">
        <v>17</v>
      </c>
      <c r="E14" s="119" t="s">
        <v>30</v>
      </c>
      <c r="F14" s="121">
        <v>160</v>
      </c>
      <c r="G14" s="121">
        <v>68</v>
      </c>
      <c r="H14" s="121">
        <v>8</v>
      </c>
      <c r="I14" s="122">
        <v>6008</v>
      </c>
      <c r="J14" s="123">
        <v>1014</v>
      </c>
      <c r="K14" s="122">
        <v>9647</v>
      </c>
      <c r="L14" s="123">
        <v>1478</v>
      </c>
      <c r="M14" s="122">
        <v>12031</v>
      </c>
      <c r="N14" s="123">
        <v>1786</v>
      </c>
      <c r="O14" s="124">
        <f>+M14+K14+I14</f>
        <v>27686</v>
      </c>
      <c r="P14" s="125">
        <f>+N14+L14+J14</f>
        <v>4278</v>
      </c>
      <c r="Q14" s="123">
        <f t="shared" si="0"/>
        <v>62.911764705882355</v>
      </c>
      <c r="R14" s="126">
        <f t="shared" si="1"/>
        <v>6.471715755025713</v>
      </c>
      <c r="S14" s="122">
        <v>55143</v>
      </c>
      <c r="T14" s="140">
        <f>IF(S14&lt;&gt;0,-(S14-O14)/S14,"")</f>
        <v>-0.49792358050885877</v>
      </c>
      <c r="U14" s="122">
        <v>4756859</v>
      </c>
      <c r="V14" s="123">
        <v>637835</v>
      </c>
      <c r="W14" s="185">
        <f>+U14/V14</f>
        <v>7.457820596235703</v>
      </c>
      <c r="X14" s="8"/>
    </row>
    <row r="15" spans="1:24" s="10" customFormat="1" ht="18">
      <c r="A15" s="52">
        <v>11</v>
      </c>
      <c r="B15" s="189" t="s">
        <v>112</v>
      </c>
      <c r="C15" s="120">
        <v>39297</v>
      </c>
      <c r="D15" s="144" t="s">
        <v>50</v>
      </c>
      <c r="E15" s="144" t="s">
        <v>32</v>
      </c>
      <c r="F15" s="145">
        <v>1</v>
      </c>
      <c r="G15" s="145">
        <v>5</v>
      </c>
      <c r="H15" s="145">
        <v>1</v>
      </c>
      <c r="I15" s="122">
        <v>2689</v>
      </c>
      <c r="J15" s="123">
        <v>280</v>
      </c>
      <c r="K15" s="122">
        <v>6185</v>
      </c>
      <c r="L15" s="123">
        <v>529</v>
      </c>
      <c r="M15" s="122">
        <v>14768</v>
      </c>
      <c r="N15" s="123">
        <v>1124</v>
      </c>
      <c r="O15" s="124">
        <f>SUM(I15+K15+M15)</f>
        <v>23642</v>
      </c>
      <c r="P15" s="125">
        <f>SUM(J15+L15+N15)</f>
        <v>1933</v>
      </c>
      <c r="Q15" s="123">
        <f t="shared" si="0"/>
        <v>386.6</v>
      </c>
      <c r="R15" s="126">
        <f t="shared" si="1"/>
        <v>12.230729436109675</v>
      </c>
      <c r="S15" s="122"/>
      <c r="T15" s="127"/>
      <c r="U15" s="122">
        <v>23642</v>
      </c>
      <c r="V15" s="123">
        <v>1933</v>
      </c>
      <c r="W15" s="188">
        <f>U15/V15</f>
        <v>12.230729436109675</v>
      </c>
      <c r="X15" s="8"/>
    </row>
    <row r="16" spans="1:24" s="10" customFormat="1" ht="18">
      <c r="A16" s="53">
        <v>12</v>
      </c>
      <c r="B16" s="189" t="s">
        <v>54</v>
      </c>
      <c r="C16" s="120">
        <v>39276</v>
      </c>
      <c r="D16" s="144" t="s">
        <v>50</v>
      </c>
      <c r="E16" s="144" t="s">
        <v>32</v>
      </c>
      <c r="F16" s="145">
        <v>49</v>
      </c>
      <c r="G16" s="145">
        <v>45</v>
      </c>
      <c r="H16" s="145">
        <v>4</v>
      </c>
      <c r="I16" s="122">
        <v>4873</v>
      </c>
      <c r="J16" s="123">
        <v>746</v>
      </c>
      <c r="K16" s="122">
        <v>6361</v>
      </c>
      <c r="L16" s="123">
        <v>1116</v>
      </c>
      <c r="M16" s="122">
        <v>10127</v>
      </c>
      <c r="N16" s="123">
        <v>1420</v>
      </c>
      <c r="O16" s="124">
        <f>SUM(I16+K16+M16)</f>
        <v>21361</v>
      </c>
      <c r="P16" s="125">
        <f>SUM(J16+L16+N16)</f>
        <v>3282</v>
      </c>
      <c r="Q16" s="123">
        <f t="shared" si="0"/>
        <v>72.93333333333334</v>
      </c>
      <c r="R16" s="126">
        <f t="shared" si="1"/>
        <v>6.508531383302864</v>
      </c>
      <c r="S16" s="122"/>
      <c r="T16" s="127"/>
      <c r="U16" s="122">
        <v>409631</v>
      </c>
      <c r="V16" s="123">
        <v>49191</v>
      </c>
      <c r="W16" s="188">
        <f>U16/V16</f>
        <v>8.327356630277896</v>
      </c>
      <c r="X16" s="8"/>
    </row>
    <row r="17" spans="1:24" s="10" customFormat="1" ht="18">
      <c r="A17" s="52">
        <v>13</v>
      </c>
      <c r="B17" s="190" t="s">
        <v>113</v>
      </c>
      <c r="C17" s="147">
        <v>39297</v>
      </c>
      <c r="D17" s="146" t="s">
        <v>8</v>
      </c>
      <c r="E17" s="146" t="s">
        <v>61</v>
      </c>
      <c r="F17" s="148">
        <v>10</v>
      </c>
      <c r="G17" s="148">
        <v>10</v>
      </c>
      <c r="H17" s="148">
        <v>1</v>
      </c>
      <c r="I17" s="149">
        <v>3850</v>
      </c>
      <c r="J17" s="150">
        <v>332</v>
      </c>
      <c r="K17" s="149">
        <v>6739</v>
      </c>
      <c r="L17" s="150">
        <v>530</v>
      </c>
      <c r="M17" s="149">
        <v>8568</v>
      </c>
      <c r="N17" s="150">
        <v>773</v>
      </c>
      <c r="O17" s="151">
        <f>M17+K17+I17</f>
        <v>19157</v>
      </c>
      <c r="P17" s="152">
        <f>N17+L17+J17</f>
        <v>1635</v>
      </c>
      <c r="Q17" s="123">
        <f t="shared" si="0"/>
        <v>163.5</v>
      </c>
      <c r="R17" s="126">
        <f t="shared" si="1"/>
        <v>11.716819571865443</v>
      </c>
      <c r="S17" s="149"/>
      <c r="T17" s="153"/>
      <c r="U17" s="149">
        <f>O17</f>
        <v>19157</v>
      </c>
      <c r="V17" s="150">
        <f>P17</f>
        <v>1635</v>
      </c>
      <c r="W17" s="191">
        <f>R17</f>
        <v>11.716819571865443</v>
      </c>
      <c r="X17" s="8"/>
    </row>
    <row r="18" spans="1:24" s="10" customFormat="1" ht="18">
      <c r="A18" s="53">
        <v>14</v>
      </c>
      <c r="B18" s="184" t="s">
        <v>52</v>
      </c>
      <c r="C18" s="120">
        <v>39101</v>
      </c>
      <c r="D18" s="119" t="s">
        <v>31</v>
      </c>
      <c r="E18" s="119" t="s">
        <v>31</v>
      </c>
      <c r="F18" s="121">
        <v>160</v>
      </c>
      <c r="G18" s="121">
        <v>2</v>
      </c>
      <c r="H18" s="121">
        <v>28</v>
      </c>
      <c r="I18" s="122">
        <v>2107</v>
      </c>
      <c r="J18" s="123">
        <v>526</v>
      </c>
      <c r="K18" s="122">
        <v>2736</v>
      </c>
      <c r="L18" s="123">
        <v>683</v>
      </c>
      <c r="M18" s="122">
        <v>12092</v>
      </c>
      <c r="N18" s="123">
        <v>3022</v>
      </c>
      <c r="O18" s="124">
        <f>I18+K18+M18</f>
        <v>16935</v>
      </c>
      <c r="P18" s="125">
        <f>J18+L18+N18</f>
        <v>4231</v>
      </c>
      <c r="Q18" s="123">
        <f t="shared" si="0"/>
        <v>2115.5</v>
      </c>
      <c r="R18" s="126">
        <f t="shared" si="1"/>
        <v>4.002599858189553</v>
      </c>
      <c r="S18" s="122">
        <v>6585</v>
      </c>
      <c r="T18" s="140">
        <f>IF(S18&lt;&gt;0,-(S18-O18)/S18,"")</f>
        <v>1.571753986332574</v>
      </c>
      <c r="U18" s="128">
        <v>7535024.5</v>
      </c>
      <c r="V18" s="129">
        <v>1069999</v>
      </c>
      <c r="W18" s="188">
        <f>U18/V18</f>
        <v>7.042085553350985</v>
      </c>
      <c r="X18" s="8"/>
    </row>
    <row r="19" spans="1:24" s="10" customFormat="1" ht="18">
      <c r="A19" s="52">
        <v>15</v>
      </c>
      <c r="B19" s="184" t="s">
        <v>95</v>
      </c>
      <c r="C19" s="120">
        <v>39276</v>
      </c>
      <c r="D19" s="119" t="s">
        <v>17</v>
      </c>
      <c r="E19" s="119" t="s">
        <v>30</v>
      </c>
      <c r="F19" s="121">
        <v>20</v>
      </c>
      <c r="G19" s="121">
        <v>20</v>
      </c>
      <c r="H19" s="121">
        <v>2</v>
      </c>
      <c r="I19" s="122">
        <v>4133</v>
      </c>
      <c r="J19" s="123">
        <v>380</v>
      </c>
      <c r="K19" s="122">
        <v>5383</v>
      </c>
      <c r="L19" s="123">
        <v>462</v>
      </c>
      <c r="M19" s="122">
        <v>5808</v>
      </c>
      <c r="N19" s="123">
        <v>511</v>
      </c>
      <c r="O19" s="124">
        <f>+M19+K19+I19</f>
        <v>15324</v>
      </c>
      <c r="P19" s="125">
        <f>+N19+L19+J19</f>
        <v>1353</v>
      </c>
      <c r="Q19" s="123">
        <f t="shared" si="0"/>
        <v>67.65</v>
      </c>
      <c r="R19" s="126">
        <f t="shared" si="1"/>
        <v>11.325942350332594</v>
      </c>
      <c r="S19" s="122">
        <v>19219</v>
      </c>
      <c r="T19" s="127">
        <f>(+S19-O19)/S19</f>
        <v>0.2026640303865966</v>
      </c>
      <c r="U19" s="122">
        <v>50604</v>
      </c>
      <c r="V19" s="123">
        <v>4766</v>
      </c>
      <c r="W19" s="185">
        <f>+U19/V19</f>
        <v>10.617708770457407</v>
      </c>
      <c r="X19" s="8"/>
    </row>
    <row r="20" spans="1:24" s="10" customFormat="1" ht="18">
      <c r="A20" s="53">
        <v>16</v>
      </c>
      <c r="B20" s="192" t="s">
        <v>114</v>
      </c>
      <c r="C20" s="155">
        <v>39283</v>
      </c>
      <c r="D20" s="154" t="s">
        <v>73</v>
      </c>
      <c r="E20" s="154" t="s">
        <v>85</v>
      </c>
      <c r="F20" s="156">
        <v>27</v>
      </c>
      <c r="G20" s="157">
        <v>27</v>
      </c>
      <c r="H20" s="157">
        <v>3</v>
      </c>
      <c r="I20" s="158">
        <v>3324.5</v>
      </c>
      <c r="J20" s="159">
        <v>484</v>
      </c>
      <c r="K20" s="158">
        <v>4713</v>
      </c>
      <c r="L20" s="159">
        <v>684</v>
      </c>
      <c r="M20" s="158">
        <v>6531.5</v>
      </c>
      <c r="N20" s="159">
        <v>958</v>
      </c>
      <c r="O20" s="160">
        <f>+I20+K20+M20</f>
        <v>14569</v>
      </c>
      <c r="P20" s="161">
        <f>J20+L20+N20</f>
        <v>2126</v>
      </c>
      <c r="Q20" s="123">
        <f t="shared" si="0"/>
        <v>78.74074074074075</v>
      </c>
      <c r="R20" s="126">
        <f t="shared" si="1"/>
        <v>6.85277516462841</v>
      </c>
      <c r="S20" s="158"/>
      <c r="T20" s="162"/>
      <c r="U20" s="158">
        <v>133655.5</v>
      </c>
      <c r="V20" s="159">
        <v>15956</v>
      </c>
      <c r="W20" s="193">
        <f>+U20/V20</f>
        <v>8.376504136375031</v>
      </c>
      <c r="X20" s="8"/>
    </row>
    <row r="21" spans="1:24" s="10" customFormat="1" ht="18">
      <c r="A21" s="52">
        <v>17</v>
      </c>
      <c r="B21" s="189" t="s">
        <v>98</v>
      </c>
      <c r="C21" s="120">
        <v>39269</v>
      </c>
      <c r="D21" s="144" t="s">
        <v>50</v>
      </c>
      <c r="E21" s="144" t="s">
        <v>50</v>
      </c>
      <c r="F21" s="145">
        <v>10</v>
      </c>
      <c r="G21" s="145">
        <v>10</v>
      </c>
      <c r="H21" s="145">
        <v>5</v>
      </c>
      <c r="I21" s="122">
        <v>2278</v>
      </c>
      <c r="J21" s="123">
        <v>352</v>
      </c>
      <c r="K21" s="122">
        <v>2911</v>
      </c>
      <c r="L21" s="123">
        <v>386</v>
      </c>
      <c r="M21" s="122">
        <v>5324</v>
      </c>
      <c r="N21" s="123">
        <v>687</v>
      </c>
      <c r="O21" s="124">
        <f>SUM(I21+K21+M21)</f>
        <v>10513</v>
      </c>
      <c r="P21" s="125">
        <f>SUM(J21+L21+N21)</f>
        <v>1425</v>
      </c>
      <c r="Q21" s="123">
        <f t="shared" si="0"/>
        <v>142.5</v>
      </c>
      <c r="R21" s="126">
        <f t="shared" si="1"/>
        <v>7.377543859649123</v>
      </c>
      <c r="S21" s="122"/>
      <c r="T21" s="127"/>
      <c r="U21" s="122">
        <v>90166.5</v>
      </c>
      <c r="V21" s="123">
        <v>10969</v>
      </c>
      <c r="W21" s="188">
        <f aca="true" t="shared" si="2" ref="W21:W28">U21/V21</f>
        <v>8.22012033913757</v>
      </c>
      <c r="X21" s="8"/>
    </row>
    <row r="22" spans="1:24" s="10" customFormat="1" ht="18">
      <c r="A22" s="53">
        <v>18</v>
      </c>
      <c r="B22" s="187" t="s">
        <v>84</v>
      </c>
      <c r="C22" s="131">
        <v>39283</v>
      </c>
      <c r="D22" s="142" t="s">
        <v>21</v>
      </c>
      <c r="E22" s="142" t="s">
        <v>32</v>
      </c>
      <c r="F22" s="143">
        <v>20</v>
      </c>
      <c r="G22" s="143">
        <v>20</v>
      </c>
      <c r="H22" s="143">
        <v>3</v>
      </c>
      <c r="I22" s="134">
        <v>2158.5</v>
      </c>
      <c r="J22" s="135">
        <v>251</v>
      </c>
      <c r="K22" s="134">
        <v>3367</v>
      </c>
      <c r="L22" s="135">
        <v>383</v>
      </c>
      <c r="M22" s="134">
        <v>4928</v>
      </c>
      <c r="N22" s="135">
        <v>558</v>
      </c>
      <c r="O22" s="136">
        <f>+I22+K22+M22</f>
        <v>10453.5</v>
      </c>
      <c r="P22" s="137">
        <f>+J22+L22+N22</f>
        <v>1192</v>
      </c>
      <c r="Q22" s="123">
        <f t="shared" si="0"/>
        <v>59.6</v>
      </c>
      <c r="R22" s="126">
        <f t="shared" si="1"/>
        <v>8.769714765100671</v>
      </c>
      <c r="S22" s="134">
        <v>26838</v>
      </c>
      <c r="T22" s="127">
        <f>(+S22-O22)/S22</f>
        <v>0.6104963112005366</v>
      </c>
      <c r="U22" s="134">
        <v>126186.5</v>
      </c>
      <c r="V22" s="135">
        <v>11796</v>
      </c>
      <c r="W22" s="186">
        <f t="shared" si="2"/>
        <v>10.697397422855206</v>
      </c>
      <c r="X22" s="8"/>
    </row>
    <row r="23" spans="1:24" s="10" customFormat="1" ht="18">
      <c r="A23" s="52">
        <v>19</v>
      </c>
      <c r="B23" s="182" t="s">
        <v>40</v>
      </c>
      <c r="C23" s="131">
        <v>39269</v>
      </c>
      <c r="D23" s="132" t="s">
        <v>6</v>
      </c>
      <c r="E23" s="130" t="s">
        <v>74</v>
      </c>
      <c r="F23" s="133">
        <v>56</v>
      </c>
      <c r="G23" s="133">
        <v>36</v>
      </c>
      <c r="H23" s="133">
        <v>5</v>
      </c>
      <c r="I23" s="134">
        <v>2308</v>
      </c>
      <c r="J23" s="135">
        <v>385</v>
      </c>
      <c r="K23" s="134">
        <v>3298</v>
      </c>
      <c r="L23" s="135">
        <v>584</v>
      </c>
      <c r="M23" s="134">
        <v>4783</v>
      </c>
      <c r="N23" s="135">
        <v>804</v>
      </c>
      <c r="O23" s="136">
        <f>+I23+K23+M23</f>
        <v>10389</v>
      </c>
      <c r="P23" s="137">
        <f>+J23+L23+N23</f>
        <v>1773</v>
      </c>
      <c r="Q23" s="138">
        <f>IF(O23&lt;&gt;0,P23/G23,"")</f>
        <v>49.25</v>
      </c>
      <c r="R23" s="139">
        <f>IF(O23&lt;&gt;0,O23/P23,"")</f>
        <v>5.859560067681895</v>
      </c>
      <c r="S23" s="134">
        <v>10353</v>
      </c>
      <c r="T23" s="140">
        <f>IF(S23&lt;&gt;0,-(S23-O23)/S23,"")</f>
        <v>0.0034772529701535787</v>
      </c>
      <c r="U23" s="134">
        <v>303781</v>
      </c>
      <c r="V23" s="135">
        <v>38721</v>
      </c>
      <c r="W23" s="183">
        <f t="shared" si="2"/>
        <v>7.845381059373467</v>
      </c>
      <c r="X23" s="8"/>
    </row>
    <row r="24" spans="1:24" s="10" customFormat="1" ht="18">
      <c r="A24" s="53">
        <v>20</v>
      </c>
      <c r="B24" s="184" t="s">
        <v>115</v>
      </c>
      <c r="C24" s="120">
        <v>39262</v>
      </c>
      <c r="D24" s="164" t="s">
        <v>116</v>
      </c>
      <c r="E24" s="119" t="s">
        <v>117</v>
      </c>
      <c r="F24" s="121">
        <v>15</v>
      </c>
      <c r="G24" s="121">
        <v>14</v>
      </c>
      <c r="H24" s="121">
        <v>6</v>
      </c>
      <c r="I24" s="128">
        <v>2396.5</v>
      </c>
      <c r="J24" s="129">
        <v>315</v>
      </c>
      <c r="K24" s="128">
        <v>3456</v>
      </c>
      <c r="L24" s="129">
        <v>442</v>
      </c>
      <c r="M24" s="128">
        <v>3528</v>
      </c>
      <c r="N24" s="129">
        <v>458</v>
      </c>
      <c r="O24" s="165">
        <f>I24+K24+M24</f>
        <v>9380.5</v>
      </c>
      <c r="P24" s="166">
        <f>J24+L24+N24</f>
        <v>1215</v>
      </c>
      <c r="Q24" s="123">
        <f aca="true" t="shared" si="3" ref="Q24:Q31">+P24/G24</f>
        <v>86.78571428571429</v>
      </c>
      <c r="R24" s="126">
        <f aca="true" t="shared" si="4" ref="R24:R31">+O24/P24</f>
        <v>7.720576131687243</v>
      </c>
      <c r="S24" s="128">
        <v>19949.5</v>
      </c>
      <c r="T24" s="140">
        <f>IF(S24&lt;&gt;0,-(S24-O24)/S24,"")</f>
        <v>-0.5297877139777939</v>
      </c>
      <c r="U24" s="128">
        <v>156725.5</v>
      </c>
      <c r="V24" s="129">
        <v>16427</v>
      </c>
      <c r="W24" s="188">
        <f t="shared" si="2"/>
        <v>9.54072563462592</v>
      </c>
      <c r="X24" s="8"/>
    </row>
    <row r="25" spans="1:24" s="10" customFormat="1" ht="18">
      <c r="A25" s="52">
        <v>21</v>
      </c>
      <c r="B25" s="190" t="s">
        <v>118</v>
      </c>
      <c r="C25" s="147">
        <v>39276</v>
      </c>
      <c r="D25" s="146" t="s">
        <v>8</v>
      </c>
      <c r="E25" s="146" t="s">
        <v>64</v>
      </c>
      <c r="F25" s="148">
        <v>26</v>
      </c>
      <c r="G25" s="148">
        <v>25</v>
      </c>
      <c r="H25" s="148">
        <v>4</v>
      </c>
      <c r="I25" s="149">
        <v>2107</v>
      </c>
      <c r="J25" s="150">
        <v>284</v>
      </c>
      <c r="K25" s="149">
        <v>3326</v>
      </c>
      <c r="L25" s="150">
        <v>472</v>
      </c>
      <c r="M25" s="149">
        <v>3710</v>
      </c>
      <c r="N25" s="150">
        <v>528</v>
      </c>
      <c r="O25" s="151">
        <f>M25+K25+I25</f>
        <v>9143</v>
      </c>
      <c r="P25" s="152">
        <f>N25+L25+J25</f>
        <v>1284</v>
      </c>
      <c r="Q25" s="123">
        <f t="shared" si="3"/>
        <v>51.36</v>
      </c>
      <c r="R25" s="126">
        <f t="shared" si="4"/>
        <v>7.120716510903427</v>
      </c>
      <c r="S25" s="149">
        <v>30663</v>
      </c>
      <c r="T25" s="140">
        <f>IF(S25&lt;&gt;0,-(S25-O25)/S25,"")</f>
        <v>-0.7018230440596158</v>
      </c>
      <c r="U25" s="149">
        <v>287532</v>
      </c>
      <c r="V25" s="150">
        <v>27496</v>
      </c>
      <c r="W25" s="191">
        <f t="shared" si="2"/>
        <v>10.45723014256619</v>
      </c>
      <c r="X25" s="8"/>
    </row>
    <row r="26" spans="1:25" s="10" customFormat="1" ht="18">
      <c r="A26" s="53">
        <v>22</v>
      </c>
      <c r="B26" s="184" t="s">
        <v>119</v>
      </c>
      <c r="C26" s="120">
        <v>39283</v>
      </c>
      <c r="D26" s="164" t="s">
        <v>116</v>
      </c>
      <c r="E26" s="119" t="s">
        <v>120</v>
      </c>
      <c r="F26" s="121">
        <v>30</v>
      </c>
      <c r="G26" s="121">
        <v>21</v>
      </c>
      <c r="H26" s="121">
        <v>3</v>
      </c>
      <c r="I26" s="128">
        <v>1283.5</v>
      </c>
      <c r="J26" s="129">
        <v>210</v>
      </c>
      <c r="K26" s="128">
        <v>2009.5</v>
      </c>
      <c r="L26" s="129">
        <v>310</v>
      </c>
      <c r="M26" s="128">
        <v>2763</v>
      </c>
      <c r="N26" s="129">
        <v>414</v>
      </c>
      <c r="O26" s="165">
        <f aca="true" t="shared" si="5" ref="O26:P28">I26+K26+M26</f>
        <v>6056</v>
      </c>
      <c r="P26" s="166">
        <f t="shared" si="5"/>
        <v>934</v>
      </c>
      <c r="Q26" s="123">
        <f t="shared" si="3"/>
        <v>44.476190476190474</v>
      </c>
      <c r="R26" s="126">
        <f t="shared" si="4"/>
        <v>6.483940042826553</v>
      </c>
      <c r="S26" s="128">
        <v>10573.5</v>
      </c>
      <c r="T26" s="153">
        <f>(+S26-O26)/S26</f>
        <v>0.42724736369224947</v>
      </c>
      <c r="U26" s="128">
        <v>57128.5</v>
      </c>
      <c r="V26" s="129">
        <v>6859</v>
      </c>
      <c r="W26" s="188">
        <f t="shared" si="2"/>
        <v>8.328983816882927</v>
      </c>
      <c r="X26" s="8"/>
      <c r="Y26" s="8"/>
    </row>
    <row r="27" spans="1:25" s="10" customFormat="1" ht="18">
      <c r="A27" s="53">
        <v>23</v>
      </c>
      <c r="B27" s="184" t="s">
        <v>121</v>
      </c>
      <c r="C27" s="120">
        <v>39262</v>
      </c>
      <c r="D27" s="164" t="s">
        <v>116</v>
      </c>
      <c r="E27" s="119" t="s">
        <v>122</v>
      </c>
      <c r="F27" s="121">
        <v>21</v>
      </c>
      <c r="G27" s="121">
        <v>21</v>
      </c>
      <c r="H27" s="121">
        <v>6</v>
      </c>
      <c r="I27" s="128">
        <v>1558</v>
      </c>
      <c r="J27" s="129">
        <v>265</v>
      </c>
      <c r="K27" s="128">
        <v>2216.5</v>
      </c>
      <c r="L27" s="129">
        <v>362</v>
      </c>
      <c r="M27" s="128">
        <v>2132.5</v>
      </c>
      <c r="N27" s="129">
        <v>345</v>
      </c>
      <c r="O27" s="165">
        <f t="shared" si="5"/>
        <v>5907</v>
      </c>
      <c r="P27" s="166">
        <f t="shared" si="5"/>
        <v>972</v>
      </c>
      <c r="Q27" s="123">
        <f t="shared" si="3"/>
        <v>46.285714285714285</v>
      </c>
      <c r="R27" s="126">
        <f t="shared" si="4"/>
        <v>6.077160493827161</v>
      </c>
      <c r="S27" s="128">
        <v>12159.5</v>
      </c>
      <c r="T27" s="140">
        <f>IF(S27&lt;&gt;0,-(S27-O27)/S27,"")</f>
        <v>-0.5142069986430363</v>
      </c>
      <c r="U27" s="128">
        <v>142073</v>
      </c>
      <c r="V27" s="129">
        <v>19358</v>
      </c>
      <c r="W27" s="188">
        <f t="shared" si="2"/>
        <v>7.339239590866825</v>
      </c>
      <c r="X27" s="8"/>
      <c r="Y27" s="8"/>
    </row>
    <row r="28" spans="1:25" s="10" customFormat="1" ht="18">
      <c r="A28" s="52">
        <v>24</v>
      </c>
      <c r="B28" s="184" t="s">
        <v>123</v>
      </c>
      <c r="C28" s="120">
        <v>39290</v>
      </c>
      <c r="D28" s="164" t="s">
        <v>116</v>
      </c>
      <c r="E28" s="119" t="s">
        <v>122</v>
      </c>
      <c r="F28" s="121">
        <v>10</v>
      </c>
      <c r="G28" s="121">
        <v>10</v>
      </c>
      <c r="H28" s="121">
        <v>2</v>
      </c>
      <c r="I28" s="128">
        <v>1127</v>
      </c>
      <c r="J28" s="129">
        <v>115</v>
      </c>
      <c r="K28" s="128">
        <v>2028</v>
      </c>
      <c r="L28" s="129">
        <v>190</v>
      </c>
      <c r="M28" s="128">
        <v>2145</v>
      </c>
      <c r="N28" s="129">
        <v>203</v>
      </c>
      <c r="O28" s="165">
        <f t="shared" si="5"/>
        <v>5300</v>
      </c>
      <c r="P28" s="166">
        <f t="shared" si="5"/>
        <v>508</v>
      </c>
      <c r="Q28" s="123">
        <f t="shared" si="3"/>
        <v>50.8</v>
      </c>
      <c r="R28" s="126">
        <f t="shared" si="4"/>
        <v>10.433070866141732</v>
      </c>
      <c r="S28" s="128">
        <v>14899</v>
      </c>
      <c r="T28" s="140">
        <f>IF(S28&lt;&gt;0,-(S28-O28)/S28,"")</f>
        <v>-0.6442714276125915</v>
      </c>
      <c r="U28" s="128">
        <v>30962.5</v>
      </c>
      <c r="V28" s="129">
        <v>2784</v>
      </c>
      <c r="W28" s="188">
        <f t="shared" si="2"/>
        <v>11.121587643678161</v>
      </c>
      <c r="X28" s="8"/>
      <c r="Y28" s="8"/>
    </row>
    <row r="29" spans="1:25" s="10" customFormat="1" ht="18">
      <c r="A29" s="53">
        <v>25</v>
      </c>
      <c r="B29" s="184" t="s">
        <v>55</v>
      </c>
      <c r="C29" s="120">
        <v>39276</v>
      </c>
      <c r="D29" s="119" t="s">
        <v>17</v>
      </c>
      <c r="E29" s="119" t="s">
        <v>67</v>
      </c>
      <c r="F29" s="121">
        <v>20</v>
      </c>
      <c r="G29" s="121">
        <v>19</v>
      </c>
      <c r="H29" s="121">
        <v>4</v>
      </c>
      <c r="I29" s="122">
        <v>1125</v>
      </c>
      <c r="J29" s="123">
        <v>197</v>
      </c>
      <c r="K29" s="122">
        <v>1892</v>
      </c>
      <c r="L29" s="123">
        <v>322</v>
      </c>
      <c r="M29" s="122">
        <v>2132</v>
      </c>
      <c r="N29" s="123">
        <v>359</v>
      </c>
      <c r="O29" s="124">
        <f>+M29+K29+I29</f>
        <v>5149</v>
      </c>
      <c r="P29" s="125">
        <f>+N29+L29+J29</f>
        <v>878</v>
      </c>
      <c r="Q29" s="123">
        <f t="shared" si="3"/>
        <v>46.21052631578947</v>
      </c>
      <c r="R29" s="126">
        <f t="shared" si="4"/>
        <v>5.864464692482915</v>
      </c>
      <c r="S29" s="122">
        <v>9397</v>
      </c>
      <c r="T29" s="127">
        <f>(+S29-O29)/S29</f>
        <v>0.4520591678195169</v>
      </c>
      <c r="U29" s="122">
        <v>84442</v>
      </c>
      <c r="V29" s="123">
        <v>9016</v>
      </c>
      <c r="W29" s="185">
        <f>+U29/V29</f>
        <v>9.365794143744454</v>
      </c>
      <c r="X29" s="8"/>
      <c r="Y29" s="8"/>
    </row>
    <row r="30" spans="1:25" s="10" customFormat="1" ht="18">
      <c r="A30" s="52">
        <v>26</v>
      </c>
      <c r="B30" s="184" t="s">
        <v>124</v>
      </c>
      <c r="C30" s="120">
        <v>39178</v>
      </c>
      <c r="D30" s="164" t="s">
        <v>116</v>
      </c>
      <c r="E30" s="119" t="s">
        <v>64</v>
      </c>
      <c r="F30" s="121">
        <v>43</v>
      </c>
      <c r="G30" s="121">
        <v>12</v>
      </c>
      <c r="H30" s="121">
        <v>18</v>
      </c>
      <c r="I30" s="128">
        <v>984.5</v>
      </c>
      <c r="J30" s="129">
        <v>171</v>
      </c>
      <c r="K30" s="128">
        <v>1014</v>
      </c>
      <c r="L30" s="129">
        <v>151</v>
      </c>
      <c r="M30" s="128">
        <v>1301</v>
      </c>
      <c r="N30" s="129">
        <v>202</v>
      </c>
      <c r="O30" s="165">
        <f>I30+K30+M30</f>
        <v>3299.5</v>
      </c>
      <c r="P30" s="166">
        <f>J30+L30+N30</f>
        <v>524</v>
      </c>
      <c r="Q30" s="123">
        <f t="shared" si="3"/>
        <v>43.666666666666664</v>
      </c>
      <c r="R30" s="126">
        <f t="shared" si="4"/>
        <v>6.29675572519084</v>
      </c>
      <c r="S30" s="128">
        <v>14689</v>
      </c>
      <c r="T30" s="153">
        <f>(+S30-O30)/S30</f>
        <v>0.7753761317993056</v>
      </c>
      <c r="U30" s="128">
        <v>823353.6</v>
      </c>
      <c r="V30" s="129">
        <v>107984</v>
      </c>
      <c r="W30" s="188">
        <f>U30/V30</f>
        <v>7.624774040598607</v>
      </c>
      <c r="X30" s="8"/>
      <c r="Y30" s="8"/>
    </row>
    <row r="31" spans="1:25" s="10" customFormat="1" ht="18">
      <c r="A31" s="53">
        <v>27</v>
      </c>
      <c r="B31" s="184" t="s">
        <v>100</v>
      </c>
      <c r="C31" s="120">
        <v>39227</v>
      </c>
      <c r="D31" s="119" t="s">
        <v>17</v>
      </c>
      <c r="E31" s="119" t="s">
        <v>18</v>
      </c>
      <c r="F31" s="121">
        <v>216</v>
      </c>
      <c r="G31" s="121">
        <v>14</v>
      </c>
      <c r="H31" s="121">
        <v>11</v>
      </c>
      <c r="I31" s="122">
        <v>734</v>
      </c>
      <c r="J31" s="123">
        <v>141</v>
      </c>
      <c r="K31" s="122">
        <v>930</v>
      </c>
      <c r="L31" s="123">
        <v>170</v>
      </c>
      <c r="M31" s="122">
        <v>1566</v>
      </c>
      <c r="N31" s="123">
        <v>281</v>
      </c>
      <c r="O31" s="124">
        <f>+M31+K31+I31</f>
        <v>3230</v>
      </c>
      <c r="P31" s="125">
        <f>+N31+L31+J31</f>
        <v>592</v>
      </c>
      <c r="Q31" s="123">
        <f t="shared" si="3"/>
        <v>42.285714285714285</v>
      </c>
      <c r="R31" s="126">
        <f t="shared" si="4"/>
        <v>5.456081081081081</v>
      </c>
      <c r="S31" s="122">
        <v>3676</v>
      </c>
      <c r="T31" s="140">
        <f>IF(S31&lt;&gt;0,-(S31-O31)/S31,"")</f>
        <v>-0.12132752992383025</v>
      </c>
      <c r="U31" s="122">
        <v>7373805</v>
      </c>
      <c r="V31" s="123">
        <v>963184</v>
      </c>
      <c r="W31" s="185">
        <f>+U31/V31</f>
        <v>7.655655617202943</v>
      </c>
      <c r="X31" s="8"/>
      <c r="Y31" s="8"/>
    </row>
    <row r="32" spans="1:25" s="10" customFormat="1" ht="18">
      <c r="A32" s="52">
        <v>28</v>
      </c>
      <c r="B32" s="182" t="s">
        <v>81</v>
      </c>
      <c r="C32" s="131">
        <v>39255</v>
      </c>
      <c r="D32" s="132" t="s">
        <v>6</v>
      </c>
      <c r="E32" s="130" t="s">
        <v>48</v>
      </c>
      <c r="F32" s="133">
        <v>55</v>
      </c>
      <c r="G32" s="133">
        <v>14</v>
      </c>
      <c r="H32" s="133">
        <v>7</v>
      </c>
      <c r="I32" s="134">
        <v>850</v>
      </c>
      <c r="J32" s="135">
        <v>133</v>
      </c>
      <c r="K32" s="134">
        <v>769</v>
      </c>
      <c r="L32" s="135">
        <v>116</v>
      </c>
      <c r="M32" s="134">
        <v>1459</v>
      </c>
      <c r="N32" s="135">
        <v>234</v>
      </c>
      <c r="O32" s="136">
        <f>+I32+K32+M32</f>
        <v>3078</v>
      </c>
      <c r="P32" s="137">
        <f>+J32+L32+N32</f>
        <v>483</v>
      </c>
      <c r="Q32" s="138">
        <f>IF(O32&lt;&gt;0,P32/G32,"")</f>
        <v>34.5</v>
      </c>
      <c r="R32" s="139">
        <f>IF(O32&lt;&gt;0,O32/P32,"")</f>
        <v>6.372670807453416</v>
      </c>
      <c r="S32" s="134">
        <v>12087</v>
      </c>
      <c r="T32" s="140">
        <f>IF(S32&lt;&gt;0,-(S32-O32)/S32,"")</f>
        <v>-0.7453462397617274</v>
      </c>
      <c r="U32" s="134">
        <v>568390</v>
      </c>
      <c r="V32" s="135">
        <v>71269</v>
      </c>
      <c r="W32" s="183">
        <f aca="true" t="shared" si="6" ref="W32:W40">U32/V32</f>
        <v>7.975276768300383</v>
      </c>
      <c r="X32" s="8"/>
      <c r="Y32" s="8"/>
    </row>
    <row r="33" spans="1:25" s="10" customFormat="1" ht="18">
      <c r="A33" s="53">
        <v>29</v>
      </c>
      <c r="B33" s="182" t="s">
        <v>99</v>
      </c>
      <c r="C33" s="131">
        <v>39241</v>
      </c>
      <c r="D33" s="132" t="s">
        <v>6</v>
      </c>
      <c r="E33" s="130" t="s">
        <v>7</v>
      </c>
      <c r="F33" s="133">
        <v>114</v>
      </c>
      <c r="G33" s="133">
        <v>17</v>
      </c>
      <c r="H33" s="133">
        <v>9</v>
      </c>
      <c r="I33" s="134">
        <v>766</v>
      </c>
      <c r="J33" s="135">
        <v>134</v>
      </c>
      <c r="K33" s="134">
        <v>974</v>
      </c>
      <c r="L33" s="135">
        <v>179</v>
      </c>
      <c r="M33" s="134">
        <v>1222</v>
      </c>
      <c r="N33" s="135">
        <v>235</v>
      </c>
      <c r="O33" s="136">
        <f>+I33+K33+M33</f>
        <v>2962</v>
      </c>
      <c r="P33" s="137">
        <f>+J33+L33+N33</f>
        <v>548</v>
      </c>
      <c r="Q33" s="138">
        <f>IF(O33&lt;&gt;0,P33/G33,"")</f>
        <v>32.23529411764706</v>
      </c>
      <c r="R33" s="139">
        <f>IF(O33&lt;&gt;0,O33/P33,"")</f>
        <v>5.405109489051095</v>
      </c>
      <c r="S33" s="134">
        <v>5588</v>
      </c>
      <c r="T33" s="140">
        <f>IF(S33&lt;&gt;0,-(S33-O33)/S33,"")</f>
        <v>-0.4699355762347888</v>
      </c>
      <c r="U33" s="134">
        <v>2880931</v>
      </c>
      <c r="V33" s="135">
        <v>336419</v>
      </c>
      <c r="W33" s="183">
        <f t="shared" si="6"/>
        <v>8.563520490816511</v>
      </c>
      <c r="X33" s="8"/>
      <c r="Y33" s="8"/>
    </row>
    <row r="34" spans="1:25" s="10" customFormat="1" ht="18">
      <c r="A34" s="53">
        <v>30</v>
      </c>
      <c r="B34" s="187" t="s">
        <v>97</v>
      </c>
      <c r="C34" s="131">
        <v>39080</v>
      </c>
      <c r="D34" s="146" t="s">
        <v>23</v>
      </c>
      <c r="E34" s="146" t="s">
        <v>96</v>
      </c>
      <c r="F34" s="148">
        <v>97</v>
      </c>
      <c r="G34" s="148">
        <v>1</v>
      </c>
      <c r="H34" s="148">
        <v>27</v>
      </c>
      <c r="I34" s="149">
        <v>900</v>
      </c>
      <c r="J34" s="150">
        <v>300</v>
      </c>
      <c r="K34" s="149">
        <v>900</v>
      </c>
      <c r="L34" s="150">
        <v>300</v>
      </c>
      <c r="M34" s="149">
        <v>900</v>
      </c>
      <c r="N34" s="150">
        <v>300</v>
      </c>
      <c r="O34" s="151">
        <f>I34+K34+M34</f>
        <v>2700</v>
      </c>
      <c r="P34" s="152">
        <f>J34+L34+N34</f>
        <v>900</v>
      </c>
      <c r="Q34" s="123">
        <f>+P34/G34</f>
        <v>900</v>
      </c>
      <c r="R34" s="126">
        <f>+O34/P34</f>
        <v>3</v>
      </c>
      <c r="S34" s="149">
        <v>13500</v>
      </c>
      <c r="T34" s="140">
        <f>IF(S34&lt;&gt;0,-(S34-O34)/S34,"")</f>
        <v>-0.8</v>
      </c>
      <c r="U34" s="149">
        <v>3110505.5</v>
      </c>
      <c r="V34" s="150">
        <v>424535</v>
      </c>
      <c r="W34" s="191">
        <f t="shared" si="6"/>
        <v>7.326852909654092</v>
      </c>
      <c r="X34" s="8"/>
      <c r="Y34" s="8"/>
    </row>
    <row r="35" spans="1:25" s="10" customFormat="1" ht="18">
      <c r="A35" s="52">
        <v>31</v>
      </c>
      <c r="B35" s="184" t="s">
        <v>35</v>
      </c>
      <c r="C35" s="120">
        <v>39045</v>
      </c>
      <c r="D35" s="119" t="s">
        <v>31</v>
      </c>
      <c r="E35" s="119" t="s">
        <v>36</v>
      </c>
      <c r="F35" s="121">
        <v>59</v>
      </c>
      <c r="G35" s="121">
        <v>1</v>
      </c>
      <c r="H35" s="121">
        <v>25</v>
      </c>
      <c r="I35" s="122">
        <v>776</v>
      </c>
      <c r="J35" s="123">
        <v>194</v>
      </c>
      <c r="K35" s="122">
        <v>600</v>
      </c>
      <c r="L35" s="123">
        <v>150</v>
      </c>
      <c r="M35" s="122">
        <v>1000</v>
      </c>
      <c r="N35" s="123">
        <v>250</v>
      </c>
      <c r="O35" s="124">
        <f>SUM(I35+K35+M35)</f>
        <v>2376</v>
      </c>
      <c r="P35" s="125">
        <f>SUM(J35+L35+N35)</f>
        <v>594</v>
      </c>
      <c r="Q35" s="123">
        <f>+P35/G35</f>
        <v>594</v>
      </c>
      <c r="R35" s="126">
        <f>+O35/P35</f>
        <v>4</v>
      </c>
      <c r="S35" s="122">
        <v>5034</v>
      </c>
      <c r="T35" s="127">
        <f>(+S35-O35)/S35</f>
        <v>0.5280095351609059</v>
      </c>
      <c r="U35" s="128">
        <v>4545832.5</v>
      </c>
      <c r="V35" s="129">
        <v>626185</v>
      </c>
      <c r="W35" s="188">
        <f t="shared" si="6"/>
        <v>7.259567859338694</v>
      </c>
      <c r="X35" s="8"/>
      <c r="Y35" s="8"/>
    </row>
    <row r="36" spans="1:25" s="10" customFormat="1" ht="18">
      <c r="A36" s="53">
        <v>32</v>
      </c>
      <c r="B36" s="184" t="s">
        <v>125</v>
      </c>
      <c r="C36" s="120">
        <v>38821</v>
      </c>
      <c r="D36" s="119" t="s">
        <v>31</v>
      </c>
      <c r="E36" s="119" t="s">
        <v>47</v>
      </c>
      <c r="F36" s="121">
        <v>118</v>
      </c>
      <c r="G36" s="121">
        <v>1</v>
      </c>
      <c r="H36" s="121">
        <v>37</v>
      </c>
      <c r="I36" s="122">
        <v>600</v>
      </c>
      <c r="J36" s="123">
        <v>150</v>
      </c>
      <c r="K36" s="122">
        <v>613.5</v>
      </c>
      <c r="L36" s="123">
        <v>153</v>
      </c>
      <c r="M36" s="122">
        <v>800</v>
      </c>
      <c r="N36" s="123">
        <v>200</v>
      </c>
      <c r="O36" s="124">
        <f>SUM(I36+K36+M36)</f>
        <v>2013.5</v>
      </c>
      <c r="P36" s="125">
        <f>SUM(J36+L36+N36)</f>
        <v>503</v>
      </c>
      <c r="Q36" s="123">
        <f>+P36/G36</f>
        <v>503</v>
      </c>
      <c r="R36" s="126">
        <f>+O36/P36</f>
        <v>4.002982107355865</v>
      </c>
      <c r="S36" s="122"/>
      <c r="T36" s="127"/>
      <c r="U36" s="122">
        <v>6217998.5</v>
      </c>
      <c r="V36" s="123">
        <v>947713</v>
      </c>
      <c r="W36" s="188">
        <f t="shared" si="6"/>
        <v>6.561056459075691</v>
      </c>
      <c r="X36" s="8"/>
      <c r="Y36" s="8"/>
    </row>
    <row r="37" spans="1:25" s="10" customFormat="1" ht="18">
      <c r="A37" s="52">
        <v>33</v>
      </c>
      <c r="B37" s="182" t="s">
        <v>82</v>
      </c>
      <c r="C37" s="131">
        <v>39248</v>
      </c>
      <c r="D37" s="132" t="s">
        <v>6</v>
      </c>
      <c r="E37" s="130" t="s">
        <v>24</v>
      </c>
      <c r="F37" s="133">
        <v>40</v>
      </c>
      <c r="G37" s="133">
        <v>8</v>
      </c>
      <c r="H37" s="133">
        <v>8</v>
      </c>
      <c r="I37" s="134">
        <v>553</v>
      </c>
      <c r="J37" s="135">
        <v>91</v>
      </c>
      <c r="K37" s="134">
        <v>652</v>
      </c>
      <c r="L37" s="135">
        <v>110</v>
      </c>
      <c r="M37" s="134">
        <v>593</v>
      </c>
      <c r="N37" s="135">
        <v>107</v>
      </c>
      <c r="O37" s="136">
        <f>+I37+K37+M37</f>
        <v>1798</v>
      </c>
      <c r="P37" s="137">
        <f>+J37+L37+N37</f>
        <v>308</v>
      </c>
      <c r="Q37" s="138">
        <f>IF(O37&lt;&gt;0,P37/G37,"")</f>
        <v>38.5</v>
      </c>
      <c r="R37" s="139">
        <f>IF(O37&lt;&gt;0,O37/P37,"")</f>
        <v>5.837662337662338</v>
      </c>
      <c r="S37" s="134">
        <v>8226</v>
      </c>
      <c r="T37" s="140">
        <f>IF(S37&lt;&gt;0,-(S37-O37)/S37,"")</f>
        <v>-0.7814247507901775</v>
      </c>
      <c r="U37" s="134">
        <v>492119</v>
      </c>
      <c r="V37" s="135">
        <v>57541</v>
      </c>
      <c r="W37" s="183">
        <f t="shared" si="6"/>
        <v>8.552493004987747</v>
      </c>
      <c r="X37" s="8"/>
      <c r="Y37" s="8"/>
    </row>
    <row r="38" spans="1:25" s="10" customFormat="1" ht="18">
      <c r="A38" s="53">
        <v>34</v>
      </c>
      <c r="B38" s="182" t="s">
        <v>126</v>
      </c>
      <c r="C38" s="131">
        <v>39143</v>
      </c>
      <c r="D38" s="132" t="s">
        <v>6</v>
      </c>
      <c r="E38" s="132" t="s">
        <v>74</v>
      </c>
      <c r="F38" s="133">
        <v>77</v>
      </c>
      <c r="G38" s="133">
        <v>1</v>
      </c>
      <c r="H38" s="133">
        <v>14</v>
      </c>
      <c r="I38" s="134">
        <v>1782</v>
      </c>
      <c r="J38" s="135">
        <v>510</v>
      </c>
      <c r="K38" s="134">
        <v>0</v>
      </c>
      <c r="L38" s="135">
        <v>0</v>
      </c>
      <c r="M38" s="134">
        <v>0</v>
      </c>
      <c r="N38" s="135">
        <v>0</v>
      </c>
      <c r="O38" s="136">
        <f>+I38+K38+M38</f>
        <v>1782</v>
      </c>
      <c r="P38" s="137">
        <f>+J38+L38+N38</f>
        <v>510</v>
      </c>
      <c r="Q38" s="138">
        <f>IF(O38&lt;&gt;0,P38/G38,"")</f>
        <v>510</v>
      </c>
      <c r="R38" s="139">
        <f>IF(O38&lt;&gt;0,O38/P38,"")</f>
        <v>3.4941176470588236</v>
      </c>
      <c r="S38" s="134"/>
      <c r="T38" s="140">
        <f>IF(S38&lt;&gt;0,-(S38-O38)/S38,"")</f>
      </c>
      <c r="U38" s="134">
        <v>2009874</v>
      </c>
      <c r="V38" s="135">
        <v>253761</v>
      </c>
      <c r="W38" s="183">
        <f t="shared" si="6"/>
        <v>7.920342369394824</v>
      </c>
      <c r="X38" s="8"/>
      <c r="Y38" s="8"/>
    </row>
    <row r="39" spans="1:25" s="10" customFormat="1" ht="18">
      <c r="A39" s="52">
        <v>35</v>
      </c>
      <c r="B39" s="192" t="s">
        <v>66</v>
      </c>
      <c r="C39" s="155">
        <v>39206</v>
      </c>
      <c r="D39" s="154" t="s">
        <v>73</v>
      </c>
      <c r="E39" s="154" t="s">
        <v>65</v>
      </c>
      <c r="F39" s="156">
        <v>80</v>
      </c>
      <c r="G39" s="157">
        <v>3</v>
      </c>
      <c r="H39" s="157">
        <v>14</v>
      </c>
      <c r="I39" s="158">
        <v>729</v>
      </c>
      <c r="J39" s="159">
        <v>104</v>
      </c>
      <c r="K39" s="158">
        <v>632</v>
      </c>
      <c r="L39" s="159">
        <v>92</v>
      </c>
      <c r="M39" s="158">
        <v>388</v>
      </c>
      <c r="N39" s="159">
        <v>56</v>
      </c>
      <c r="O39" s="160">
        <f>+I39+K39+M39</f>
        <v>1749</v>
      </c>
      <c r="P39" s="161">
        <f>J39+L39+N39</f>
        <v>252</v>
      </c>
      <c r="Q39" s="159">
        <f>P39/G39</f>
        <v>84</v>
      </c>
      <c r="R39" s="163">
        <f>O39/P39</f>
        <v>6.940476190476191</v>
      </c>
      <c r="S39" s="158"/>
      <c r="T39" s="162"/>
      <c r="U39" s="158">
        <v>298782.5</v>
      </c>
      <c r="V39" s="159">
        <v>48843</v>
      </c>
      <c r="W39" s="193">
        <f t="shared" si="6"/>
        <v>6.117202055565793</v>
      </c>
      <c r="X39" s="8"/>
      <c r="Y39" s="8"/>
    </row>
    <row r="40" spans="1:25" s="10" customFormat="1" ht="18">
      <c r="A40" s="53">
        <v>36</v>
      </c>
      <c r="B40" s="190" t="s">
        <v>79</v>
      </c>
      <c r="C40" s="147">
        <v>39234</v>
      </c>
      <c r="D40" s="146" t="s">
        <v>8</v>
      </c>
      <c r="E40" s="146" t="s">
        <v>61</v>
      </c>
      <c r="F40" s="148">
        <v>50</v>
      </c>
      <c r="G40" s="148">
        <v>7</v>
      </c>
      <c r="H40" s="148">
        <v>10</v>
      </c>
      <c r="I40" s="149">
        <v>526</v>
      </c>
      <c r="J40" s="150">
        <v>96</v>
      </c>
      <c r="K40" s="149">
        <v>441</v>
      </c>
      <c r="L40" s="150">
        <v>83</v>
      </c>
      <c r="M40" s="149">
        <v>654</v>
      </c>
      <c r="N40" s="150">
        <v>124</v>
      </c>
      <c r="O40" s="151">
        <f>I40+K40+M40</f>
        <v>1621</v>
      </c>
      <c r="P40" s="152">
        <f>J40+L40+N40</f>
        <v>303</v>
      </c>
      <c r="Q40" s="123">
        <f>+P40/G40</f>
        <v>43.285714285714285</v>
      </c>
      <c r="R40" s="126">
        <f>+O40/P40</f>
        <v>5.34983498349835</v>
      </c>
      <c r="S40" s="149">
        <v>1642</v>
      </c>
      <c r="T40" s="140">
        <f>IF(S40&lt;&gt;0,-(S40-O40)/S40,"")</f>
        <v>-0.012789281364190013</v>
      </c>
      <c r="U40" s="149">
        <v>403774</v>
      </c>
      <c r="V40" s="150">
        <v>53611</v>
      </c>
      <c r="W40" s="191">
        <f t="shared" si="6"/>
        <v>7.5315513607282085</v>
      </c>
      <c r="X40" s="8"/>
      <c r="Y40" s="8"/>
    </row>
    <row r="41" spans="1:25" s="10" customFormat="1" ht="18">
      <c r="A41" s="52">
        <v>37</v>
      </c>
      <c r="B41" s="184" t="s">
        <v>127</v>
      </c>
      <c r="C41" s="120">
        <v>39010</v>
      </c>
      <c r="D41" s="119" t="s">
        <v>17</v>
      </c>
      <c r="E41" s="119" t="s">
        <v>30</v>
      </c>
      <c r="F41" s="121">
        <v>106</v>
      </c>
      <c r="G41" s="121">
        <v>1</v>
      </c>
      <c r="H41" s="121">
        <v>42</v>
      </c>
      <c r="I41" s="122">
        <v>0</v>
      </c>
      <c r="J41" s="123">
        <v>0</v>
      </c>
      <c r="K41" s="122">
        <v>1304</v>
      </c>
      <c r="L41" s="123">
        <v>163</v>
      </c>
      <c r="M41" s="122">
        <v>0</v>
      </c>
      <c r="N41" s="123">
        <v>0</v>
      </c>
      <c r="O41" s="124">
        <f>+M41+K41+I41</f>
        <v>1304</v>
      </c>
      <c r="P41" s="125">
        <f>+N41+L41+J41</f>
        <v>163</v>
      </c>
      <c r="Q41" s="123">
        <f>+P41/G41</f>
        <v>163</v>
      </c>
      <c r="R41" s="126">
        <f>+O41/P41</f>
        <v>8</v>
      </c>
      <c r="S41" s="122"/>
      <c r="T41" s="140">
        <f>IF(S41&lt;&gt;0,-(S41-O41)/S41,"")</f>
      </c>
      <c r="U41" s="122">
        <v>1278378</v>
      </c>
      <c r="V41" s="123">
        <v>171417</v>
      </c>
      <c r="W41" s="185">
        <f>+U41/V41</f>
        <v>7.457708395316684</v>
      </c>
      <c r="X41" s="8"/>
      <c r="Y41" s="8"/>
    </row>
    <row r="42" spans="1:25" s="10" customFormat="1" ht="18">
      <c r="A42" s="53">
        <v>38</v>
      </c>
      <c r="B42" s="182" t="s">
        <v>128</v>
      </c>
      <c r="C42" s="131">
        <v>39038</v>
      </c>
      <c r="D42" s="130" t="s">
        <v>33</v>
      </c>
      <c r="E42" s="130" t="s">
        <v>129</v>
      </c>
      <c r="F42" s="133">
        <v>109</v>
      </c>
      <c r="G42" s="133">
        <v>1</v>
      </c>
      <c r="H42" s="133">
        <v>16</v>
      </c>
      <c r="I42" s="134">
        <v>188</v>
      </c>
      <c r="J42" s="135">
        <v>38</v>
      </c>
      <c r="K42" s="134">
        <v>500</v>
      </c>
      <c r="L42" s="135">
        <v>100</v>
      </c>
      <c r="M42" s="134">
        <v>500</v>
      </c>
      <c r="N42" s="135">
        <v>100</v>
      </c>
      <c r="O42" s="136">
        <f>I42+K42+M42</f>
        <v>1188</v>
      </c>
      <c r="P42" s="137">
        <f>J42+L42+N42</f>
        <v>238</v>
      </c>
      <c r="Q42" s="123">
        <f>+P42/G42</f>
        <v>238</v>
      </c>
      <c r="R42" s="126">
        <f>+O42/P42</f>
        <v>4.991596638655462</v>
      </c>
      <c r="S42" s="134"/>
      <c r="T42" s="140">
        <f>IF(S42&lt;&gt;0,-(S42-O42)/S42,"")</f>
      </c>
      <c r="U42" s="141">
        <f>712634+578949+327758+206180.5+97478.5+25512.5+19312+9417+9880+3218.5+825+210+102+3292+1782+1188</f>
        <v>1997739</v>
      </c>
      <c r="V42" s="129">
        <f>88349+73537+43461+31145+15589+5191+3691+2021+1909+562+165+35+17+658+267+238</f>
        <v>266835</v>
      </c>
      <c r="W42" s="186">
        <f>IF(U42&lt;&gt;0,U42/V42,"")</f>
        <v>7.486795210523357</v>
      </c>
      <c r="X42" s="8"/>
      <c r="Y42" s="8"/>
    </row>
    <row r="43" spans="1:25" s="10" customFormat="1" ht="18">
      <c r="A43" s="52">
        <v>39</v>
      </c>
      <c r="B43" s="184" t="s">
        <v>19</v>
      </c>
      <c r="C43" s="120">
        <v>39255</v>
      </c>
      <c r="D43" s="119" t="s">
        <v>17</v>
      </c>
      <c r="E43" s="119" t="s">
        <v>74</v>
      </c>
      <c r="F43" s="121">
        <v>66</v>
      </c>
      <c r="G43" s="121">
        <v>7</v>
      </c>
      <c r="H43" s="121">
        <v>7</v>
      </c>
      <c r="I43" s="122">
        <v>309</v>
      </c>
      <c r="J43" s="123">
        <v>53</v>
      </c>
      <c r="K43" s="122">
        <v>372</v>
      </c>
      <c r="L43" s="123">
        <v>64</v>
      </c>
      <c r="M43" s="122">
        <v>424</v>
      </c>
      <c r="N43" s="123">
        <v>79</v>
      </c>
      <c r="O43" s="124">
        <f>+M43+K43+I43</f>
        <v>1105</v>
      </c>
      <c r="P43" s="125">
        <f>+N43+L43+J43</f>
        <v>196</v>
      </c>
      <c r="Q43" s="123">
        <f>+P43/G43</f>
        <v>28</v>
      </c>
      <c r="R43" s="126">
        <f>+O43/P43</f>
        <v>5.637755102040816</v>
      </c>
      <c r="S43" s="122">
        <v>1151</v>
      </c>
      <c r="T43" s="127">
        <f>(+S43-O43)/S43</f>
        <v>0.03996524761077324</v>
      </c>
      <c r="U43" s="122">
        <v>381094</v>
      </c>
      <c r="V43" s="123">
        <v>43515</v>
      </c>
      <c r="W43" s="185">
        <f>+U43/V43</f>
        <v>8.757761691370792</v>
      </c>
      <c r="X43" s="8"/>
      <c r="Y43" s="8"/>
    </row>
    <row r="44" spans="1:25" s="10" customFormat="1" ht="18">
      <c r="A44" s="53">
        <v>40</v>
      </c>
      <c r="B44" s="189" t="s">
        <v>101</v>
      </c>
      <c r="C44" s="120">
        <v>39262</v>
      </c>
      <c r="D44" s="167" t="s">
        <v>60</v>
      </c>
      <c r="E44" s="144" t="s">
        <v>26</v>
      </c>
      <c r="F44" s="145">
        <v>2</v>
      </c>
      <c r="G44" s="145">
        <v>2</v>
      </c>
      <c r="H44" s="145">
        <v>6</v>
      </c>
      <c r="I44" s="122">
        <v>102</v>
      </c>
      <c r="J44" s="123">
        <v>14</v>
      </c>
      <c r="K44" s="122">
        <v>427</v>
      </c>
      <c r="L44" s="123">
        <v>62</v>
      </c>
      <c r="M44" s="122">
        <v>534</v>
      </c>
      <c r="N44" s="123">
        <v>88</v>
      </c>
      <c r="O44" s="124">
        <f>SUM(I44+K44+M44)</f>
        <v>1063</v>
      </c>
      <c r="P44" s="125">
        <f>SUM(J44+L44+N44)</f>
        <v>164</v>
      </c>
      <c r="Q44" s="123">
        <f>+P44/G44</f>
        <v>82</v>
      </c>
      <c r="R44" s="126">
        <f>+O44/P44</f>
        <v>6.4817073170731705</v>
      </c>
      <c r="S44" s="128"/>
      <c r="T44" s="168"/>
      <c r="U44" s="122">
        <v>7307</v>
      </c>
      <c r="V44" s="123">
        <v>871</v>
      </c>
      <c r="W44" s="188">
        <f aca="true" t="shared" si="7" ref="W44:W54">U44/V44</f>
        <v>8.389207807118256</v>
      </c>
      <c r="X44" s="8"/>
      <c r="Y44" s="8"/>
    </row>
    <row r="45" spans="1:25" s="10" customFormat="1" ht="18">
      <c r="A45" s="52">
        <v>41</v>
      </c>
      <c r="B45" s="182" t="s">
        <v>130</v>
      </c>
      <c r="C45" s="131">
        <v>39206</v>
      </c>
      <c r="D45" s="132" t="s">
        <v>6</v>
      </c>
      <c r="E45" s="132" t="s">
        <v>48</v>
      </c>
      <c r="F45" s="133">
        <v>163</v>
      </c>
      <c r="G45" s="133">
        <v>4</v>
      </c>
      <c r="H45" s="133">
        <v>14</v>
      </c>
      <c r="I45" s="134">
        <v>171</v>
      </c>
      <c r="J45" s="135">
        <v>18</v>
      </c>
      <c r="K45" s="134">
        <v>527</v>
      </c>
      <c r="L45" s="135">
        <v>54</v>
      </c>
      <c r="M45" s="134">
        <v>338</v>
      </c>
      <c r="N45" s="135">
        <v>33</v>
      </c>
      <c r="O45" s="136">
        <f>+I45+K45+M45</f>
        <v>1036</v>
      </c>
      <c r="P45" s="137">
        <f>+J45+L45+N45</f>
        <v>105</v>
      </c>
      <c r="Q45" s="138">
        <f>IF(O45&lt;&gt;0,P45/G45,"")</f>
        <v>26.25</v>
      </c>
      <c r="R45" s="139">
        <f>IF(O45&lt;&gt;0,O45/P45,"")</f>
        <v>9.866666666666667</v>
      </c>
      <c r="S45" s="134">
        <v>3651</v>
      </c>
      <c r="T45" s="140">
        <f aca="true" t="shared" si="8" ref="T45:T50">IF(S45&lt;&gt;0,-(S45-O45)/S45,"")</f>
        <v>-0.7162421254450836</v>
      </c>
      <c r="U45" s="134">
        <v>5657213</v>
      </c>
      <c r="V45" s="135">
        <v>734230</v>
      </c>
      <c r="W45" s="183">
        <f t="shared" si="7"/>
        <v>7.704960298544053</v>
      </c>
      <c r="X45" s="8"/>
      <c r="Y45" s="8"/>
    </row>
    <row r="46" spans="1:25" s="10" customFormat="1" ht="18">
      <c r="A46" s="52">
        <v>42</v>
      </c>
      <c r="B46" s="184" t="s">
        <v>131</v>
      </c>
      <c r="C46" s="120">
        <v>39241</v>
      </c>
      <c r="D46" s="164" t="s">
        <v>116</v>
      </c>
      <c r="E46" s="119" t="s">
        <v>132</v>
      </c>
      <c r="F46" s="121">
        <v>20</v>
      </c>
      <c r="G46" s="121">
        <v>9</v>
      </c>
      <c r="H46" s="121">
        <v>9</v>
      </c>
      <c r="I46" s="128">
        <v>247</v>
      </c>
      <c r="J46" s="129">
        <v>52</v>
      </c>
      <c r="K46" s="128">
        <v>392.5</v>
      </c>
      <c r="L46" s="129">
        <v>64</v>
      </c>
      <c r="M46" s="128">
        <v>389</v>
      </c>
      <c r="N46" s="129">
        <v>69</v>
      </c>
      <c r="O46" s="165">
        <f>I46+K46+M46</f>
        <v>1028.5</v>
      </c>
      <c r="P46" s="166">
        <f>J46+L46+N46</f>
        <v>185</v>
      </c>
      <c r="Q46" s="123">
        <f>+P46/G46</f>
        <v>20.555555555555557</v>
      </c>
      <c r="R46" s="126">
        <f>+O46/P46</f>
        <v>5.559459459459459</v>
      </c>
      <c r="S46" s="128">
        <v>2709</v>
      </c>
      <c r="T46" s="140">
        <f t="shared" si="8"/>
        <v>-0.6203396087117017</v>
      </c>
      <c r="U46" s="128">
        <v>120687.2</v>
      </c>
      <c r="V46" s="129">
        <v>16096</v>
      </c>
      <c r="W46" s="188">
        <f t="shared" si="7"/>
        <v>7.497962226640158</v>
      </c>
      <c r="X46" s="8"/>
      <c r="Y46" s="8"/>
    </row>
    <row r="47" spans="1:25" s="10" customFormat="1" ht="18">
      <c r="A47" s="53">
        <v>43</v>
      </c>
      <c r="B47" s="190" t="s">
        <v>133</v>
      </c>
      <c r="C47" s="147">
        <v>39150</v>
      </c>
      <c r="D47" s="146" t="s">
        <v>8</v>
      </c>
      <c r="E47" s="146" t="s">
        <v>77</v>
      </c>
      <c r="F47" s="148">
        <v>10</v>
      </c>
      <c r="G47" s="148">
        <v>4</v>
      </c>
      <c r="H47" s="148">
        <v>20</v>
      </c>
      <c r="I47" s="128">
        <v>165</v>
      </c>
      <c r="J47" s="129">
        <v>22</v>
      </c>
      <c r="K47" s="128">
        <v>458</v>
      </c>
      <c r="L47" s="129">
        <v>66</v>
      </c>
      <c r="M47" s="128">
        <v>404</v>
      </c>
      <c r="N47" s="129">
        <v>56</v>
      </c>
      <c r="O47" s="151">
        <f>I47+K47+M47</f>
        <v>1027</v>
      </c>
      <c r="P47" s="152">
        <f>J47+L47+N47</f>
        <v>144</v>
      </c>
      <c r="Q47" s="123">
        <f>+P47/G47</f>
        <v>36</v>
      </c>
      <c r="R47" s="126">
        <f>+O47/P47</f>
        <v>7.131944444444445</v>
      </c>
      <c r="S47" s="149">
        <v>718</v>
      </c>
      <c r="T47" s="140">
        <f t="shared" si="8"/>
        <v>0.43036211699164345</v>
      </c>
      <c r="U47" s="149">
        <v>220015</v>
      </c>
      <c r="V47" s="150">
        <v>24456</v>
      </c>
      <c r="W47" s="191">
        <f t="shared" si="7"/>
        <v>8.996360811252861</v>
      </c>
      <c r="X47" s="8"/>
      <c r="Y47" s="8"/>
    </row>
    <row r="48" spans="1:25" s="10" customFormat="1" ht="18">
      <c r="A48" s="52">
        <v>44</v>
      </c>
      <c r="B48" s="182" t="s">
        <v>71</v>
      </c>
      <c r="C48" s="131">
        <v>39220</v>
      </c>
      <c r="D48" s="132" t="s">
        <v>6</v>
      </c>
      <c r="E48" s="130" t="s">
        <v>7</v>
      </c>
      <c r="F48" s="133">
        <v>28</v>
      </c>
      <c r="G48" s="133">
        <v>3</v>
      </c>
      <c r="H48" s="133">
        <v>12</v>
      </c>
      <c r="I48" s="134">
        <v>342</v>
      </c>
      <c r="J48" s="135">
        <v>39</v>
      </c>
      <c r="K48" s="134">
        <v>355</v>
      </c>
      <c r="L48" s="135">
        <v>51</v>
      </c>
      <c r="M48" s="134">
        <v>236</v>
      </c>
      <c r="N48" s="135">
        <v>33</v>
      </c>
      <c r="O48" s="136">
        <f>+I48+K48+M48</f>
        <v>933</v>
      </c>
      <c r="P48" s="137">
        <f>+J48+L48+N48</f>
        <v>123</v>
      </c>
      <c r="Q48" s="138">
        <f>IF(O48&lt;&gt;0,P48/G48,"")</f>
        <v>41</v>
      </c>
      <c r="R48" s="139">
        <f>IF(O48&lt;&gt;0,O48/P48,"")</f>
        <v>7.585365853658536</v>
      </c>
      <c r="S48" s="134">
        <v>1183</v>
      </c>
      <c r="T48" s="140">
        <f t="shared" si="8"/>
        <v>-0.21132713440405748</v>
      </c>
      <c r="U48" s="134">
        <v>432802</v>
      </c>
      <c r="V48" s="135">
        <v>47595</v>
      </c>
      <c r="W48" s="183">
        <f t="shared" si="7"/>
        <v>9.093434184263053</v>
      </c>
      <c r="X48" s="8"/>
      <c r="Y48" s="8"/>
    </row>
    <row r="49" spans="1:25" s="10" customFormat="1" ht="18">
      <c r="A49" s="53">
        <v>45</v>
      </c>
      <c r="B49" s="187" t="s">
        <v>134</v>
      </c>
      <c r="C49" s="131">
        <v>39038</v>
      </c>
      <c r="D49" s="146" t="s">
        <v>23</v>
      </c>
      <c r="E49" s="146" t="s">
        <v>135</v>
      </c>
      <c r="F49" s="148">
        <v>45</v>
      </c>
      <c r="G49" s="148">
        <v>1</v>
      </c>
      <c r="H49" s="148">
        <v>9</v>
      </c>
      <c r="I49" s="149">
        <v>300</v>
      </c>
      <c r="J49" s="150">
        <v>100</v>
      </c>
      <c r="K49" s="149">
        <v>300</v>
      </c>
      <c r="L49" s="150">
        <v>100</v>
      </c>
      <c r="M49" s="149">
        <v>300</v>
      </c>
      <c r="N49" s="150">
        <v>100</v>
      </c>
      <c r="O49" s="151">
        <f>I49+K49+M49</f>
        <v>900</v>
      </c>
      <c r="P49" s="152">
        <f>J49+L49+N49</f>
        <v>300</v>
      </c>
      <c r="Q49" s="123">
        <f>+P49/G49</f>
        <v>300</v>
      </c>
      <c r="R49" s="126">
        <f>+O49/P49</f>
        <v>3</v>
      </c>
      <c r="S49" s="149"/>
      <c r="T49" s="140">
        <f t="shared" si="8"/>
      </c>
      <c r="U49" s="149">
        <v>44693.5</v>
      </c>
      <c r="V49" s="150">
        <v>8014</v>
      </c>
      <c r="W49" s="191">
        <f t="shared" si="7"/>
        <v>5.576927876216621</v>
      </c>
      <c r="X49" s="8"/>
      <c r="Y49" s="8"/>
    </row>
    <row r="50" spans="1:25" s="10" customFormat="1" ht="18">
      <c r="A50" s="52">
        <v>46</v>
      </c>
      <c r="B50" s="182" t="s">
        <v>136</v>
      </c>
      <c r="C50" s="131">
        <v>39192</v>
      </c>
      <c r="D50" s="132" t="s">
        <v>6</v>
      </c>
      <c r="E50" s="130" t="s">
        <v>48</v>
      </c>
      <c r="F50" s="133">
        <v>71</v>
      </c>
      <c r="G50" s="133">
        <v>1</v>
      </c>
      <c r="H50" s="133">
        <v>13</v>
      </c>
      <c r="I50" s="134">
        <v>185</v>
      </c>
      <c r="J50" s="135">
        <v>37</v>
      </c>
      <c r="K50" s="134">
        <v>251</v>
      </c>
      <c r="L50" s="135">
        <v>36</v>
      </c>
      <c r="M50" s="134">
        <v>264</v>
      </c>
      <c r="N50" s="135">
        <v>38</v>
      </c>
      <c r="O50" s="136">
        <f>+I50+K50+M50</f>
        <v>700</v>
      </c>
      <c r="P50" s="137">
        <f>+J50+L50+N50</f>
        <v>111</v>
      </c>
      <c r="Q50" s="138">
        <f>IF(O50&lt;&gt;0,P50/G50,"")</f>
        <v>111</v>
      </c>
      <c r="R50" s="139">
        <f>IF(O50&lt;&gt;0,O50/P50,"")</f>
        <v>6.306306306306307</v>
      </c>
      <c r="S50" s="134"/>
      <c r="T50" s="140">
        <f t="shared" si="8"/>
      </c>
      <c r="U50" s="134">
        <v>1301847</v>
      </c>
      <c r="V50" s="135">
        <v>149417</v>
      </c>
      <c r="W50" s="183">
        <f t="shared" si="7"/>
        <v>8.712843920035873</v>
      </c>
      <c r="X50" s="8"/>
      <c r="Y50" s="8"/>
    </row>
    <row r="51" spans="1:25" s="10" customFormat="1" ht="18">
      <c r="A51" s="53">
        <v>47</v>
      </c>
      <c r="B51" s="184" t="s">
        <v>83</v>
      </c>
      <c r="C51" s="120">
        <v>39255</v>
      </c>
      <c r="D51" s="119" t="s">
        <v>62</v>
      </c>
      <c r="E51" s="119" t="s">
        <v>62</v>
      </c>
      <c r="F51" s="121">
        <v>39</v>
      </c>
      <c r="G51" s="121">
        <v>4</v>
      </c>
      <c r="H51" s="121">
        <v>7</v>
      </c>
      <c r="I51" s="122">
        <v>162</v>
      </c>
      <c r="J51" s="123">
        <v>27</v>
      </c>
      <c r="K51" s="122">
        <v>310</v>
      </c>
      <c r="L51" s="123">
        <v>53</v>
      </c>
      <c r="M51" s="122">
        <v>214</v>
      </c>
      <c r="N51" s="123">
        <v>32</v>
      </c>
      <c r="O51" s="124">
        <f aca="true" t="shared" si="9" ref="O51:P56">I51+K51+M51</f>
        <v>686</v>
      </c>
      <c r="P51" s="125">
        <f t="shared" si="9"/>
        <v>112</v>
      </c>
      <c r="Q51" s="123">
        <f aca="true" t="shared" si="10" ref="Q51:Q56">+P51/G51</f>
        <v>28</v>
      </c>
      <c r="R51" s="126">
        <f aca="true" t="shared" si="11" ref="R51:R56">+O51/P51</f>
        <v>6.125</v>
      </c>
      <c r="S51" s="122">
        <v>3292.5</v>
      </c>
      <c r="T51" s="127">
        <f>(+S51-O51)/S51</f>
        <v>0.7916476841305998</v>
      </c>
      <c r="U51" s="128">
        <v>208414.5</v>
      </c>
      <c r="V51" s="129">
        <v>28564</v>
      </c>
      <c r="W51" s="188">
        <f t="shared" si="7"/>
        <v>7.296404565186949</v>
      </c>
      <c r="X51" s="8"/>
      <c r="Y51" s="8"/>
    </row>
    <row r="52" spans="1:25" s="10" customFormat="1" ht="18">
      <c r="A52" s="52">
        <v>48</v>
      </c>
      <c r="B52" s="187" t="s">
        <v>22</v>
      </c>
      <c r="C52" s="131">
        <v>39157</v>
      </c>
      <c r="D52" s="146" t="s">
        <v>23</v>
      </c>
      <c r="E52" s="146" t="s">
        <v>57</v>
      </c>
      <c r="F52" s="148">
        <v>91</v>
      </c>
      <c r="G52" s="148">
        <v>4</v>
      </c>
      <c r="H52" s="148">
        <v>21</v>
      </c>
      <c r="I52" s="149">
        <v>194</v>
      </c>
      <c r="J52" s="150">
        <v>60</v>
      </c>
      <c r="K52" s="149">
        <v>242</v>
      </c>
      <c r="L52" s="150">
        <v>68</v>
      </c>
      <c r="M52" s="149">
        <v>233</v>
      </c>
      <c r="N52" s="150">
        <v>66</v>
      </c>
      <c r="O52" s="151">
        <f t="shared" si="9"/>
        <v>669</v>
      </c>
      <c r="P52" s="152">
        <f t="shared" si="9"/>
        <v>194</v>
      </c>
      <c r="Q52" s="123">
        <f t="shared" si="10"/>
        <v>48.5</v>
      </c>
      <c r="R52" s="126">
        <f t="shared" si="11"/>
        <v>3.448453608247423</v>
      </c>
      <c r="S52" s="149">
        <v>1863</v>
      </c>
      <c r="T52" s="153">
        <f>(+S52-O52)/S52</f>
        <v>0.6409017713365539</v>
      </c>
      <c r="U52" s="149">
        <v>4169052.5</v>
      </c>
      <c r="V52" s="150">
        <v>540882</v>
      </c>
      <c r="W52" s="191">
        <f t="shared" si="7"/>
        <v>7.70787805843049</v>
      </c>
      <c r="X52" s="8"/>
      <c r="Y52" s="8"/>
    </row>
    <row r="53" spans="1:25" s="10" customFormat="1" ht="18">
      <c r="A53" s="52">
        <v>49</v>
      </c>
      <c r="B53" s="184" t="s">
        <v>137</v>
      </c>
      <c r="C53" s="120">
        <v>39220</v>
      </c>
      <c r="D53" s="164" t="s">
        <v>116</v>
      </c>
      <c r="E53" s="119" t="s">
        <v>138</v>
      </c>
      <c r="F53" s="121">
        <v>88</v>
      </c>
      <c r="G53" s="121">
        <v>5</v>
      </c>
      <c r="H53" s="121">
        <v>12</v>
      </c>
      <c r="I53" s="128">
        <v>199</v>
      </c>
      <c r="J53" s="129">
        <v>36</v>
      </c>
      <c r="K53" s="128">
        <v>245</v>
      </c>
      <c r="L53" s="129">
        <v>43</v>
      </c>
      <c r="M53" s="128">
        <v>214</v>
      </c>
      <c r="N53" s="129">
        <v>39</v>
      </c>
      <c r="O53" s="165">
        <f t="shared" si="9"/>
        <v>658</v>
      </c>
      <c r="P53" s="166">
        <f t="shared" si="9"/>
        <v>118</v>
      </c>
      <c r="Q53" s="123">
        <f t="shared" si="10"/>
        <v>23.6</v>
      </c>
      <c r="R53" s="126">
        <f t="shared" si="11"/>
        <v>5.576271186440678</v>
      </c>
      <c r="S53" s="128">
        <v>2056.5</v>
      </c>
      <c r="T53" s="140">
        <f>IF(S53&lt;&gt;0,-(S53-O53)/S53,"")</f>
        <v>-0.6800389010454656</v>
      </c>
      <c r="U53" s="128">
        <v>561999</v>
      </c>
      <c r="V53" s="129">
        <v>80905</v>
      </c>
      <c r="W53" s="188">
        <f t="shared" si="7"/>
        <v>6.946406278969161</v>
      </c>
      <c r="X53" s="8"/>
      <c r="Y53" s="8"/>
    </row>
    <row r="54" spans="1:25" s="10" customFormat="1" ht="18">
      <c r="A54" s="53">
        <v>50</v>
      </c>
      <c r="B54" s="189" t="s">
        <v>25</v>
      </c>
      <c r="C54" s="120">
        <v>39269</v>
      </c>
      <c r="D54" s="144" t="s">
        <v>50</v>
      </c>
      <c r="E54" s="144" t="s">
        <v>32</v>
      </c>
      <c r="F54" s="145">
        <v>1</v>
      </c>
      <c r="G54" s="145">
        <v>1</v>
      </c>
      <c r="H54" s="145">
        <v>5</v>
      </c>
      <c r="I54" s="122">
        <v>210</v>
      </c>
      <c r="J54" s="123">
        <v>42</v>
      </c>
      <c r="K54" s="122">
        <v>255</v>
      </c>
      <c r="L54" s="123">
        <v>51</v>
      </c>
      <c r="M54" s="122">
        <v>190</v>
      </c>
      <c r="N54" s="123">
        <v>38</v>
      </c>
      <c r="O54" s="124">
        <f t="shared" si="9"/>
        <v>655</v>
      </c>
      <c r="P54" s="125">
        <f t="shared" si="9"/>
        <v>131</v>
      </c>
      <c r="Q54" s="123">
        <f t="shared" si="10"/>
        <v>131</v>
      </c>
      <c r="R54" s="126">
        <f t="shared" si="11"/>
        <v>5</v>
      </c>
      <c r="S54" s="122"/>
      <c r="T54" s="127"/>
      <c r="U54" s="122">
        <v>17314.88</v>
      </c>
      <c r="V54" s="123">
        <v>2835</v>
      </c>
      <c r="W54" s="188">
        <f t="shared" si="7"/>
        <v>6.1075414462081135</v>
      </c>
      <c r="X54" s="8"/>
      <c r="Y54" s="8"/>
    </row>
    <row r="55" spans="1:25" s="10" customFormat="1" ht="18">
      <c r="A55" s="52">
        <v>51</v>
      </c>
      <c r="B55" s="182" t="s">
        <v>75</v>
      </c>
      <c r="C55" s="131">
        <v>39234</v>
      </c>
      <c r="D55" s="130" t="s">
        <v>33</v>
      </c>
      <c r="E55" s="130" t="s">
        <v>76</v>
      </c>
      <c r="F55" s="133">
        <v>27</v>
      </c>
      <c r="G55" s="133">
        <v>4</v>
      </c>
      <c r="H55" s="133">
        <v>10</v>
      </c>
      <c r="I55" s="134">
        <v>62</v>
      </c>
      <c r="J55" s="135">
        <v>12</v>
      </c>
      <c r="K55" s="134">
        <v>367</v>
      </c>
      <c r="L55" s="135">
        <v>60</v>
      </c>
      <c r="M55" s="134">
        <v>217</v>
      </c>
      <c r="N55" s="135">
        <v>36</v>
      </c>
      <c r="O55" s="136">
        <f t="shared" si="9"/>
        <v>646</v>
      </c>
      <c r="P55" s="137">
        <f t="shared" si="9"/>
        <v>108</v>
      </c>
      <c r="Q55" s="123">
        <f t="shared" si="10"/>
        <v>27</v>
      </c>
      <c r="R55" s="126">
        <f t="shared" si="11"/>
        <v>5.981481481481482</v>
      </c>
      <c r="S55" s="134">
        <v>673</v>
      </c>
      <c r="T55" s="140">
        <f>IF(S55&lt;&gt;0,-(S55-O55)/S55,"")</f>
        <v>-0.04011887072808321</v>
      </c>
      <c r="U55" s="141">
        <f>55607+1998+2784+1710+1168+1343.5+646</f>
        <v>65256.5</v>
      </c>
      <c r="V55" s="129">
        <f>6941+408+513+286+200+227+108</f>
        <v>8683</v>
      </c>
      <c r="W55" s="186">
        <f>IF(U55&lt;&gt;0,U55/V55,"")</f>
        <v>7.515432454220892</v>
      </c>
      <c r="X55" s="8"/>
      <c r="Y55" s="8"/>
    </row>
    <row r="56" spans="1:25" s="10" customFormat="1" ht="18">
      <c r="A56" s="53">
        <v>52</v>
      </c>
      <c r="B56" s="184" t="s">
        <v>72</v>
      </c>
      <c r="C56" s="120">
        <v>39220</v>
      </c>
      <c r="D56" s="119" t="s">
        <v>31</v>
      </c>
      <c r="E56" s="119" t="s">
        <v>47</v>
      </c>
      <c r="F56" s="121">
        <v>40</v>
      </c>
      <c r="G56" s="121">
        <v>2</v>
      </c>
      <c r="H56" s="121">
        <v>12</v>
      </c>
      <c r="I56" s="122">
        <v>35</v>
      </c>
      <c r="J56" s="123">
        <v>7</v>
      </c>
      <c r="K56" s="122">
        <v>448</v>
      </c>
      <c r="L56" s="123">
        <v>77</v>
      </c>
      <c r="M56" s="122">
        <v>131</v>
      </c>
      <c r="N56" s="123">
        <v>26</v>
      </c>
      <c r="O56" s="124">
        <f t="shared" si="9"/>
        <v>614</v>
      </c>
      <c r="P56" s="125">
        <f t="shared" si="9"/>
        <v>110</v>
      </c>
      <c r="Q56" s="123">
        <f t="shared" si="10"/>
        <v>55</v>
      </c>
      <c r="R56" s="126">
        <f t="shared" si="11"/>
        <v>5.581818181818182</v>
      </c>
      <c r="S56" s="122">
        <v>381</v>
      </c>
      <c r="T56" s="140">
        <f>IF(S56&lt;&gt;0,-(S56-O56)/S56,"")</f>
        <v>0.6115485564304461</v>
      </c>
      <c r="U56" s="128">
        <v>487289.5</v>
      </c>
      <c r="V56" s="129">
        <v>71399</v>
      </c>
      <c r="W56" s="188">
        <f>U56/V56</f>
        <v>6.824878499698875</v>
      </c>
      <c r="X56" s="8"/>
      <c r="Y56" s="8"/>
    </row>
    <row r="57" spans="1:25" s="10" customFormat="1" ht="18">
      <c r="A57" s="52">
        <v>53</v>
      </c>
      <c r="B57" s="182" t="s">
        <v>38</v>
      </c>
      <c r="C57" s="131">
        <v>39080</v>
      </c>
      <c r="D57" s="132" t="s">
        <v>6</v>
      </c>
      <c r="E57" s="130" t="s">
        <v>48</v>
      </c>
      <c r="F57" s="133">
        <v>80</v>
      </c>
      <c r="G57" s="133">
        <v>1</v>
      </c>
      <c r="H57" s="133">
        <v>24</v>
      </c>
      <c r="I57" s="134">
        <v>66</v>
      </c>
      <c r="J57" s="135">
        <v>6</v>
      </c>
      <c r="K57" s="134">
        <v>258</v>
      </c>
      <c r="L57" s="135">
        <v>21</v>
      </c>
      <c r="M57" s="134">
        <v>214</v>
      </c>
      <c r="N57" s="135">
        <v>17</v>
      </c>
      <c r="O57" s="136">
        <f>+I57+K57+M57</f>
        <v>538</v>
      </c>
      <c r="P57" s="137">
        <f>+J57+L57+N57</f>
        <v>44</v>
      </c>
      <c r="Q57" s="138">
        <f>IF(O57&lt;&gt;0,P57/G57,"")</f>
        <v>44</v>
      </c>
      <c r="R57" s="139">
        <f>IF(O57&lt;&gt;0,O57/P57,"")</f>
        <v>12.227272727272727</v>
      </c>
      <c r="S57" s="134">
        <v>705</v>
      </c>
      <c r="T57" s="140">
        <f>IF(S57&lt;&gt;0,-(S57-O57)/S57,"")</f>
        <v>-0.23687943262411348</v>
      </c>
      <c r="U57" s="134">
        <v>1701260</v>
      </c>
      <c r="V57" s="135">
        <v>205547</v>
      </c>
      <c r="W57" s="183">
        <f>U57/V57</f>
        <v>8.276744491527484</v>
      </c>
      <c r="X57" s="8"/>
      <c r="Y57" s="8"/>
    </row>
    <row r="58" spans="1:25" s="10" customFormat="1" ht="18">
      <c r="A58" s="53">
        <v>54</v>
      </c>
      <c r="B58" s="184" t="s">
        <v>139</v>
      </c>
      <c r="C58" s="120">
        <v>39255</v>
      </c>
      <c r="D58" s="164" t="s">
        <v>116</v>
      </c>
      <c r="E58" s="119" t="s">
        <v>64</v>
      </c>
      <c r="F58" s="121">
        <v>1</v>
      </c>
      <c r="G58" s="121">
        <v>1</v>
      </c>
      <c r="H58" s="121">
        <v>7</v>
      </c>
      <c r="I58" s="128">
        <v>79</v>
      </c>
      <c r="J58" s="129">
        <v>11</v>
      </c>
      <c r="K58" s="128">
        <v>210</v>
      </c>
      <c r="L58" s="129">
        <v>32</v>
      </c>
      <c r="M58" s="128">
        <v>216</v>
      </c>
      <c r="N58" s="129">
        <v>28</v>
      </c>
      <c r="O58" s="165">
        <f>I58+K58+M58</f>
        <v>505</v>
      </c>
      <c r="P58" s="166">
        <f>J58+L58+N58</f>
        <v>71</v>
      </c>
      <c r="Q58" s="123">
        <f aca="true" t="shared" si="12" ref="Q58:Q71">+P58/G58</f>
        <v>71</v>
      </c>
      <c r="R58" s="126">
        <f aca="true" t="shared" si="13" ref="R58:R71">+O58/P58</f>
        <v>7.112676056338028</v>
      </c>
      <c r="S58" s="128">
        <v>270</v>
      </c>
      <c r="T58" s="153">
        <f>(+S58-O58)/S58</f>
        <v>-0.8703703703703703</v>
      </c>
      <c r="U58" s="128">
        <v>37908.25</v>
      </c>
      <c r="V58" s="129">
        <v>4807</v>
      </c>
      <c r="W58" s="188">
        <f>U58/V58</f>
        <v>7.886051591429166</v>
      </c>
      <c r="X58" s="8"/>
      <c r="Y58" s="8"/>
    </row>
    <row r="59" spans="1:25" s="10" customFormat="1" ht="18">
      <c r="A59" s="52">
        <v>55</v>
      </c>
      <c r="B59" s="187" t="s">
        <v>140</v>
      </c>
      <c r="C59" s="131">
        <v>39234</v>
      </c>
      <c r="D59" s="142" t="s">
        <v>21</v>
      </c>
      <c r="E59" s="142" t="s">
        <v>141</v>
      </c>
      <c r="F59" s="143">
        <v>77</v>
      </c>
      <c r="G59" s="143">
        <v>3</v>
      </c>
      <c r="H59" s="143">
        <v>8</v>
      </c>
      <c r="I59" s="134">
        <v>116</v>
      </c>
      <c r="J59" s="135">
        <v>23</v>
      </c>
      <c r="K59" s="134">
        <v>205</v>
      </c>
      <c r="L59" s="135">
        <v>33</v>
      </c>
      <c r="M59" s="134">
        <v>163</v>
      </c>
      <c r="N59" s="135">
        <v>27</v>
      </c>
      <c r="O59" s="136">
        <f>+I59+K59+M59</f>
        <v>484</v>
      </c>
      <c r="P59" s="137">
        <f>+J59+L59+N59</f>
        <v>83</v>
      </c>
      <c r="Q59" s="123">
        <f t="shared" si="12"/>
        <v>27.666666666666668</v>
      </c>
      <c r="R59" s="126">
        <f t="shared" si="13"/>
        <v>5.831325301204819</v>
      </c>
      <c r="S59" s="134">
        <v>89</v>
      </c>
      <c r="T59" s="127">
        <f>(+S59-O59)/S59</f>
        <v>-4.438202247191011</v>
      </c>
      <c r="U59" s="134">
        <v>674393</v>
      </c>
      <c r="V59" s="135">
        <v>76317</v>
      </c>
      <c r="W59" s="186">
        <f>U59/V59</f>
        <v>8.836733624225271</v>
      </c>
      <c r="X59" s="8"/>
      <c r="Y59" s="8"/>
    </row>
    <row r="60" spans="1:25" s="10" customFormat="1" ht="18">
      <c r="A60" s="52">
        <v>56</v>
      </c>
      <c r="B60" s="184" t="s">
        <v>142</v>
      </c>
      <c r="C60" s="120">
        <v>39213</v>
      </c>
      <c r="D60" s="119" t="s">
        <v>17</v>
      </c>
      <c r="E60" s="119" t="s">
        <v>30</v>
      </c>
      <c r="F60" s="121">
        <v>55</v>
      </c>
      <c r="G60" s="121">
        <v>2</v>
      </c>
      <c r="H60" s="121">
        <v>13</v>
      </c>
      <c r="I60" s="122">
        <v>125</v>
      </c>
      <c r="J60" s="123">
        <v>25</v>
      </c>
      <c r="K60" s="122">
        <v>170</v>
      </c>
      <c r="L60" s="123">
        <v>34</v>
      </c>
      <c r="M60" s="122">
        <v>185</v>
      </c>
      <c r="N60" s="123">
        <v>37</v>
      </c>
      <c r="O60" s="124">
        <f>+M60+K60+I60</f>
        <v>480</v>
      </c>
      <c r="P60" s="125">
        <f>+N60+L60+J60</f>
        <v>96</v>
      </c>
      <c r="Q60" s="123">
        <f t="shared" si="12"/>
        <v>48</v>
      </c>
      <c r="R60" s="126">
        <f t="shared" si="13"/>
        <v>5</v>
      </c>
      <c r="S60" s="122"/>
      <c r="T60" s="127"/>
      <c r="U60" s="122">
        <v>457444</v>
      </c>
      <c r="V60" s="123">
        <v>54319</v>
      </c>
      <c r="W60" s="185">
        <f>+U60/V60</f>
        <v>8.42143632982934</v>
      </c>
      <c r="X60" s="8"/>
      <c r="Y60" s="8"/>
    </row>
    <row r="61" spans="1:25" s="10" customFormat="1" ht="18">
      <c r="A61" s="53">
        <v>57</v>
      </c>
      <c r="B61" s="184" t="s">
        <v>143</v>
      </c>
      <c r="C61" s="120">
        <v>39227</v>
      </c>
      <c r="D61" s="164" t="s">
        <v>116</v>
      </c>
      <c r="E61" s="119" t="s">
        <v>144</v>
      </c>
      <c r="F61" s="121">
        <v>5</v>
      </c>
      <c r="G61" s="121">
        <v>3</v>
      </c>
      <c r="H61" s="121">
        <v>11</v>
      </c>
      <c r="I61" s="128">
        <v>108</v>
      </c>
      <c r="J61" s="129">
        <v>17</v>
      </c>
      <c r="K61" s="128">
        <v>195</v>
      </c>
      <c r="L61" s="129">
        <v>30</v>
      </c>
      <c r="M61" s="128">
        <v>171</v>
      </c>
      <c r="N61" s="129">
        <v>21</v>
      </c>
      <c r="O61" s="165">
        <f aca="true" t="shared" si="14" ref="O61:P64">I61+K61+M61</f>
        <v>474</v>
      </c>
      <c r="P61" s="166">
        <f t="shared" si="14"/>
        <v>68</v>
      </c>
      <c r="Q61" s="123">
        <f t="shared" si="12"/>
        <v>22.666666666666668</v>
      </c>
      <c r="R61" s="126">
        <f t="shared" si="13"/>
        <v>6.970588235294118</v>
      </c>
      <c r="S61" s="128">
        <v>1995.5</v>
      </c>
      <c r="T61" s="140">
        <f>IF(S61&lt;&gt;0,-(S61-O61)/S61,"")</f>
        <v>-0.7624655474818341</v>
      </c>
      <c r="U61" s="128">
        <v>60728</v>
      </c>
      <c r="V61" s="129">
        <v>7517</v>
      </c>
      <c r="W61" s="188">
        <f aca="true" t="shared" si="15" ref="W61:W68">U61/V61</f>
        <v>8.078754822402555</v>
      </c>
      <c r="X61" s="8"/>
      <c r="Y61" s="8"/>
    </row>
    <row r="62" spans="1:25" s="10" customFormat="1" ht="18">
      <c r="A62" s="52">
        <v>58</v>
      </c>
      <c r="B62" s="184" t="s">
        <v>69</v>
      </c>
      <c r="C62" s="120">
        <v>39213</v>
      </c>
      <c r="D62" s="119" t="s">
        <v>31</v>
      </c>
      <c r="E62" s="119" t="s">
        <v>47</v>
      </c>
      <c r="F62" s="121">
        <v>5</v>
      </c>
      <c r="G62" s="121">
        <v>3</v>
      </c>
      <c r="H62" s="121">
        <v>13</v>
      </c>
      <c r="I62" s="122">
        <v>57</v>
      </c>
      <c r="J62" s="123">
        <v>12</v>
      </c>
      <c r="K62" s="122">
        <v>172</v>
      </c>
      <c r="L62" s="123">
        <v>35</v>
      </c>
      <c r="M62" s="122">
        <v>139</v>
      </c>
      <c r="N62" s="123">
        <v>28</v>
      </c>
      <c r="O62" s="124">
        <f t="shared" si="14"/>
        <v>368</v>
      </c>
      <c r="P62" s="125">
        <f t="shared" si="14"/>
        <v>75</v>
      </c>
      <c r="Q62" s="123">
        <f t="shared" si="12"/>
        <v>25</v>
      </c>
      <c r="R62" s="126">
        <f t="shared" si="13"/>
        <v>4.906666666666666</v>
      </c>
      <c r="S62" s="122">
        <v>368</v>
      </c>
      <c r="T62" s="127">
        <f>(+S62-O62)/S62</f>
        <v>0</v>
      </c>
      <c r="U62" s="128">
        <v>60653.5</v>
      </c>
      <c r="V62" s="129">
        <v>7336</v>
      </c>
      <c r="W62" s="188">
        <f t="shared" si="15"/>
        <v>8.26792529989095</v>
      </c>
      <c r="X62" s="8"/>
      <c r="Y62" s="8"/>
    </row>
    <row r="63" spans="1:25" s="10" customFormat="1" ht="18">
      <c r="A63" s="53">
        <v>59</v>
      </c>
      <c r="B63" s="184" t="s">
        <v>145</v>
      </c>
      <c r="C63" s="120">
        <v>39115</v>
      </c>
      <c r="D63" s="164" t="s">
        <v>116</v>
      </c>
      <c r="E63" s="119" t="s">
        <v>146</v>
      </c>
      <c r="F63" s="121">
        <v>7</v>
      </c>
      <c r="G63" s="121">
        <v>2</v>
      </c>
      <c r="H63" s="121">
        <v>25</v>
      </c>
      <c r="I63" s="128">
        <v>49</v>
      </c>
      <c r="J63" s="129">
        <v>9</v>
      </c>
      <c r="K63" s="128">
        <v>137</v>
      </c>
      <c r="L63" s="129">
        <v>19</v>
      </c>
      <c r="M63" s="128">
        <v>139</v>
      </c>
      <c r="N63" s="129">
        <v>17</v>
      </c>
      <c r="O63" s="165">
        <f t="shared" si="14"/>
        <v>325</v>
      </c>
      <c r="P63" s="166">
        <f t="shared" si="14"/>
        <v>45</v>
      </c>
      <c r="Q63" s="123">
        <f t="shared" si="12"/>
        <v>22.5</v>
      </c>
      <c r="R63" s="126">
        <f t="shared" si="13"/>
        <v>7.222222222222222</v>
      </c>
      <c r="S63" s="128">
        <v>1854.5</v>
      </c>
      <c r="T63" s="140">
        <f>IF(S63&lt;&gt;0,-(S63-O63)/S63,"")</f>
        <v>-0.8247506066325155</v>
      </c>
      <c r="U63" s="128">
        <v>72967.5</v>
      </c>
      <c r="V63" s="129">
        <v>11269</v>
      </c>
      <c r="W63" s="188">
        <f t="shared" si="15"/>
        <v>6.4750643357884465</v>
      </c>
      <c r="X63" s="8"/>
      <c r="Y63" s="8"/>
    </row>
    <row r="64" spans="1:25" s="10" customFormat="1" ht="18">
      <c r="A64" s="52">
        <v>60</v>
      </c>
      <c r="B64" s="187" t="s">
        <v>90</v>
      </c>
      <c r="C64" s="131">
        <v>39150</v>
      </c>
      <c r="D64" s="146" t="s">
        <v>23</v>
      </c>
      <c r="E64" s="146" t="s">
        <v>91</v>
      </c>
      <c r="F64" s="148">
        <v>62</v>
      </c>
      <c r="G64" s="148">
        <v>2</v>
      </c>
      <c r="H64" s="148">
        <v>21</v>
      </c>
      <c r="I64" s="149">
        <v>78</v>
      </c>
      <c r="J64" s="150">
        <v>13</v>
      </c>
      <c r="K64" s="149">
        <v>75</v>
      </c>
      <c r="L64" s="150">
        <v>11</v>
      </c>
      <c r="M64" s="149">
        <v>162</v>
      </c>
      <c r="N64" s="150">
        <v>24</v>
      </c>
      <c r="O64" s="151">
        <f t="shared" si="14"/>
        <v>315</v>
      </c>
      <c r="P64" s="152">
        <f t="shared" si="14"/>
        <v>48</v>
      </c>
      <c r="Q64" s="123">
        <f t="shared" si="12"/>
        <v>24</v>
      </c>
      <c r="R64" s="126">
        <f t="shared" si="13"/>
        <v>6.5625</v>
      </c>
      <c r="S64" s="149">
        <v>752</v>
      </c>
      <c r="T64" s="140">
        <f>IF(S64&lt;&gt;0,-(S64-O64)/S64,"")</f>
        <v>-0.5811170212765957</v>
      </c>
      <c r="U64" s="149">
        <v>2051092.5</v>
      </c>
      <c r="V64" s="150">
        <v>274293</v>
      </c>
      <c r="W64" s="191">
        <f t="shared" si="15"/>
        <v>7.477742778707441</v>
      </c>
      <c r="X64" s="8"/>
      <c r="Y64" s="8"/>
    </row>
    <row r="65" spans="1:25" s="10" customFormat="1" ht="18">
      <c r="A65" s="53">
        <v>61</v>
      </c>
      <c r="B65" s="189" t="s">
        <v>68</v>
      </c>
      <c r="C65" s="120">
        <v>39213</v>
      </c>
      <c r="D65" s="144" t="s">
        <v>50</v>
      </c>
      <c r="E65" s="144" t="s">
        <v>50</v>
      </c>
      <c r="F65" s="145">
        <v>16</v>
      </c>
      <c r="G65" s="145">
        <v>1</v>
      </c>
      <c r="H65" s="145">
        <v>13</v>
      </c>
      <c r="I65" s="122">
        <v>56</v>
      </c>
      <c r="J65" s="123">
        <v>8</v>
      </c>
      <c r="K65" s="122">
        <v>133</v>
      </c>
      <c r="L65" s="123">
        <v>19</v>
      </c>
      <c r="M65" s="122">
        <v>126</v>
      </c>
      <c r="N65" s="123">
        <v>18</v>
      </c>
      <c r="O65" s="124">
        <f>SUM(I65+K65+M65)</f>
        <v>315</v>
      </c>
      <c r="P65" s="125">
        <f>SUM(J65+L65+N65)</f>
        <v>45</v>
      </c>
      <c r="Q65" s="123">
        <f t="shared" si="12"/>
        <v>45</v>
      </c>
      <c r="R65" s="126">
        <f t="shared" si="13"/>
        <v>7</v>
      </c>
      <c r="S65" s="122"/>
      <c r="T65" s="127"/>
      <c r="U65" s="122">
        <v>122902.5</v>
      </c>
      <c r="V65" s="123">
        <v>17940</v>
      </c>
      <c r="W65" s="188">
        <f t="shared" si="15"/>
        <v>6.850752508361204</v>
      </c>
      <c r="X65" s="8"/>
      <c r="Y65" s="8"/>
    </row>
    <row r="66" spans="1:25" s="10" customFormat="1" ht="18">
      <c r="A66" s="52">
        <v>62</v>
      </c>
      <c r="B66" s="190" t="s">
        <v>63</v>
      </c>
      <c r="C66" s="147">
        <v>39199</v>
      </c>
      <c r="D66" s="146" t="s">
        <v>8</v>
      </c>
      <c r="E66" s="146" t="s">
        <v>30</v>
      </c>
      <c r="F66" s="148">
        <v>82</v>
      </c>
      <c r="G66" s="148">
        <v>2</v>
      </c>
      <c r="H66" s="148">
        <v>15</v>
      </c>
      <c r="I66" s="128">
        <v>107</v>
      </c>
      <c r="J66" s="129">
        <v>17</v>
      </c>
      <c r="K66" s="128">
        <v>70</v>
      </c>
      <c r="L66" s="129">
        <v>12</v>
      </c>
      <c r="M66" s="128">
        <v>130</v>
      </c>
      <c r="N66" s="129">
        <v>23</v>
      </c>
      <c r="O66" s="151">
        <f>I66+K66+M66</f>
        <v>307</v>
      </c>
      <c r="P66" s="152">
        <f>J66+L66+N66</f>
        <v>52</v>
      </c>
      <c r="Q66" s="123">
        <f t="shared" si="12"/>
        <v>26</v>
      </c>
      <c r="R66" s="126">
        <f t="shared" si="13"/>
        <v>5.903846153846154</v>
      </c>
      <c r="S66" s="149">
        <v>260</v>
      </c>
      <c r="T66" s="153">
        <f>(+S66-O66)/S66</f>
        <v>-0.18076923076923077</v>
      </c>
      <c r="U66" s="149">
        <v>1337519</v>
      </c>
      <c r="V66" s="150">
        <v>162806</v>
      </c>
      <c r="W66" s="191">
        <f t="shared" si="15"/>
        <v>8.21541589376313</v>
      </c>
      <c r="X66" s="8"/>
      <c r="Y66" s="8"/>
    </row>
    <row r="67" spans="1:25" s="10" customFormat="1" ht="18">
      <c r="A67" s="52">
        <v>63</v>
      </c>
      <c r="B67" s="187" t="s">
        <v>86</v>
      </c>
      <c r="C67" s="131">
        <v>39171</v>
      </c>
      <c r="D67" s="142" t="s">
        <v>87</v>
      </c>
      <c r="E67" s="142" t="s">
        <v>87</v>
      </c>
      <c r="F67" s="143">
        <v>20</v>
      </c>
      <c r="G67" s="143">
        <v>1</v>
      </c>
      <c r="H67" s="143">
        <v>15</v>
      </c>
      <c r="I67" s="134">
        <v>24</v>
      </c>
      <c r="J67" s="135">
        <v>4</v>
      </c>
      <c r="K67" s="134">
        <v>95</v>
      </c>
      <c r="L67" s="135">
        <v>13</v>
      </c>
      <c r="M67" s="134">
        <v>165</v>
      </c>
      <c r="N67" s="135">
        <v>23</v>
      </c>
      <c r="O67" s="136">
        <f>+I67+K67+M67</f>
        <v>284</v>
      </c>
      <c r="P67" s="137">
        <f>+J67+L67+N67</f>
        <v>40</v>
      </c>
      <c r="Q67" s="123">
        <f t="shared" si="12"/>
        <v>40</v>
      </c>
      <c r="R67" s="126">
        <f t="shared" si="13"/>
        <v>7.1</v>
      </c>
      <c r="S67" s="134">
        <v>299</v>
      </c>
      <c r="T67" s="140">
        <f>IF(S67&lt;&gt;0,-(S67-O67)/S67,"")</f>
        <v>-0.05016722408026756</v>
      </c>
      <c r="U67" s="134">
        <v>243738</v>
      </c>
      <c r="V67" s="135">
        <v>25746</v>
      </c>
      <c r="W67" s="186">
        <f t="shared" si="15"/>
        <v>9.467024003728735</v>
      </c>
      <c r="X67" s="8"/>
      <c r="Y67" s="8"/>
    </row>
    <row r="68" spans="1:25" s="10" customFormat="1" ht="18">
      <c r="A68" s="53">
        <v>64</v>
      </c>
      <c r="B68" s="187" t="s">
        <v>102</v>
      </c>
      <c r="C68" s="131">
        <v>39087</v>
      </c>
      <c r="D68" s="142" t="s">
        <v>87</v>
      </c>
      <c r="E68" s="142" t="s">
        <v>87</v>
      </c>
      <c r="F68" s="143">
        <v>11</v>
      </c>
      <c r="G68" s="143">
        <v>2</v>
      </c>
      <c r="H68" s="143">
        <v>12</v>
      </c>
      <c r="I68" s="134">
        <v>65</v>
      </c>
      <c r="J68" s="135">
        <v>12</v>
      </c>
      <c r="K68" s="134">
        <v>57</v>
      </c>
      <c r="L68" s="135">
        <v>9</v>
      </c>
      <c r="M68" s="134">
        <v>137.5</v>
      </c>
      <c r="N68" s="135">
        <v>20</v>
      </c>
      <c r="O68" s="136">
        <f>+I68+K68+M68</f>
        <v>259.5</v>
      </c>
      <c r="P68" s="137">
        <f>+J68+L68+N68</f>
        <v>41</v>
      </c>
      <c r="Q68" s="123">
        <f t="shared" si="12"/>
        <v>20.5</v>
      </c>
      <c r="R68" s="126">
        <f t="shared" si="13"/>
        <v>6.329268292682927</v>
      </c>
      <c r="S68" s="134">
        <v>270</v>
      </c>
      <c r="T68" s="127">
        <f>(+S68-O68)/S68</f>
        <v>0.03888888888888889</v>
      </c>
      <c r="U68" s="134">
        <v>108217.79</v>
      </c>
      <c r="V68" s="135">
        <v>11328</v>
      </c>
      <c r="W68" s="186">
        <f t="shared" si="15"/>
        <v>9.553124117231638</v>
      </c>
      <c r="X68" s="8"/>
      <c r="Y68" s="8"/>
    </row>
    <row r="69" spans="1:25" s="10" customFormat="1" ht="18">
      <c r="A69" s="52">
        <v>65</v>
      </c>
      <c r="B69" s="184" t="s">
        <v>37</v>
      </c>
      <c r="C69" s="120">
        <v>39220</v>
      </c>
      <c r="D69" s="119" t="s">
        <v>17</v>
      </c>
      <c r="E69" s="119" t="s">
        <v>67</v>
      </c>
      <c r="F69" s="121">
        <v>55</v>
      </c>
      <c r="G69" s="121">
        <v>2</v>
      </c>
      <c r="H69" s="121">
        <v>12</v>
      </c>
      <c r="I69" s="122">
        <v>51</v>
      </c>
      <c r="J69" s="123">
        <v>9</v>
      </c>
      <c r="K69" s="122">
        <v>108</v>
      </c>
      <c r="L69" s="123">
        <v>19</v>
      </c>
      <c r="M69" s="122">
        <v>95</v>
      </c>
      <c r="N69" s="123">
        <v>17</v>
      </c>
      <c r="O69" s="124">
        <f>+M69+K69+I69</f>
        <v>254</v>
      </c>
      <c r="P69" s="125">
        <f>+N69+L69+J69</f>
        <v>45</v>
      </c>
      <c r="Q69" s="123">
        <f t="shared" si="12"/>
        <v>22.5</v>
      </c>
      <c r="R69" s="126">
        <f t="shared" si="13"/>
        <v>5.644444444444445</v>
      </c>
      <c r="S69" s="122">
        <v>729</v>
      </c>
      <c r="T69" s="140">
        <f>IF(S69&lt;&gt;0,-(S69-O69)/S69,"")</f>
        <v>-0.6515775034293553</v>
      </c>
      <c r="U69" s="122">
        <v>564426</v>
      </c>
      <c r="V69" s="123">
        <v>67869</v>
      </c>
      <c r="W69" s="185">
        <f>+U69/V69</f>
        <v>8.316403659992044</v>
      </c>
      <c r="X69" s="8"/>
      <c r="Y69" s="8"/>
    </row>
    <row r="70" spans="1:25" s="10" customFormat="1" ht="18">
      <c r="A70" s="53">
        <v>66</v>
      </c>
      <c r="B70" s="184" t="s">
        <v>78</v>
      </c>
      <c r="C70" s="120">
        <v>39241</v>
      </c>
      <c r="D70" s="119" t="s">
        <v>62</v>
      </c>
      <c r="E70" s="119" t="s">
        <v>62</v>
      </c>
      <c r="F70" s="121">
        <v>50</v>
      </c>
      <c r="G70" s="121">
        <v>2</v>
      </c>
      <c r="H70" s="121">
        <v>9</v>
      </c>
      <c r="I70" s="122">
        <v>65</v>
      </c>
      <c r="J70" s="123">
        <v>12</v>
      </c>
      <c r="K70" s="122">
        <v>85</v>
      </c>
      <c r="L70" s="123">
        <v>12</v>
      </c>
      <c r="M70" s="122">
        <v>43</v>
      </c>
      <c r="N70" s="123">
        <v>6</v>
      </c>
      <c r="O70" s="124">
        <f>I70+K70+M70</f>
        <v>193</v>
      </c>
      <c r="P70" s="125">
        <f>J70+L70+N70</f>
        <v>30</v>
      </c>
      <c r="Q70" s="123">
        <f t="shared" si="12"/>
        <v>15</v>
      </c>
      <c r="R70" s="126">
        <f t="shared" si="13"/>
        <v>6.433333333333334</v>
      </c>
      <c r="S70" s="122">
        <v>694</v>
      </c>
      <c r="T70" s="140">
        <f>IF(S70&lt;&gt;0,-(S70-O70)/S70,"")</f>
        <v>-0.7219020172910663</v>
      </c>
      <c r="U70" s="128">
        <v>291400</v>
      </c>
      <c r="V70" s="129">
        <v>40189</v>
      </c>
      <c r="W70" s="188">
        <f>U70/V70</f>
        <v>7.250740252307845</v>
      </c>
      <c r="X70" s="8"/>
      <c r="Y70" s="8"/>
    </row>
    <row r="71" spans="1:25" s="10" customFormat="1" ht="18">
      <c r="A71" s="52">
        <v>67</v>
      </c>
      <c r="B71" s="189" t="s">
        <v>70</v>
      </c>
      <c r="C71" s="120">
        <v>39220</v>
      </c>
      <c r="D71" s="144" t="s">
        <v>50</v>
      </c>
      <c r="E71" s="144" t="s">
        <v>32</v>
      </c>
      <c r="F71" s="145">
        <v>49</v>
      </c>
      <c r="G71" s="145">
        <v>2</v>
      </c>
      <c r="H71" s="145">
        <v>12</v>
      </c>
      <c r="I71" s="122">
        <v>191</v>
      </c>
      <c r="J71" s="123">
        <v>25</v>
      </c>
      <c r="K71" s="122">
        <v>0</v>
      </c>
      <c r="L71" s="123">
        <v>0</v>
      </c>
      <c r="M71" s="122">
        <v>0</v>
      </c>
      <c r="N71" s="123">
        <v>0</v>
      </c>
      <c r="O71" s="124">
        <f>SUM(I71+K71+M71)</f>
        <v>191</v>
      </c>
      <c r="P71" s="125">
        <f>SUM(J71+L71+N71)</f>
        <v>25</v>
      </c>
      <c r="Q71" s="123">
        <f t="shared" si="12"/>
        <v>12.5</v>
      </c>
      <c r="R71" s="126">
        <f t="shared" si="13"/>
        <v>7.64</v>
      </c>
      <c r="S71" s="122"/>
      <c r="T71" s="127"/>
      <c r="U71" s="122">
        <v>701337</v>
      </c>
      <c r="V71" s="123">
        <v>83440</v>
      </c>
      <c r="W71" s="188">
        <f>U71/V71</f>
        <v>8.40528523489933</v>
      </c>
      <c r="X71" s="8"/>
      <c r="Y71" s="8"/>
    </row>
    <row r="72" spans="1:25" s="10" customFormat="1" ht="18">
      <c r="A72" s="53">
        <v>68</v>
      </c>
      <c r="B72" s="182" t="s">
        <v>88</v>
      </c>
      <c r="C72" s="131">
        <v>39185</v>
      </c>
      <c r="D72" s="132" t="s">
        <v>6</v>
      </c>
      <c r="E72" s="130" t="s">
        <v>89</v>
      </c>
      <c r="F72" s="133">
        <v>18</v>
      </c>
      <c r="G72" s="133">
        <v>1</v>
      </c>
      <c r="H72" s="133">
        <v>12</v>
      </c>
      <c r="I72" s="134">
        <v>87</v>
      </c>
      <c r="J72" s="135">
        <v>15</v>
      </c>
      <c r="K72" s="134">
        <v>18</v>
      </c>
      <c r="L72" s="135">
        <v>3</v>
      </c>
      <c r="M72" s="134">
        <v>75</v>
      </c>
      <c r="N72" s="135">
        <v>14</v>
      </c>
      <c r="O72" s="136">
        <f>+I72+K72+M72</f>
        <v>180</v>
      </c>
      <c r="P72" s="137">
        <f>+J72+L72+N72</f>
        <v>32</v>
      </c>
      <c r="Q72" s="138">
        <f>IF(O72&lt;&gt;0,P72/G72,"")</f>
        <v>32</v>
      </c>
      <c r="R72" s="139">
        <f>IF(O72&lt;&gt;0,O72/P72,"")</f>
        <v>5.625</v>
      </c>
      <c r="S72" s="134">
        <v>692</v>
      </c>
      <c r="T72" s="140">
        <f>IF(S72&lt;&gt;0,-(S72-O72)/S72,"")</f>
        <v>-0.7398843930635838</v>
      </c>
      <c r="U72" s="134">
        <v>39808</v>
      </c>
      <c r="V72" s="135">
        <v>5018</v>
      </c>
      <c r="W72" s="183">
        <f>U72/V72</f>
        <v>7.933041052212037</v>
      </c>
      <c r="X72" s="8"/>
      <c r="Y72" s="8"/>
    </row>
    <row r="73" spans="1:25" s="10" customFormat="1" ht="18">
      <c r="A73" s="52">
        <v>69</v>
      </c>
      <c r="B73" s="182" t="s">
        <v>147</v>
      </c>
      <c r="C73" s="131">
        <v>39185</v>
      </c>
      <c r="D73" s="130" t="s">
        <v>33</v>
      </c>
      <c r="E73" s="130" t="s">
        <v>103</v>
      </c>
      <c r="F73" s="133">
        <v>111</v>
      </c>
      <c r="G73" s="133">
        <v>1</v>
      </c>
      <c r="H73" s="133">
        <v>16</v>
      </c>
      <c r="I73" s="134">
        <v>84</v>
      </c>
      <c r="J73" s="135">
        <v>21</v>
      </c>
      <c r="K73" s="134">
        <v>44</v>
      </c>
      <c r="L73" s="135">
        <v>11</v>
      </c>
      <c r="M73" s="134">
        <v>45</v>
      </c>
      <c r="N73" s="135">
        <v>11</v>
      </c>
      <c r="O73" s="136">
        <f>I73+K73+M73</f>
        <v>173</v>
      </c>
      <c r="P73" s="137">
        <f>J73+L73+N73</f>
        <v>43</v>
      </c>
      <c r="Q73" s="123">
        <f>+P73/G73</f>
        <v>43</v>
      </c>
      <c r="R73" s="126">
        <f>+O73/P73</f>
        <v>4.023255813953488</v>
      </c>
      <c r="S73" s="134">
        <v>226</v>
      </c>
      <c r="T73" s="140">
        <f>IF(S73&lt;&gt;0,-(S73-O73)/S73,"")</f>
        <v>-0.2345132743362832</v>
      </c>
      <c r="U73" s="141">
        <f>1097365+234+173</f>
        <v>1097772</v>
      </c>
      <c r="V73" s="129">
        <f>147226+57+43</f>
        <v>147326</v>
      </c>
      <c r="W73" s="186">
        <f>IF(U73&lt;&gt;0,U73/V73,"")</f>
        <v>7.451312056256194</v>
      </c>
      <c r="X73" s="8"/>
      <c r="Y73" s="8"/>
    </row>
    <row r="74" spans="1:25" s="10" customFormat="1" ht="18">
      <c r="A74" s="52">
        <v>70</v>
      </c>
      <c r="B74" s="187" t="s">
        <v>148</v>
      </c>
      <c r="C74" s="131">
        <v>39108</v>
      </c>
      <c r="D74" s="146" t="s">
        <v>23</v>
      </c>
      <c r="E74" s="146" t="s">
        <v>149</v>
      </c>
      <c r="F74" s="148">
        <v>163</v>
      </c>
      <c r="G74" s="148">
        <v>3</v>
      </c>
      <c r="H74" s="148">
        <v>20</v>
      </c>
      <c r="I74" s="149">
        <v>27</v>
      </c>
      <c r="J74" s="150">
        <v>9</v>
      </c>
      <c r="K74" s="149">
        <v>90</v>
      </c>
      <c r="L74" s="150">
        <v>30</v>
      </c>
      <c r="M74" s="149">
        <v>51</v>
      </c>
      <c r="N74" s="150">
        <v>17</v>
      </c>
      <c r="O74" s="151">
        <f>I74+K74+M74</f>
        <v>168</v>
      </c>
      <c r="P74" s="152">
        <f>J74+L74+N74</f>
        <v>56</v>
      </c>
      <c r="Q74" s="123">
        <f>+P74/G74</f>
        <v>18.666666666666668</v>
      </c>
      <c r="R74" s="126">
        <f>+O74/P74</f>
        <v>3</v>
      </c>
      <c r="S74" s="149"/>
      <c r="T74" s="153"/>
      <c r="U74" s="149">
        <v>2824356.5</v>
      </c>
      <c r="V74" s="150">
        <v>379562</v>
      </c>
      <c r="W74" s="191">
        <f>U74/V74</f>
        <v>7.441093945126225</v>
      </c>
      <c r="X74" s="8"/>
      <c r="Y74" s="8"/>
    </row>
    <row r="75" spans="1:25" s="10" customFormat="1" ht="18">
      <c r="A75" s="53">
        <v>71</v>
      </c>
      <c r="B75" s="182" t="s">
        <v>150</v>
      </c>
      <c r="C75" s="131">
        <v>39178</v>
      </c>
      <c r="D75" s="132" t="s">
        <v>6</v>
      </c>
      <c r="E75" s="132" t="s">
        <v>151</v>
      </c>
      <c r="F75" s="133">
        <v>34</v>
      </c>
      <c r="G75" s="133">
        <v>1</v>
      </c>
      <c r="H75" s="133">
        <v>13</v>
      </c>
      <c r="I75" s="134">
        <v>16</v>
      </c>
      <c r="J75" s="135">
        <v>3</v>
      </c>
      <c r="K75" s="134">
        <v>53</v>
      </c>
      <c r="L75" s="135">
        <v>9</v>
      </c>
      <c r="M75" s="134">
        <v>87</v>
      </c>
      <c r="N75" s="135">
        <v>15</v>
      </c>
      <c r="O75" s="136">
        <f>+I75+K75+M75</f>
        <v>156</v>
      </c>
      <c r="P75" s="137">
        <f>+J75+L75+N75</f>
        <v>27</v>
      </c>
      <c r="Q75" s="138">
        <f>IF(O75&lt;&gt;0,P75/G75,"")</f>
        <v>27</v>
      </c>
      <c r="R75" s="139">
        <f>IF(O75&lt;&gt;0,O75/P75,"")</f>
        <v>5.777777777777778</v>
      </c>
      <c r="S75" s="134"/>
      <c r="T75" s="140">
        <f>IF(S75&lt;&gt;0,-(S75-O75)/S75,"")</f>
      </c>
      <c r="U75" s="134">
        <v>439613</v>
      </c>
      <c r="V75" s="135">
        <v>45076</v>
      </c>
      <c r="W75" s="183">
        <f>U75/V75</f>
        <v>9.752706540065667</v>
      </c>
      <c r="X75" s="8"/>
      <c r="Y75" s="8"/>
    </row>
    <row r="76" spans="1:25" s="10" customFormat="1" ht="18">
      <c r="A76" s="52">
        <v>72</v>
      </c>
      <c r="B76" s="182" t="s">
        <v>105</v>
      </c>
      <c r="C76" s="131">
        <v>38968</v>
      </c>
      <c r="D76" s="130" t="s">
        <v>33</v>
      </c>
      <c r="E76" s="130" t="s">
        <v>58</v>
      </c>
      <c r="F76" s="133">
        <v>56</v>
      </c>
      <c r="G76" s="133">
        <v>1</v>
      </c>
      <c r="H76" s="133">
        <v>15</v>
      </c>
      <c r="I76" s="134">
        <v>58</v>
      </c>
      <c r="J76" s="135">
        <v>8</v>
      </c>
      <c r="K76" s="134">
        <v>28</v>
      </c>
      <c r="L76" s="135">
        <v>4</v>
      </c>
      <c r="M76" s="134">
        <v>58</v>
      </c>
      <c r="N76" s="135">
        <v>8</v>
      </c>
      <c r="O76" s="136">
        <f>I76+K76+M76</f>
        <v>144</v>
      </c>
      <c r="P76" s="137">
        <f>J76+L76+N76</f>
        <v>20</v>
      </c>
      <c r="Q76" s="123">
        <f>+P76/G76</f>
        <v>20</v>
      </c>
      <c r="R76" s="126">
        <f>+O76/P76</f>
        <v>7.2</v>
      </c>
      <c r="S76" s="134">
        <v>84</v>
      </c>
      <c r="T76" s="140">
        <f>IF(S76&lt;&gt;0,-(S76-O76)/S76,"")</f>
        <v>0.7142857142857143</v>
      </c>
      <c r="U76" s="141">
        <f>564240+178+144</f>
        <v>564562</v>
      </c>
      <c r="V76" s="129">
        <f>80871+28+20</f>
        <v>80919</v>
      </c>
      <c r="W76" s="186">
        <f>IF(U76&lt;&gt;0,U76/V76,"")</f>
        <v>6.9768781126805814</v>
      </c>
      <c r="X76" s="8"/>
      <c r="Y76" s="8"/>
    </row>
    <row r="77" spans="1:25" s="10" customFormat="1" ht="18">
      <c r="A77" s="53">
        <v>73</v>
      </c>
      <c r="B77" s="182" t="s">
        <v>152</v>
      </c>
      <c r="C77" s="131">
        <v>39234</v>
      </c>
      <c r="D77" s="132" t="s">
        <v>6</v>
      </c>
      <c r="E77" s="130" t="s">
        <v>74</v>
      </c>
      <c r="F77" s="133">
        <v>86</v>
      </c>
      <c r="G77" s="133">
        <v>1</v>
      </c>
      <c r="H77" s="133">
        <v>9</v>
      </c>
      <c r="I77" s="134">
        <v>40</v>
      </c>
      <c r="J77" s="135">
        <v>10</v>
      </c>
      <c r="K77" s="134">
        <v>29</v>
      </c>
      <c r="L77" s="135">
        <v>7</v>
      </c>
      <c r="M77" s="134">
        <v>32</v>
      </c>
      <c r="N77" s="135">
        <v>8</v>
      </c>
      <c r="O77" s="136">
        <f aca="true" t="shared" si="16" ref="O77:P80">+I77+K77+M77</f>
        <v>101</v>
      </c>
      <c r="P77" s="137">
        <f t="shared" si="16"/>
        <v>25</v>
      </c>
      <c r="Q77" s="138">
        <f>IF(O77&lt;&gt;0,P77/G77,"")</f>
        <v>25</v>
      </c>
      <c r="R77" s="139">
        <f>IF(O77&lt;&gt;0,O77/P77,"")</f>
        <v>4.04</v>
      </c>
      <c r="S77" s="134"/>
      <c r="T77" s="140">
        <f>IF(S77&lt;&gt;0,-(S77-O77)/S77,"")</f>
      </c>
      <c r="U77" s="134">
        <v>291437</v>
      </c>
      <c r="V77" s="135">
        <v>40433</v>
      </c>
      <c r="W77" s="183">
        <f aca="true" t="shared" si="17" ref="W77:W82">U77/V77</f>
        <v>7.207899488041946</v>
      </c>
      <c r="X77" s="8"/>
      <c r="Y77" s="8"/>
    </row>
    <row r="78" spans="1:25" s="10" customFormat="1" ht="18">
      <c r="A78" s="52">
        <v>74</v>
      </c>
      <c r="B78" s="182" t="s">
        <v>153</v>
      </c>
      <c r="C78" s="131">
        <v>39122</v>
      </c>
      <c r="D78" s="132" t="s">
        <v>6</v>
      </c>
      <c r="E78" s="132" t="s">
        <v>24</v>
      </c>
      <c r="F78" s="133">
        <v>60</v>
      </c>
      <c r="G78" s="133">
        <v>1</v>
      </c>
      <c r="H78" s="133">
        <v>13</v>
      </c>
      <c r="I78" s="134">
        <v>18</v>
      </c>
      <c r="J78" s="135">
        <v>3</v>
      </c>
      <c r="K78" s="134">
        <v>25</v>
      </c>
      <c r="L78" s="135">
        <v>4</v>
      </c>
      <c r="M78" s="134">
        <v>44</v>
      </c>
      <c r="N78" s="135">
        <v>7</v>
      </c>
      <c r="O78" s="136">
        <f t="shared" si="16"/>
        <v>87</v>
      </c>
      <c r="P78" s="137">
        <f t="shared" si="16"/>
        <v>14</v>
      </c>
      <c r="Q78" s="138">
        <f>IF(O78&lt;&gt;0,P78/G78,"")</f>
        <v>14</v>
      </c>
      <c r="R78" s="139">
        <f>IF(O78&lt;&gt;0,O78/P78,"")</f>
        <v>6.214285714285714</v>
      </c>
      <c r="S78" s="134"/>
      <c r="T78" s="140">
        <f>IF(S78&lt;&gt;0,-(S78-M78)/S78,"")</f>
      </c>
      <c r="U78" s="134">
        <v>1188932</v>
      </c>
      <c r="V78" s="135">
        <v>149367</v>
      </c>
      <c r="W78" s="183">
        <f t="shared" si="17"/>
        <v>7.9598037049683</v>
      </c>
      <c r="X78" s="8"/>
      <c r="Y78" s="8"/>
    </row>
    <row r="79" spans="1:25" s="10" customFormat="1" ht="18">
      <c r="A79" s="53">
        <v>75</v>
      </c>
      <c r="B79" s="182" t="s">
        <v>104</v>
      </c>
      <c r="C79" s="131">
        <v>39199</v>
      </c>
      <c r="D79" s="132" t="s">
        <v>6</v>
      </c>
      <c r="E79" s="130" t="s">
        <v>7</v>
      </c>
      <c r="F79" s="133">
        <v>71</v>
      </c>
      <c r="G79" s="133">
        <v>1</v>
      </c>
      <c r="H79" s="133">
        <v>14</v>
      </c>
      <c r="I79" s="134">
        <v>24</v>
      </c>
      <c r="J79" s="135">
        <v>4</v>
      </c>
      <c r="K79" s="134">
        <v>12</v>
      </c>
      <c r="L79" s="135">
        <v>2</v>
      </c>
      <c r="M79" s="134">
        <v>48</v>
      </c>
      <c r="N79" s="135">
        <v>8</v>
      </c>
      <c r="O79" s="136">
        <f t="shared" si="16"/>
        <v>84</v>
      </c>
      <c r="P79" s="137">
        <f t="shared" si="16"/>
        <v>14</v>
      </c>
      <c r="Q79" s="138">
        <f>IF(O79&lt;&gt;0,P79/G79,"")</f>
        <v>14</v>
      </c>
      <c r="R79" s="139">
        <f>IF(O79&lt;&gt;0,O79/P79,"")</f>
        <v>6</v>
      </c>
      <c r="S79" s="134">
        <v>120</v>
      </c>
      <c r="T79" s="140">
        <f>IF(S79&lt;&gt;0,-(S79-O79)/S79,"")</f>
        <v>-0.3</v>
      </c>
      <c r="U79" s="134">
        <v>1094670</v>
      </c>
      <c r="V79" s="135">
        <v>146447</v>
      </c>
      <c r="W79" s="183">
        <f t="shared" si="17"/>
        <v>7.474854384179943</v>
      </c>
      <c r="X79" s="8"/>
      <c r="Y79" s="8"/>
    </row>
    <row r="80" spans="1:25" s="10" customFormat="1" ht="18">
      <c r="A80" s="52">
        <v>76</v>
      </c>
      <c r="B80" s="182" t="s">
        <v>80</v>
      </c>
      <c r="C80" s="131">
        <v>39248</v>
      </c>
      <c r="D80" s="132" t="s">
        <v>6</v>
      </c>
      <c r="E80" s="130" t="s">
        <v>74</v>
      </c>
      <c r="F80" s="133">
        <v>43</v>
      </c>
      <c r="G80" s="133">
        <v>1</v>
      </c>
      <c r="H80" s="133">
        <v>8</v>
      </c>
      <c r="I80" s="134">
        <v>0</v>
      </c>
      <c r="J80" s="135">
        <v>0</v>
      </c>
      <c r="K80" s="134">
        <v>34</v>
      </c>
      <c r="L80" s="135">
        <v>11</v>
      </c>
      <c r="M80" s="134">
        <v>32</v>
      </c>
      <c r="N80" s="135">
        <v>10</v>
      </c>
      <c r="O80" s="136">
        <f t="shared" si="16"/>
        <v>66</v>
      </c>
      <c r="P80" s="137">
        <f t="shared" si="16"/>
        <v>21</v>
      </c>
      <c r="Q80" s="138">
        <f>IF(O80&lt;&gt;0,P80/G80,"")</f>
        <v>21</v>
      </c>
      <c r="R80" s="139">
        <f>IF(O80&lt;&gt;0,O80/P80,"")</f>
        <v>3.142857142857143</v>
      </c>
      <c r="S80" s="134">
        <v>584</v>
      </c>
      <c r="T80" s="140">
        <f>IF(S80&lt;&gt;0,-(S80-O80)/S80,"")</f>
        <v>-0.886986301369863</v>
      </c>
      <c r="U80" s="134">
        <v>68481</v>
      </c>
      <c r="V80" s="135">
        <v>8962</v>
      </c>
      <c r="W80" s="183">
        <f t="shared" si="17"/>
        <v>7.6412631109127425</v>
      </c>
      <c r="X80" s="8"/>
      <c r="Y80" s="8"/>
    </row>
    <row r="81" spans="1:25" s="10" customFormat="1" ht="18">
      <c r="A81" s="52">
        <v>77</v>
      </c>
      <c r="B81" s="187" t="s">
        <v>154</v>
      </c>
      <c r="C81" s="131">
        <v>39118</v>
      </c>
      <c r="D81" s="146" t="s">
        <v>23</v>
      </c>
      <c r="E81" s="146" t="s">
        <v>155</v>
      </c>
      <c r="F81" s="148">
        <v>55</v>
      </c>
      <c r="G81" s="148">
        <v>1</v>
      </c>
      <c r="H81" s="148">
        <v>17</v>
      </c>
      <c r="I81" s="149">
        <v>30</v>
      </c>
      <c r="J81" s="150">
        <v>6</v>
      </c>
      <c r="K81" s="149">
        <v>13</v>
      </c>
      <c r="L81" s="150">
        <v>2</v>
      </c>
      <c r="M81" s="149">
        <v>13</v>
      </c>
      <c r="N81" s="150">
        <v>2</v>
      </c>
      <c r="O81" s="151">
        <f aca="true" t="shared" si="18" ref="O81:P83">I81+K81+M81</f>
        <v>56</v>
      </c>
      <c r="P81" s="152">
        <f t="shared" si="18"/>
        <v>10</v>
      </c>
      <c r="Q81" s="123">
        <f>+P81/G81</f>
        <v>10</v>
      </c>
      <c r="R81" s="126">
        <f>+O81/P81</f>
        <v>5.6</v>
      </c>
      <c r="S81" s="149"/>
      <c r="T81" s="140">
        <f>IF(S81&lt;&gt;0,-(S81-O81)/S81,"")</f>
      </c>
      <c r="U81" s="149">
        <v>1681532</v>
      </c>
      <c r="V81" s="150">
        <v>236604</v>
      </c>
      <c r="W81" s="191">
        <f t="shared" si="17"/>
        <v>7.106946628121249</v>
      </c>
      <c r="X81" s="8"/>
      <c r="Y81" s="8"/>
    </row>
    <row r="82" spans="1:25" s="10" customFormat="1" ht="18">
      <c r="A82" s="53">
        <v>78</v>
      </c>
      <c r="B82" s="189" t="s">
        <v>56</v>
      </c>
      <c r="C82" s="120">
        <v>39248</v>
      </c>
      <c r="D82" s="144" t="s">
        <v>50</v>
      </c>
      <c r="E82" s="144" t="s">
        <v>32</v>
      </c>
      <c r="F82" s="145">
        <v>18</v>
      </c>
      <c r="G82" s="145">
        <v>1</v>
      </c>
      <c r="H82" s="145">
        <v>8</v>
      </c>
      <c r="I82" s="122">
        <v>15</v>
      </c>
      <c r="J82" s="123">
        <v>3</v>
      </c>
      <c r="K82" s="122">
        <v>20</v>
      </c>
      <c r="L82" s="123">
        <v>4</v>
      </c>
      <c r="M82" s="122">
        <v>20</v>
      </c>
      <c r="N82" s="123">
        <v>4</v>
      </c>
      <c r="O82" s="124">
        <f t="shared" si="18"/>
        <v>55</v>
      </c>
      <c r="P82" s="125">
        <f t="shared" si="18"/>
        <v>11</v>
      </c>
      <c r="Q82" s="123">
        <f>+P82/G82</f>
        <v>11</v>
      </c>
      <c r="R82" s="126">
        <f>+O82/P82</f>
        <v>5</v>
      </c>
      <c r="S82" s="122"/>
      <c r="T82" s="127"/>
      <c r="U82" s="122">
        <v>50308</v>
      </c>
      <c r="V82" s="123">
        <v>6490</v>
      </c>
      <c r="W82" s="188">
        <f t="shared" si="17"/>
        <v>7.751617873651772</v>
      </c>
      <c r="X82" s="8"/>
      <c r="Y82" s="8"/>
    </row>
    <row r="83" spans="1:25" s="10" customFormat="1" ht="18">
      <c r="A83" s="52">
        <v>79</v>
      </c>
      <c r="B83" s="182" t="s">
        <v>59</v>
      </c>
      <c r="C83" s="131">
        <v>39164</v>
      </c>
      <c r="D83" s="130" t="s">
        <v>33</v>
      </c>
      <c r="E83" s="130" t="s">
        <v>58</v>
      </c>
      <c r="F83" s="133">
        <v>119</v>
      </c>
      <c r="G83" s="133">
        <v>1</v>
      </c>
      <c r="H83" s="133">
        <v>20</v>
      </c>
      <c r="I83" s="134">
        <v>14</v>
      </c>
      <c r="J83" s="135">
        <v>2</v>
      </c>
      <c r="K83" s="134">
        <v>21</v>
      </c>
      <c r="L83" s="135">
        <v>3</v>
      </c>
      <c r="M83" s="134">
        <v>14</v>
      </c>
      <c r="N83" s="135">
        <v>2</v>
      </c>
      <c r="O83" s="136">
        <f t="shared" si="18"/>
        <v>49</v>
      </c>
      <c r="P83" s="137">
        <f t="shared" si="18"/>
        <v>7</v>
      </c>
      <c r="Q83" s="123">
        <f>+P83/G83</f>
        <v>7</v>
      </c>
      <c r="R83" s="126">
        <f>+O83/P83</f>
        <v>7</v>
      </c>
      <c r="S83" s="134">
        <v>127</v>
      </c>
      <c r="T83" s="140">
        <f>IF(S83&lt;&gt;0,-(S83-O83)/S83,"")</f>
        <v>-0.6141732283464567</v>
      </c>
      <c r="U83" s="141">
        <f>1486973.5+0+60+3728+1281+565+311+49</f>
        <v>1492967.5</v>
      </c>
      <c r="V83" s="129">
        <f>197344+0+9+619+252+110+56+7</f>
        <v>198397</v>
      </c>
      <c r="W83" s="186">
        <f>IF(U83&lt;&gt;0,U83/V83,"")</f>
        <v>7.525151589993801</v>
      </c>
      <c r="X83" s="8"/>
      <c r="Y83" s="8"/>
    </row>
    <row r="84" spans="1:25" s="10" customFormat="1" ht="18.75" thickBot="1">
      <c r="A84" s="53">
        <v>80</v>
      </c>
      <c r="B84" s="194" t="s">
        <v>51</v>
      </c>
      <c r="C84" s="195">
        <v>39171</v>
      </c>
      <c r="D84" s="196" t="s">
        <v>17</v>
      </c>
      <c r="E84" s="196" t="s">
        <v>18</v>
      </c>
      <c r="F84" s="197">
        <v>88</v>
      </c>
      <c r="G84" s="197">
        <v>1</v>
      </c>
      <c r="H84" s="197">
        <v>19</v>
      </c>
      <c r="I84" s="198">
        <v>0</v>
      </c>
      <c r="J84" s="199">
        <v>0</v>
      </c>
      <c r="K84" s="198">
        <v>0</v>
      </c>
      <c r="L84" s="199">
        <v>0</v>
      </c>
      <c r="M84" s="198">
        <v>28</v>
      </c>
      <c r="N84" s="199">
        <v>4</v>
      </c>
      <c r="O84" s="200">
        <f>+M84+K84+I84</f>
        <v>28</v>
      </c>
      <c r="P84" s="201">
        <f>+N84+L84+J84</f>
        <v>4</v>
      </c>
      <c r="Q84" s="199">
        <f>+P84/G84</f>
        <v>4</v>
      </c>
      <c r="R84" s="202">
        <f>+O84/P84</f>
        <v>7</v>
      </c>
      <c r="S84" s="198">
        <v>42</v>
      </c>
      <c r="T84" s="203">
        <f>IF(S84&lt;&gt;0,-(S84-O84)/S84,"")</f>
        <v>-0.3333333333333333</v>
      </c>
      <c r="U84" s="198">
        <v>1094283</v>
      </c>
      <c r="V84" s="199">
        <v>143049</v>
      </c>
      <c r="W84" s="204">
        <f>+U84/V84</f>
        <v>7.649707442904179</v>
      </c>
      <c r="X84" s="8"/>
      <c r="Y84" s="8"/>
    </row>
    <row r="85" spans="1:28" s="66" customFormat="1" ht="15.75" thickBot="1">
      <c r="A85" s="74"/>
      <c r="B85" s="236" t="s">
        <v>29</v>
      </c>
      <c r="C85" s="237"/>
      <c r="D85" s="238"/>
      <c r="E85" s="239"/>
      <c r="F85" s="69">
        <f>SUM(F5:F84)</f>
        <v>4559</v>
      </c>
      <c r="G85" s="69">
        <f>SUM(G5:G84)</f>
        <v>1105</v>
      </c>
      <c r="H85" s="70"/>
      <c r="I85" s="79"/>
      <c r="J85" s="90"/>
      <c r="K85" s="79"/>
      <c r="L85" s="90"/>
      <c r="M85" s="79"/>
      <c r="N85" s="90"/>
      <c r="O85" s="79">
        <f>SUM(O5:O84)</f>
        <v>1144988.5</v>
      </c>
      <c r="P85" s="90">
        <f>SUM(P5:P84)</f>
        <v>137961</v>
      </c>
      <c r="Q85" s="90">
        <f>O85/G85</f>
        <v>1036.1886877828053</v>
      </c>
      <c r="R85" s="71">
        <f>O85/P85</f>
        <v>8.29936358826045</v>
      </c>
      <c r="S85" s="79"/>
      <c r="T85" s="72"/>
      <c r="U85" s="79"/>
      <c r="V85" s="90"/>
      <c r="W85" s="73"/>
      <c r="AB85" s="66" t="s">
        <v>45</v>
      </c>
    </row>
    <row r="86" spans="1:24" s="51" customFormat="1" ht="18">
      <c r="A86" s="40"/>
      <c r="B86" s="76"/>
      <c r="C86" s="68"/>
      <c r="F86" s="101"/>
      <c r="G86" s="42"/>
      <c r="H86" s="41"/>
      <c r="I86" s="80"/>
      <c r="J86" s="45"/>
      <c r="K86" s="80"/>
      <c r="L86" s="45"/>
      <c r="M86" s="80"/>
      <c r="N86" s="45"/>
      <c r="O86" s="80"/>
      <c r="P86" s="45"/>
      <c r="Q86" s="45"/>
      <c r="R86" s="46"/>
      <c r="S86" s="88"/>
      <c r="T86" s="48"/>
      <c r="U86" s="88"/>
      <c r="V86" s="45"/>
      <c r="W86" s="46"/>
      <c r="X86" s="50"/>
    </row>
    <row r="87" spans="1:24" s="33" customFormat="1" ht="18">
      <c r="A87" s="32"/>
      <c r="B87" s="77"/>
      <c r="C87" s="63"/>
      <c r="D87" s="234"/>
      <c r="E87" s="235"/>
      <c r="F87" s="235"/>
      <c r="G87" s="235"/>
      <c r="H87" s="34"/>
      <c r="I87" s="81"/>
      <c r="J87" s="91"/>
      <c r="K87" s="81"/>
      <c r="L87" s="91"/>
      <c r="M87" s="81"/>
      <c r="N87" s="91"/>
      <c r="O87" s="85"/>
      <c r="P87" s="98"/>
      <c r="Q87" s="91"/>
      <c r="R87" s="37"/>
      <c r="S87" s="244" t="s">
        <v>46</v>
      </c>
      <c r="T87" s="244"/>
      <c r="U87" s="244"/>
      <c r="V87" s="244"/>
      <c r="W87" s="244"/>
      <c r="X87" s="38"/>
    </row>
    <row r="88" spans="1:24" s="33" customFormat="1" ht="18">
      <c r="A88" s="32"/>
      <c r="B88" s="77"/>
      <c r="C88" s="63"/>
      <c r="D88" s="110"/>
      <c r="E88" s="111"/>
      <c r="F88" s="100"/>
      <c r="G88" s="100"/>
      <c r="H88" s="34"/>
      <c r="I88" s="81"/>
      <c r="J88" s="91"/>
      <c r="K88" s="81"/>
      <c r="L88" s="91"/>
      <c r="M88" s="81"/>
      <c r="N88" s="91"/>
      <c r="O88" s="85"/>
      <c r="P88" s="98"/>
      <c r="Q88" s="91"/>
      <c r="R88" s="37"/>
      <c r="S88" s="244"/>
      <c r="T88" s="244"/>
      <c r="U88" s="244"/>
      <c r="V88" s="244"/>
      <c r="W88" s="244"/>
      <c r="X88" s="38"/>
    </row>
    <row r="89" spans="1:24" s="33" customFormat="1" ht="18">
      <c r="A89" s="32"/>
      <c r="B89" s="39"/>
      <c r="C89" s="64"/>
      <c r="F89" s="34"/>
      <c r="G89" s="34"/>
      <c r="H89" s="34"/>
      <c r="I89" s="81"/>
      <c r="J89" s="91"/>
      <c r="K89" s="81"/>
      <c r="L89" s="91"/>
      <c r="M89" s="81"/>
      <c r="N89" s="91"/>
      <c r="O89" s="85"/>
      <c r="P89" s="98"/>
      <c r="Q89" s="91"/>
      <c r="R89" s="37"/>
      <c r="S89" s="244"/>
      <c r="T89" s="244"/>
      <c r="U89" s="244"/>
      <c r="V89" s="244"/>
      <c r="W89" s="244"/>
      <c r="X89" s="38"/>
    </row>
    <row r="90" spans="1:24" s="33" customFormat="1" ht="18" customHeight="1">
      <c r="A90" s="32"/>
      <c r="B90" s="39"/>
      <c r="C90" s="64"/>
      <c r="F90" s="34"/>
      <c r="G90" s="34"/>
      <c r="H90" s="34"/>
      <c r="I90" s="81"/>
      <c r="J90" s="91"/>
      <c r="K90" s="81"/>
      <c r="L90" s="91"/>
      <c r="M90" s="81"/>
      <c r="N90" s="91"/>
      <c r="O90" s="85"/>
      <c r="P90" s="98"/>
      <c r="Q90" s="91"/>
      <c r="R90" s="37"/>
      <c r="S90" s="243" t="s">
        <v>92</v>
      </c>
      <c r="T90" s="243"/>
      <c r="U90" s="243"/>
      <c r="V90" s="243"/>
      <c r="W90" s="243"/>
      <c r="X90" s="38"/>
    </row>
    <row r="91" spans="1:24" s="33" customFormat="1" ht="18">
      <c r="A91" s="32"/>
      <c r="B91" s="39"/>
      <c r="C91" s="64"/>
      <c r="F91" s="34"/>
      <c r="G91" s="34"/>
      <c r="H91" s="34"/>
      <c r="I91" s="81"/>
      <c r="J91" s="91"/>
      <c r="K91" s="81"/>
      <c r="L91" s="91"/>
      <c r="M91" s="81"/>
      <c r="N91" s="91"/>
      <c r="O91" s="85"/>
      <c r="P91" s="98"/>
      <c r="Q91" s="91"/>
      <c r="R91" s="37"/>
      <c r="S91" s="243"/>
      <c r="T91" s="243"/>
      <c r="U91" s="243"/>
      <c r="V91" s="243"/>
      <c r="W91" s="243"/>
      <c r="X91" s="38"/>
    </row>
    <row r="92" spans="1:24" s="33" customFormat="1" ht="18">
      <c r="A92" s="32"/>
      <c r="B92" s="39"/>
      <c r="C92" s="64"/>
      <c r="F92" s="34"/>
      <c r="G92" s="34"/>
      <c r="H92" s="34"/>
      <c r="I92" s="81"/>
      <c r="J92" s="91"/>
      <c r="K92" s="81"/>
      <c r="L92" s="91"/>
      <c r="M92" s="81"/>
      <c r="N92" s="91"/>
      <c r="O92" s="85"/>
      <c r="P92" s="98"/>
      <c r="Q92" s="91"/>
      <c r="R92" s="37"/>
      <c r="S92" s="243"/>
      <c r="T92" s="243"/>
      <c r="U92" s="243"/>
      <c r="V92" s="243"/>
      <c r="W92" s="243"/>
      <c r="X92" s="38"/>
    </row>
    <row r="93" spans="1:24" s="33" customFormat="1" ht="18">
      <c r="A93" s="32"/>
      <c r="B93" s="39"/>
      <c r="C93" s="64"/>
      <c r="F93" s="34"/>
      <c r="G93" s="34"/>
      <c r="H93" s="34"/>
      <c r="I93" s="81"/>
      <c r="J93" s="91"/>
      <c r="K93" s="81"/>
      <c r="L93" s="91"/>
      <c r="M93" s="81"/>
      <c r="N93" s="91"/>
      <c r="O93" s="85"/>
      <c r="P93" s="98"/>
      <c r="Q93" s="91"/>
      <c r="R93" s="37"/>
      <c r="S93" s="243" t="s">
        <v>106</v>
      </c>
      <c r="T93" s="243"/>
      <c r="U93" s="243"/>
      <c r="V93" s="243"/>
      <c r="W93" s="243"/>
      <c r="X93" s="38"/>
    </row>
    <row r="94" spans="1:24" s="33" customFormat="1" ht="18">
      <c r="A94" s="32"/>
      <c r="B94" s="39"/>
      <c r="C94" s="64"/>
      <c r="F94" s="34"/>
      <c r="G94" s="34"/>
      <c r="H94" s="34"/>
      <c r="I94" s="81"/>
      <c r="J94" s="91"/>
      <c r="K94" s="81"/>
      <c r="L94" s="91"/>
      <c r="M94" s="81"/>
      <c r="N94" s="91"/>
      <c r="O94" s="85"/>
      <c r="P94" s="98"/>
      <c r="Q94" s="91"/>
      <c r="R94" s="37"/>
      <c r="S94" s="243"/>
      <c r="T94" s="243"/>
      <c r="U94" s="243"/>
      <c r="V94" s="243"/>
      <c r="W94" s="243"/>
      <c r="X94" s="38"/>
    </row>
    <row r="95" spans="1:24" s="33" customFormat="1" ht="18">
      <c r="A95" s="32"/>
      <c r="B95" s="39"/>
      <c r="C95" s="64"/>
      <c r="F95" s="34"/>
      <c r="G95" s="34"/>
      <c r="H95" s="34"/>
      <c r="I95" s="81"/>
      <c r="J95" s="91"/>
      <c r="K95" s="81"/>
      <c r="L95" s="91"/>
      <c r="M95" s="81"/>
      <c r="N95" s="91"/>
      <c r="O95" s="85"/>
      <c r="P95" s="98"/>
      <c r="Q95" s="91"/>
      <c r="R95" s="37"/>
      <c r="S95" s="243"/>
      <c r="T95" s="243"/>
      <c r="U95" s="243"/>
      <c r="V95" s="243"/>
      <c r="W95" s="243"/>
      <c r="X95" s="38"/>
    </row>
    <row r="96" spans="1:24" s="33" customFormat="1" ht="18">
      <c r="A96" s="32"/>
      <c r="B96" s="39"/>
      <c r="C96" s="64"/>
      <c r="F96" s="34"/>
      <c r="G96" s="34"/>
      <c r="H96" s="34"/>
      <c r="I96" s="81"/>
      <c r="J96" s="91"/>
      <c r="K96" s="81"/>
      <c r="L96" s="91"/>
      <c r="M96" s="81"/>
      <c r="N96" s="91"/>
      <c r="O96" s="85"/>
      <c r="P96" s="240" t="s">
        <v>20</v>
      </c>
      <c r="Q96" s="241"/>
      <c r="R96" s="241"/>
      <c r="S96" s="241"/>
      <c r="T96" s="241"/>
      <c r="U96" s="241"/>
      <c r="V96" s="241"/>
      <c r="W96" s="241"/>
      <c r="X96" s="38"/>
    </row>
    <row r="97" spans="1:24" s="33" customFormat="1" ht="18">
      <c r="A97" s="32"/>
      <c r="B97" s="39"/>
      <c r="C97" s="64"/>
      <c r="F97" s="34"/>
      <c r="G97" s="34"/>
      <c r="H97" s="34"/>
      <c r="I97" s="81"/>
      <c r="J97" s="91"/>
      <c r="K97" s="81"/>
      <c r="L97" s="91"/>
      <c r="M97" s="81"/>
      <c r="N97" s="91"/>
      <c r="O97" s="85"/>
      <c r="P97" s="241"/>
      <c r="Q97" s="241"/>
      <c r="R97" s="241"/>
      <c r="S97" s="241"/>
      <c r="T97" s="241"/>
      <c r="U97" s="241"/>
      <c r="V97" s="241"/>
      <c r="W97" s="241"/>
      <c r="X97" s="38"/>
    </row>
    <row r="98" spans="1:24" s="33" customFormat="1" ht="18">
      <c r="A98" s="32"/>
      <c r="B98" s="39"/>
      <c r="C98" s="64"/>
      <c r="F98" s="34"/>
      <c r="G98" s="34"/>
      <c r="H98" s="34"/>
      <c r="I98" s="81"/>
      <c r="J98" s="91"/>
      <c r="K98" s="81"/>
      <c r="L98" s="91"/>
      <c r="M98" s="81"/>
      <c r="N98" s="91"/>
      <c r="O98" s="85"/>
      <c r="P98" s="241"/>
      <c r="Q98" s="241"/>
      <c r="R98" s="241"/>
      <c r="S98" s="241"/>
      <c r="T98" s="241"/>
      <c r="U98" s="241"/>
      <c r="V98" s="241"/>
      <c r="W98" s="241"/>
      <c r="X98" s="38"/>
    </row>
    <row r="99" spans="1:24" s="33" customFormat="1" ht="18">
      <c r="A99" s="32"/>
      <c r="B99" s="39"/>
      <c r="C99" s="64"/>
      <c r="F99" s="34"/>
      <c r="G99" s="34"/>
      <c r="H99" s="34"/>
      <c r="I99" s="81"/>
      <c r="J99" s="91"/>
      <c r="K99" s="81"/>
      <c r="L99" s="91"/>
      <c r="M99" s="81"/>
      <c r="N99" s="91"/>
      <c r="O99" s="85"/>
      <c r="P99" s="241"/>
      <c r="Q99" s="241"/>
      <c r="R99" s="241"/>
      <c r="S99" s="241"/>
      <c r="T99" s="241"/>
      <c r="U99" s="241"/>
      <c r="V99" s="241"/>
      <c r="W99" s="241"/>
      <c r="X99" s="38"/>
    </row>
    <row r="100" spans="1:24" s="33" customFormat="1" ht="18">
      <c r="A100" s="32"/>
      <c r="B100" s="39"/>
      <c r="C100" s="64"/>
      <c r="F100" s="34"/>
      <c r="G100" s="34"/>
      <c r="H100" s="34"/>
      <c r="I100" s="81"/>
      <c r="J100" s="91"/>
      <c r="K100" s="81"/>
      <c r="L100" s="91"/>
      <c r="M100" s="81"/>
      <c r="N100" s="91"/>
      <c r="O100" s="85"/>
      <c r="P100" s="241"/>
      <c r="Q100" s="241"/>
      <c r="R100" s="241"/>
      <c r="S100" s="241"/>
      <c r="T100" s="241"/>
      <c r="U100" s="241"/>
      <c r="V100" s="241"/>
      <c r="W100" s="241"/>
      <c r="X100" s="38"/>
    </row>
    <row r="101" spans="1:24" s="33" customFormat="1" ht="18">
      <c r="A101" s="32"/>
      <c r="B101" s="39"/>
      <c r="C101" s="64"/>
      <c r="F101" s="34"/>
      <c r="G101" s="5"/>
      <c r="H101" s="5"/>
      <c r="I101" s="82"/>
      <c r="J101" s="92"/>
      <c r="K101" s="82"/>
      <c r="L101" s="92"/>
      <c r="M101" s="82"/>
      <c r="N101" s="92"/>
      <c r="O101" s="85"/>
      <c r="P101" s="241"/>
      <c r="Q101" s="241"/>
      <c r="R101" s="241"/>
      <c r="S101" s="241"/>
      <c r="T101" s="241"/>
      <c r="U101" s="241"/>
      <c r="V101" s="241"/>
      <c r="W101" s="241"/>
      <c r="X101" s="38"/>
    </row>
    <row r="102" spans="1:24" s="33" customFormat="1" ht="18">
      <c r="A102" s="32"/>
      <c r="B102" s="39"/>
      <c r="C102" s="64"/>
      <c r="F102" s="34"/>
      <c r="G102" s="5"/>
      <c r="H102" s="5"/>
      <c r="I102" s="82"/>
      <c r="J102" s="92"/>
      <c r="K102" s="82"/>
      <c r="L102" s="92"/>
      <c r="M102" s="82"/>
      <c r="N102" s="92"/>
      <c r="O102" s="85"/>
      <c r="P102" s="242" t="s">
        <v>27</v>
      </c>
      <c r="Q102" s="241"/>
      <c r="R102" s="241"/>
      <c r="S102" s="241"/>
      <c r="T102" s="241"/>
      <c r="U102" s="241"/>
      <c r="V102" s="241"/>
      <c r="W102" s="241"/>
      <c r="X102" s="38"/>
    </row>
    <row r="103" spans="1:24" s="33" customFormat="1" ht="18">
      <c r="A103" s="32"/>
      <c r="B103" s="39"/>
      <c r="C103" s="64"/>
      <c r="F103" s="34"/>
      <c r="G103" s="5"/>
      <c r="H103" s="5"/>
      <c r="I103" s="82"/>
      <c r="J103" s="92"/>
      <c r="K103" s="82"/>
      <c r="L103" s="92"/>
      <c r="M103" s="82"/>
      <c r="N103" s="92"/>
      <c r="O103" s="85"/>
      <c r="P103" s="241"/>
      <c r="Q103" s="241"/>
      <c r="R103" s="241"/>
      <c r="S103" s="241"/>
      <c r="T103" s="241"/>
      <c r="U103" s="241"/>
      <c r="V103" s="241"/>
      <c r="W103" s="241"/>
      <c r="X103" s="38"/>
    </row>
    <row r="104" spans="1:24" s="33" customFormat="1" ht="18">
      <c r="A104" s="32"/>
      <c r="B104" s="39"/>
      <c r="C104" s="64"/>
      <c r="F104" s="34"/>
      <c r="G104" s="5"/>
      <c r="H104" s="5"/>
      <c r="I104" s="82"/>
      <c r="J104" s="92"/>
      <c r="K104" s="82"/>
      <c r="L104" s="92"/>
      <c r="M104" s="82"/>
      <c r="N104" s="92"/>
      <c r="O104" s="85"/>
      <c r="P104" s="241"/>
      <c r="Q104" s="241"/>
      <c r="R104" s="241"/>
      <c r="S104" s="241"/>
      <c r="T104" s="241"/>
      <c r="U104" s="241"/>
      <c r="V104" s="241"/>
      <c r="W104" s="241"/>
      <c r="X104" s="38"/>
    </row>
    <row r="105" spans="1:24" s="33" customFormat="1" ht="18">
      <c r="A105" s="32"/>
      <c r="B105" s="39"/>
      <c r="C105" s="64"/>
      <c r="F105" s="34"/>
      <c r="G105" s="5"/>
      <c r="H105" s="5"/>
      <c r="I105" s="82"/>
      <c r="J105" s="92"/>
      <c r="K105" s="82"/>
      <c r="L105" s="92"/>
      <c r="M105" s="82"/>
      <c r="N105" s="92"/>
      <c r="O105" s="85"/>
      <c r="P105" s="241"/>
      <c r="Q105" s="241"/>
      <c r="R105" s="241"/>
      <c r="S105" s="241"/>
      <c r="T105" s="241"/>
      <c r="U105" s="241"/>
      <c r="V105" s="241"/>
      <c r="W105" s="241"/>
      <c r="X105" s="38"/>
    </row>
    <row r="106" spans="1:24" s="33" customFormat="1" ht="18">
      <c r="A106" s="32"/>
      <c r="B106" s="39"/>
      <c r="C106" s="64"/>
      <c r="F106" s="34"/>
      <c r="G106" s="5"/>
      <c r="H106" s="5"/>
      <c r="I106" s="82"/>
      <c r="J106" s="92"/>
      <c r="K106" s="82"/>
      <c r="L106" s="92"/>
      <c r="M106" s="82"/>
      <c r="N106" s="92"/>
      <c r="O106" s="85"/>
      <c r="P106" s="241"/>
      <c r="Q106" s="241"/>
      <c r="R106" s="241"/>
      <c r="S106" s="241"/>
      <c r="T106" s="241"/>
      <c r="U106" s="241"/>
      <c r="V106" s="241"/>
      <c r="W106" s="241"/>
      <c r="X106" s="38"/>
    </row>
    <row r="107" spans="16:23" ht="18">
      <c r="P107" s="241"/>
      <c r="Q107" s="241"/>
      <c r="R107" s="241"/>
      <c r="S107" s="241"/>
      <c r="T107" s="241"/>
      <c r="U107" s="241"/>
      <c r="V107" s="241"/>
      <c r="W107" s="241"/>
    </row>
    <row r="108" spans="16:23" ht="18">
      <c r="P108" s="241"/>
      <c r="Q108" s="241"/>
      <c r="R108" s="241"/>
      <c r="S108" s="241"/>
      <c r="T108" s="241"/>
      <c r="U108" s="241"/>
      <c r="V108" s="241"/>
      <c r="W108" s="241"/>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87:G87"/>
    <mergeCell ref="B85:E85"/>
    <mergeCell ref="P96:W101"/>
    <mergeCell ref="P102:W108"/>
    <mergeCell ref="S90:W92"/>
    <mergeCell ref="S87:W89"/>
    <mergeCell ref="S93:W95"/>
  </mergeCells>
  <printOptions/>
  <pageMargins left="0.3" right="0.13" top="1" bottom="1" header="0.5" footer="0.5"/>
  <pageSetup orientation="portrait" paperSize="9" scale="35" r:id="rId2"/>
  <ignoredErrors>
    <ignoredError sqref="X26:X28 X11:X13 R11:V32 Q6:Q10 Q33:Q39 R6:V10 R33:V39 X8:X10 Q11:Q32 O11:P32 O41:T75 W40 W41:W44 T78:V82" formula="1"/>
    <ignoredError sqref="W14:W39 W45:W52 W55:W76 W82 W78:W81 W77" formula="1" unlockedFormula="1"/>
    <ignoredError sqref="W6:W13 W53:W54"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60" zoomScaleNormal="60" zoomScalePageLayoutView="0" workbookViewId="0" topLeftCell="A1">
      <selection activeCell="B3" sqref="B3:B4"/>
    </sheetView>
  </sheetViews>
  <sheetFormatPr defaultColWidth="39.8515625" defaultRowHeight="12.75"/>
  <cols>
    <col min="1" max="1" width="4.57421875" style="30" bestFit="1" customWidth="1"/>
    <col min="2" max="2" width="46.14062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6.57421875" style="14" bestFit="1" customWidth="1"/>
    <col min="16" max="16" width="10.42187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6.8515625" style="12" bestFit="1" customWidth="1"/>
    <col min="22" max="22" width="12.57421875" style="13" bestFit="1" customWidth="1"/>
    <col min="23" max="23" width="8.003906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7" t="s">
        <v>28</v>
      </c>
      <c r="B2" s="246"/>
      <c r="C2" s="246"/>
      <c r="D2" s="246"/>
      <c r="E2" s="246"/>
      <c r="F2" s="246"/>
      <c r="G2" s="246"/>
      <c r="H2" s="246"/>
      <c r="I2" s="246"/>
      <c r="J2" s="246"/>
      <c r="K2" s="246"/>
      <c r="L2" s="246"/>
      <c r="M2" s="246"/>
      <c r="N2" s="246"/>
      <c r="O2" s="246"/>
      <c r="P2" s="246"/>
      <c r="Q2" s="246"/>
      <c r="R2" s="246"/>
      <c r="S2" s="246"/>
      <c r="T2" s="246"/>
      <c r="U2" s="246"/>
      <c r="V2" s="246"/>
      <c r="W2" s="246"/>
    </row>
    <row r="3" spans="1:23" s="29" customFormat="1" ht="16.5" customHeight="1">
      <c r="A3" s="31"/>
      <c r="B3" s="258" t="s">
        <v>34</v>
      </c>
      <c r="C3" s="254" t="s">
        <v>10</v>
      </c>
      <c r="D3" s="248" t="s">
        <v>0</v>
      </c>
      <c r="E3" s="248" t="s">
        <v>49</v>
      </c>
      <c r="F3" s="248" t="s">
        <v>11</v>
      </c>
      <c r="G3" s="248" t="s">
        <v>12</v>
      </c>
      <c r="H3" s="248" t="s">
        <v>13</v>
      </c>
      <c r="I3" s="247" t="s">
        <v>1</v>
      </c>
      <c r="J3" s="247"/>
      <c r="K3" s="247" t="s">
        <v>2</v>
      </c>
      <c r="L3" s="247"/>
      <c r="M3" s="247" t="s">
        <v>3</v>
      </c>
      <c r="N3" s="247"/>
      <c r="O3" s="250" t="s">
        <v>14</v>
      </c>
      <c r="P3" s="250"/>
      <c r="Q3" s="250"/>
      <c r="R3" s="250"/>
      <c r="S3" s="247" t="s">
        <v>41</v>
      </c>
      <c r="T3" s="247"/>
      <c r="U3" s="250" t="s">
        <v>42</v>
      </c>
      <c r="V3" s="250"/>
      <c r="W3" s="251"/>
    </row>
    <row r="4" spans="1:23" s="29" customFormat="1" ht="37.5" customHeight="1" thickBot="1">
      <c r="A4" s="58"/>
      <c r="B4" s="259"/>
      <c r="C4" s="255"/>
      <c r="D4" s="256"/>
      <c r="E4" s="256"/>
      <c r="F4" s="249"/>
      <c r="G4" s="249"/>
      <c r="H4" s="249"/>
      <c r="I4" s="78" t="s">
        <v>9</v>
      </c>
      <c r="J4" s="61" t="s">
        <v>5</v>
      </c>
      <c r="K4" s="78" t="s">
        <v>9</v>
      </c>
      <c r="L4" s="61" t="s">
        <v>5</v>
      </c>
      <c r="M4" s="78" t="s">
        <v>9</v>
      </c>
      <c r="N4" s="61" t="s">
        <v>5</v>
      </c>
      <c r="O4" s="84" t="s">
        <v>9</v>
      </c>
      <c r="P4" s="94" t="s">
        <v>5</v>
      </c>
      <c r="Q4" s="94" t="s">
        <v>43</v>
      </c>
      <c r="R4" s="60" t="s">
        <v>44</v>
      </c>
      <c r="S4" s="78" t="s">
        <v>9</v>
      </c>
      <c r="T4" s="59" t="s">
        <v>4</v>
      </c>
      <c r="U4" s="78" t="s">
        <v>9</v>
      </c>
      <c r="V4" s="61" t="s">
        <v>5</v>
      </c>
      <c r="W4" s="62" t="s">
        <v>44</v>
      </c>
    </row>
    <row r="5" spans="1:24" s="6" customFormat="1" ht="15.75" customHeight="1">
      <c r="A5" s="53">
        <v>1</v>
      </c>
      <c r="B5" s="169" t="s">
        <v>93</v>
      </c>
      <c r="C5" s="170">
        <v>39290</v>
      </c>
      <c r="D5" s="171" t="s">
        <v>31</v>
      </c>
      <c r="E5" s="171" t="s">
        <v>47</v>
      </c>
      <c r="F5" s="172">
        <v>80</v>
      </c>
      <c r="G5" s="172">
        <v>80</v>
      </c>
      <c r="H5" s="172">
        <v>2</v>
      </c>
      <c r="I5" s="173">
        <v>47875.5</v>
      </c>
      <c r="J5" s="174">
        <v>6002</v>
      </c>
      <c r="K5" s="173">
        <v>65259.5</v>
      </c>
      <c r="L5" s="174">
        <v>7836</v>
      </c>
      <c r="M5" s="173">
        <v>64401</v>
      </c>
      <c r="N5" s="174">
        <v>7703</v>
      </c>
      <c r="O5" s="175">
        <f>I5+K5+M5</f>
        <v>177536</v>
      </c>
      <c r="P5" s="176">
        <f>J5+L5+N5</f>
        <v>21541</v>
      </c>
      <c r="Q5" s="174">
        <f>+P5/G5</f>
        <v>269.2625</v>
      </c>
      <c r="R5" s="177">
        <f>+O5/P5</f>
        <v>8.241771505501138</v>
      </c>
      <c r="S5" s="173">
        <v>287405.5</v>
      </c>
      <c r="T5" s="178">
        <f>(+S5-O5)/S5</f>
        <v>0.38228043652609295</v>
      </c>
      <c r="U5" s="179">
        <v>683527</v>
      </c>
      <c r="V5" s="180">
        <v>83778</v>
      </c>
      <c r="W5" s="181">
        <f>U5/V5</f>
        <v>8.15878870347824</v>
      </c>
      <c r="X5" s="29"/>
    </row>
    <row r="6" spans="1:24" s="6" customFormat="1" ht="15.75" customHeight="1">
      <c r="A6" s="53">
        <v>2</v>
      </c>
      <c r="B6" s="182" t="s">
        <v>107</v>
      </c>
      <c r="C6" s="131">
        <v>39297</v>
      </c>
      <c r="D6" s="132" t="s">
        <v>6</v>
      </c>
      <c r="E6" s="130" t="s">
        <v>48</v>
      </c>
      <c r="F6" s="133">
        <v>51</v>
      </c>
      <c r="G6" s="133">
        <v>52</v>
      </c>
      <c r="H6" s="133">
        <v>1</v>
      </c>
      <c r="I6" s="134">
        <v>42012</v>
      </c>
      <c r="J6" s="135">
        <v>4598</v>
      </c>
      <c r="K6" s="134">
        <v>62752</v>
      </c>
      <c r="L6" s="135">
        <v>6447</v>
      </c>
      <c r="M6" s="134">
        <v>65900</v>
      </c>
      <c r="N6" s="135">
        <v>6692</v>
      </c>
      <c r="O6" s="136">
        <f>+I6+K6+M6</f>
        <v>170664</v>
      </c>
      <c r="P6" s="137">
        <f>+J6+L6+N6</f>
        <v>17737</v>
      </c>
      <c r="Q6" s="138">
        <f>IF(O6&lt;&gt;0,P6/G6,"")</f>
        <v>341.09615384615387</v>
      </c>
      <c r="R6" s="139">
        <f>IF(O6&lt;&gt;0,O6/P6,"")</f>
        <v>9.621920279641428</v>
      </c>
      <c r="S6" s="134"/>
      <c r="T6" s="140"/>
      <c r="U6" s="134">
        <v>170664</v>
      </c>
      <c r="V6" s="135">
        <v>17737</v>
      </c>
      <c r="W6" s="183">
        <f>U6/V6</f>
        <v>9.621920279641428</v>
      </c>
      <c r="X6" s="29"/>
    </row>
    <row r="7" spans="1:24" s="6" customFormat="1" ht="15.75" customHeight="1">
      <c r="A7" s="54">
        <v>3</v>
      </c>
      <c r="B7" s="216" t="s">
        <v>108</v>
      </c>
      <c r="C7" s="217">
        <v>39297</v>
      </c>
      <c r="D7" s="218" t="s">
        <v>17</v>
      </c>
      <c r="E7" s="218" t="s">
        <v>30</v>
      </c>
      <c r="F7" s="219">
        <v>62</v>
      </c>
      <c r="G7" s="219">
        <v>63</v>
      </c>
      <c r="H7" s="219">
        <v>1</v>
      </c>
      <c r="I7" s="220">
        <v>30567</v>
      </c>
      <c r="J7" s="221">
        <v>3376</v>
      </c>
      <c r="K7" s="220">
        <v>49474</v>
      </c>
      <c r="L7" s="221">
        <v>5114</v>
      </c>
      <c r="M7" s="220">
        <v>52778</v>
      </c>
      <c r="N7" s="221">
        <v>5521</v>
      </c>
      <c r="O7" s="222">
        <f>+M7+K7+I7</f>
        <v>132819</v>
      </c>
      <c r="P7" s="223">
        <f>+N7+L7+J7</f>
        <v>14011</v>
      </c>
      <c r="Q7" s="221">
        <f>+P7/G7</f>
        <v>222.3968253968254</v>
      </c>
      <c r="R7" s="224">
        <f>+O7/P7</f>
        <v>9.479623153236743</v>
      </c>
      <c r="S7" s="220"/>
      <c r="T7" s="225"/>
      <c r="U7" s="220">
        <v>132819</v>
      </c>
      <c r="V7" s="221">
        <v>14011</v>
      </c>
      <c r="W7" s="226">
        <f>+U7/V7</f>
        <v>9.479623153236743</v>
      </c>
      <c r="X7" s="7"/>
    </row>
    <row r="8" spans="1:25" s="9" customFormat="1" ht="15.75" customHeight="1">
      <c r="A8" s="52">
        <v>4</v>
      </c>
      <c r="B8" s="205" t="s">
        <v>39</v>
      </c>
      <c r="C8" s="206">
        <v>39269</v>
      </c>
      <c r="D8" s="207" t="s">
        <v>17</v>
      </c>
      <c r="E8" s="207" t="s">
        <v>30</v>
      </c>
      <c r="F8" s="208">
        <v>156</v>
      </c>
      <c r="G8" s="208">
        <v>160</v>
      </c>
      <c r="H8" s="208">
        <v>5</v>
      </c>
      <c r="I8" s="209">
        <v>26220</v>
      </c>
      <c r="J8" s="210">
        <v>3565</v>
      </c>
      <c r="K8" s="209">
        <v>42207</v>
      </c>
      <c r="L8" s="210">
        <v>5247</v>
      </c>
      <c r="M8" s="209">
        <v>48024</v>
      </c>
      <c r="N8" s="210">
        <v>6031</v>
      </c>
      <c r="O8" s="211">
        <f>+M8+K8+I8</f>
        <v>116451</v>
      </c>
      <c r="P8" s="212">
        <f>+N8+L8+J8</f>
        <v>14843</v>
      </c>
      <c r="Q8" s="210">
        <f>+P8/G8</f>
        <v>92.76875</v>
      </c>
      <c r="R8" s="213">
        <f>+O8/P8</f>
        <v>7.845516405039413</v>
      </c>
      <c r="S8" s="209">
        <v>163796</v>
      </c>
      <c r="T8" s="214">
        <f>IF(S8&lt;&gt;0,-(S8-O8)/S8,"")</f>
        <v>-0.2890485726147159</v>
      </c>
      <c r="U8" s="209">
        <v>3033275</v>
      </c>
      <c r="V8" s="210">
        <v>376784</v>
      </c>
      <c r="W8" s="215">
        <f>+U8/V8</f>
        <v>8.050434731835747</v>
      </c>
      <c r="X8" s="7"/>
      <c r="Y8" s="8"/>
    </row>
    <row r="9" spans="1:24" s="10" customFormat="1" ht="15.75" customHeight="1">
      <c r="A9" s="53">
        <v>5</v>
      </c>
      <c r="B9" s="182" t="s">
        <v>109</v>
      </c>
      <c r="C9" s="131">
        <v>39297</v>
      </c>
      <c r="D9" s="130" t="s">
        <v>33</v>
      </c>
      <c r="E9" s="130" t="s">
        <v>110</v>
      </c>
      <c r="F9" s="133">
        <v>40</v>
      </c>
      <c r="G9" s="133">
        <v>40</v>
      </c>
      <c r="H9" s="133">
        <v>1</v>
      </c>
      <c r="I9" s="134">
        <v>19544.5</v>
      </c>
      <c r="J9" s="135">
        <v>2276</v>
      </c>
      <c r="K9" s="134">
        <v>28614.5</v>
      </c>
      <c r="L9" s="135">
        <v>3062</v>
      </c>
      <c r="M9" s="134">
        <v>41772.5</v>
      </c>
      <c r="N9" s="135">
        <v>4264</v>
      </c>
      <c r="O9" s="136">
        <f>I9+K9+M9</f>
        <v>89931.5</v>
      </c>
      <c r="P9" s="137">
        <f>J9+L9+N9</f>
        <v>9602</v>
      </c>
      <c r="Q9" s="123">
        <f>+P9/G9</f>
        <v>240.05</v>
      </c>
      <c r="R9" s="126">
        <f>+O9/P9</f>
        <v>9.365913351385128</v>
      </c>
      <c r="S9" s="134"/>
      <c r="T9" s="140">
        <f>IF(S9&lt;&gt;0,-(S9-O9)/S9,"")</f>
      </c>
      <c r="U9" s="141">
        <f>89931.5+0</f>
        <v>89931.5</v>
      </c>
      <c r="V9" s="129">
        <f>9602+0</f>
        <v>9602</v>
      </c>
      <c r="W9" s="186">
        <f>IF(U9&lt;&gt;0,U9/V9,"")</f>
        <v>9.365913351385128</v>
      </c>
      <c r="X9" s="7"/>
    </row>
    <row r="10" spans="1:24" s="10" customFormat="1" ht="15.75" customHeight="1">
      <c r="A10" s="53">
        <v>6</v>
      </c>
      <c r="B10" s="187" t="s">
        <v>111</v>
      </c>
      <c r="C10" s="131">
        <v>39297</v>
      </c>
      <c r="D10" s="142" t="s">
        <v>21</v>
      </c>
      <c r="E10" s="142" t="s">
        <v>21</v>
      </c>
      <c r="F10" s="143">
        <v>25</v>
      </c>
      <c r="G10" s="143">
        <v>25</v>
      </c>
      <c r="H10" s="143">
        <v>1</v>
      </c>
      <c r="I10" s="134">
        <v>14714.5</v>
      </c>
      <c r="J10" s="135">
        <v>1281</v>
      </c>
      <c r="K10" s="134">
        <v>25608.5</v>
      </c>
      <c r="L10" s="135">
        <v>2157</v>
      </c>
      <c r="M10" s="134">
        <v>25542</v>
      </c>
      <c r="N10" s="135">
        <v>2091</v>
      </c>
      <c r="O10" s="136">
        <f>+I10+K10+M10</f>
        <v>65865</v>
      </c>
      <c r="P10" s="137">
        <f>+J10+L10+N10</f>
        <v>5529</v>
      </c>
      <c r="Q10" s="123">
        <f>+P10/G10</f>
        <v>221.16</v>
      </c>
      <c r="R10" s="126">
        <f>+O10/P10</f>
        <v>11.912642430819316</v>
      </c>
      <c r="S10" s="134"/>
      <c r="T10" s="140">
        <f>IF(S10&lt;&gt;0,-(S10-O10)/S10,"")</f>
      </c>
      <c r="U10" s="134">
        <v>65865</v>
      </c>
      <c r="V10" s="135">
        <v>5529</v>
      </c>
      <c r="W10" s="186">
        <f>U10/V10</f>
        <v>11.912642430819316</v>
      </c>
      <c r="X10" s="9"/>
    </row>
    <row r="11" spans="1:24" s="10" customFormat="1" ht="15.75" customHeight="1">
      <c r="A11" s="53">
        <v>7</v>
      </c>
      <c r="B11" s="184" t="s">
        <v>53</v>
      </c>
      <c r="C11" s="120">
        <v>39276</v>
      </c>
      <c r="D11" s="119" t="s">
        <v>31</v>
      </c>
      <c r="E11" s="119" t="s">
        <v>47</v>
      </c>
      <c r="F11" s="121">
        <v>40</v>
      </c>
      <c r="G11" s="121">
        <v>40</v>
      </c>
      <c r="H11" s="121">
        <v>4</v>
      </c>
      <c r="I11" s="122">
        <v>10077</v>
      </c>
      <c r="J11" s="123">
        <v>1205</v>
      </c>
      <c r="K11" s="122">
        <v>16527.5</v>
      </c>
      <c r="L11" s="123">
        <v>1860</v>
      </c>
      <c r="M11" s="122">
        <v>21714.5</v>
      </c>
      <c r="N11" s="123">
        <v>2471</v>
      </c>
      <c r="O11" s="124">
        <f>SUM(I11+K11+M11)</f>
        <v>48319</v>
      </c>
      <c r="P11" s="125">
        <f>SUM(J11+L11+N11)</f>
        <v>5536</v>
      </c>
      <c r="Q11" s="123">
        <f>+P11/G11</f>
        <v>138.4</v>
      </c>
      <c r="R11" s="126">
        <f>+O11/P11</f>
        <v>8.728143063583815</v>
      </c>
      <c r="S11" s="122">
        <v>92452.5</v>
      </c>
      <c r="T11" s="127">
        <f>(+S11-O11)/S11</f>
        <v>0.4773640518103891</v>
      </c>
      <c r="U11" s="128">
        <v>636229.5</v>
      </c>
      <c r="V11" s="129">
        <v>72373</v>
      </c>
      <c r="W11" s="188">
        <f>U11/V11</f>
        <v>8.790978679894435</v>
      </c>
      <c r="X11" s="8"/>
    </row>
    <row r="12" spans="1:25" s="10" customFormat="1" ht="15.75" customHeight="1">
      <c r="A12" s="53">
        <v>8</v>
      </c>
      <c r="B12" s="182" t="s">
        <v>94</v>
      </c>
      <c r="C12" s="131">
        <v>39290</v>
      </c>
      <c r="D12" s="132" t="s">
        <v>6</v>
      </c>
      <c r="E12" s="130" t="s">
        <v>24</v>
      </c>
      <c r="F12" s="133">
        <v>40</v>
      </c>
      <c r="G12" s="133">
        <v>40</v>
      </c>
      <c r="H12" s="133">
        <v>2</v>
      </c>
      <c r="I12" s="134">
        <v>10162</v>
      </c>
      <c r="J12" s="135">
        <v>1078</v>
      </c>
      <c r="K12" s="134">
        <v>15851</v>
      </c>
      <c r="L12" s="135">
        <v>1571</v>
      </c>
      <c r="M12" s="134">
        <v>17661</v>
      </c>
      <c r="N12" s="135">
        <v>1790</v>
      </c>
      <c r="O12" s="136">
        <f>+I12+K12+M12</f>
        <v>43674</v>
      </c>
      <c r="P12" s="137">
        <f>+J12+L12+N12</f>
        <v>4439</v>
      </c>
      <c r="Q12" s="138">
        <f>IF(O12&lt;&gt;0,P12/G12,"")</f>
        <v>110.975</v>
      </c>
      <c r="R12" s="139">
        <f>IF(O12&lt;&gt;0,O12/P12,"")</f>
        <v>9.838702410452804</v>
      </c>
      <c r="S12" s="134">
        <v>75555</v>
      </c>
      <c r="T12" s="140">
        <f>IF(S12&lt;&gt;0,-(S12-O12)/S12,"")</f>
        <v>-0.42195751439348816</v>
      </c>
      <c r="U12" s="134">
        <v>161058</v>
      </c>
      <c r="V12" s="135">
        <v>17163</v>
      </c>
      <c r="W12" s="183">
        <f>U12/V12</f>
        <v>9.38402377206782</v>
      </c>
      <c r="X12" s="11"/>
      <c r="Y12" s="8"/>
    </row>
    <row r="13" spans="1:25" s="10" customFormat="1" ht="15.75" customHeight="1">
      <c r="A13" s="53">
        <v>9</v>
      </c>
      <c r="B13" s="184" t="s">
        <v>15</v>
      </c>
      <c r="C13" s="120">
        <v>39262</v>
      </c>
      <c r="D13" s="119" t="s">
        <v>31</v>
      </c>
      <c r="E13" s="119" t="s">
        <v>47</v>
      </c>
      <c r="F13" s="121">
        <v>78</v>
      </c>
      <c r="G13" s="121">
        <v>76</v>
      </c>
      <c r="H13" s="121">
        <v>6</v>
      </c>
      <c r="I13" s="122">
        <v>9753</v>
      </c>
      <c r="J13" s="123">
        <v>1598</v>
      </c>
      <c r="K13" s="122">
        <v>14079</v>
      </c>
      <c r="L13" s="123">
        <v>2228</v>
      </c>
      <c r="M13" s="122">
        <v>17471</v>
      </c>
      <c r="N13" s="123">
        <v>2767</v>
      </c>
      <c r="O13" s="124">
        <f>I13+K13+M13</f>
        <v>41303</v>
      </c>
      <c r="P13" s="125">
        <f>J13+L13+N13</f>
        <v>6593</v>
      </c>
      <c r="Q13" s="123">
        <f aca="true" t="shared" si="0" ref="Q13:Q22">+P13/G13</f>
        <v>86.75</v>
      </c>
      <c r="R13" s="126">
        <f aca="true" t="shared" si="1" ref="R13:R22">+O13/P13</f>
        <v>6.264674654937054</v>
      </c>
      <c r="S13" s="122">
        <v>53700.5</v>
      </c>
      <c r="T13" s="140">
        <f>IF(S13&lt;&gt;0,-(S13-O13)/S13,"")</f>
        <v>-0.23086377221813578</v>
      </c>
      <c r="U13" s="128">
        <v>1666317.5</v>
      </c>
      <c r="V13" s="129">
        <v>205406</v>
      </c>
      <c r="W13" s="188">
        <f>U13/V13</f>
        <v>8.112311714360827</v>
      </c>
      <c r="X13" s="8"/>
      <c r="Y13" s="8"/>
    </row>
    <row r="14" spans="1:25" s="10" customFormat="1" ht="15.75" customHeight="1">
      <c r="A14" s="53">
        <v>10</v>
      </c>
      <c r="B14" s="184" t="s">
        <v>16</v>
      </c>
      <c r="C14" s="120">
        <v>39248</v>
      </c>
      <c r="D14" s="119" t="s">
        <v>17</v>
      </c>
      <c r="E14" s="119" t="s">
        <v>30</v>
      </c>
      <c r="F14" s="121">
        <v>160</v>
      </c>
      <c r="G14" s="121">
        <v>68</v>
      </c>
      <c r="H14" s="121">
        <v>8</v>
      </c>
      <c r="I14" s="122">
        <v>6008</v>
      </c>
      <c r="J14" s="123">
        <v>1014</v>
      </c>
      <c r="K14" s="122">
        <v>9647</v>
      </c>
      <c r="L14" s="123">
        <v>1478</v>
      </c>
      <c r="M14" s="122">
        <v>12031</v>
      </c>
      <c r="N14" s="123">
        <v>1786</v>
      </c>
      <c r="O14" s="124">
        <f>+M14+K14+I14</f>
        <v>27686</v>
      </c>
      <c r="P14" s="125">
        <f>+N14+L14+J14</f>
        <v>4278</v>
      </c>
      <c r="Q14" s="123">
        <f t="shared" si="0"/>
        <v>62.911764705882355</v>
      </c>
      <c r="R14" s="126">
        <f t="shared" si="1"/>
        <v>6.471715755025713</v>
      </c>
      <c r="S14" s="122">
        <v>55143</v>
      </c>
      <c r="T14" s="140">
        <f>IF(S14&lt;&gt;0,-(S14-O14)/S14,"")</f>
        <v>-0.49792358050885877</v>
      </c>
      <c r="U14" s="122">
        <v>4756859</v>
      </c>
      <c r="V14" s="123">
        <v>637835</v>
      </c>
      <c r="W14" s="185">
        <f>+U14/V14</f>
        <v>7.457820596235703</v>
      </c>
      <c r="X14" s="8"/>
      <c r="Y14" s="8"/>
    </row>
    <row r="15" spans="1:25" s="10" customFormat="1" ht="15.75" customHeight="1">
      <c r="A15" s="53">
        <v>11</v>
      </c>
      <c r="B15" s="189" t="s">
        <v>112</v>
      </c>
      <c r="C15" s="120">
        <v>39297</v>
      </c>
      <c r="D15" s="144" t="s">
        <v>50</v>
      </c>
      <c r="E15" s="144" t="s">
        <v>32</v>
      </c>
      <c r="F15" s="145">
        <v>1</v>
      </c>
      <c r="G15" s="145">
        <v>5</v>
      </c>
      <c r="H15" s="145">
        <v>1</v>
      </c>
      <c r="I15" s="122">
        <v>2689</v>
      </c>
      <c r="J15" s="123">
        <v>280</v>
      </c>
      <c r="K15" s="122">
        <v>6185</v>
      </c>
      <c r="L15" s="123">
        <v>529</v>
      </c>
      <c r="M15" s="122">
        <v>14768</v>
      </c>
      <c r="N15" s="123">
        <v>1124</v>
      </c>
      <c r="O15" s="124">
        <f>SUM(I15+K15+M15)</f>
        <v>23642</v>
      </c>
      <c r="P15" s="125">
        <f>SUM(J15+L15+N15)</f>
        <v>1933</v>
      </c>
      <c r="Q15" s="123">
        <f t="shared" si="0"/>
        <v>386.6</v>
      </c>
      <c r="R15" s="126">
        <f t="shared" si="1"/>
        <v>12.230729436109675</v>
      </c>
      <c r="S15" s="122"/>
      <c r="T15" s="127"/>
      <c r="U15" s="122">
        <v>23642</v>
      </c>
      <c r="V15" s="123">
        <v>1933</v>
      </c>
      <c r="W15" s="188">
        <f>U15/V15</f>
        <v>12.230729436109675</v>
      </c>
      <c r="X15" s="8"/>
      <c r="Y15" s="8"/>
    </row>
    <row r="16" spans="1:25" s="10" customFormat="1" ht="15.75" customHeight="1">
      <c r="A16" s="53">
        <v>12</v>
      </c>
      <c r="B16" s="189" t="s">
        <v>54</v>
      </c>
      <c r="C16" s="120">
        <v>39276</v>
      </c>
      <c r="D16" s="144" t="s">
        <v>50</v>
      </c>
      <c r="E16" s="144" t="s">
        <v>32</v>
      </c>
      <c r="F16" s="145">
        <v>49</v>
      </c>
      <c r="G16" s="145">
        <v>45</v>
      </c>
      <c r="H16" s="145">
        <v>4</v>
      </c>
      <c r="I16" s="122">
        <v>4873</v>
      </c>
      <c r="J16" s="123">
        <v>746</v>
      </c>
      <c r="K16" s="122">
        <v>6361</v>
      </c>
      <c r="L16" s="123">
        <v>1116</v>
      </c>
      <c r="M16" s="122">
        <v>10127</v>
      </c>
      <c r="N16" s="123">
        <v>1420</v>
      </c>
      <c r="O16" s="124">
        <f>SUM(I16+K16+M16)</f>
        <v>21361</v>
      </c>
      <c r="P16" s="125">
        <f>SUM(J16+L16+N16)</f>
        <v>3282</v>
      </c>
      <c r="Q16" s="123">
        <f t="shared" si="0"/>
        <v>72.93333333333334</v>
      </c>
      <c r="R16" s="126">
        <f t="shared" si="1"/>
        <v>6.508531383302864</v>
      </c>
      <c r="S16" s="122"/>
      <c r="T16" s="127"/>
      <c r="U16" s="122">
        <v>409631</v>
      </c>
      <c r="V16" s="123">
        <v>49191</v>
      </c>
      <c r="W16" s="188">
        <f>U16/V16</f>
        <v>8.327356630277896</v>
      </c>
      <c r="X16" s="8"/>
      <c r="Y16" s="8"/>
    </row>
    <row r="17" spans="1:25" s="10" customFormat="1" ht="15.75" customHeight="1">
      <c r="A17" s="53">
        <v>13</v>
      </c>
      <c r="B17" s="190" t="s">
        <v>113</v>
      </c>
      <c r="C17" s="147">
        <v>39297</v>
      </c>
      <c r="D17" s="146" t="s">
        <v>8</v>
      </c>
      <c r="E17" s="146" t="s">
        <v>61</v>
      </c>
      <c r="F17" s="148">
        <v>10</v>
      </c>
      <c r="G17" s="148">
        <v>10</v>
      </c>
      <c r="H17" s="148">
        <v>1</v>
      </c>
      <c r="I17" s="149">
        <v>3850</v>
      </c>
      <c r="J17" s="150">
        <v>332</v>
      </c>
      <c r="K17" s="149">
        <v>6739</v>
      </c>
      <c r="L17" s="150">
        <v>530</v>
      </c>
      <c r="M17" s="149">
        <v>8568</v>
      </c>
      <c r="N17" s="150">
        <v>773</v>
      </c>
      <c r="O17" s="151">
        <f>M17+K17+I17</f>
        <v>19157</v>
      </c>
      <c r="P17" s="152">
        <f>N17+L17+J17</f>
        <v>1635</v>
      </c>
      <c r="Q17" s="123">
        <f t="shared" si="0"/>
        <v>163.5</v>
      </c>
      <c r="R17" s="126">
        <f t="shared" si="1"/>
        <v>11.716819571865443</v>
      </c>
      <c r="S17" s="149"/>
      <c r="T17" s="153"/>
      <c r="U17" s="149">
        <f>O17</f>
        <v>19157</v>
      </c>
      <c r="V17" s="150">
        <f>P17</f>
        <v>1635</v>
      </c>
      <c r="W17" s="191">
        <f>R17</f>
        <v>11.716819571865443</v>
      </c>
      <c r="X17" s="8"/>
      <c r="Y17" s="8"/>
    </row>
    <row r="18" spans="1:25" s="10" customFormat="1" ht="15.75" customHeight="1">
      <c r="A18" s="53">
        <v>14</v>
      </c>
      <c r="B18" s="184" t="s">
        <v>52</v>
      </c>
      <c r="C18" s="120">
        <v>39101</v>
      </c>
      <c r="D18" s="119" t="s">
        <v>31</v>
      </c>
      <c r="E18" s="119" t="s">
        <v>31</v>
      </c>
      <c r="F18" s="121">
        <v>160</v>
      </c>
      <c r="G18" s="121">
        <v>2</v>
      </c>
      <c r="H18" s="121">
        <v>28</v>
      </c>
      <c r="I18" s="122">
        <v>2107</v>
      </c>
      <c r="J18" s="123">
        <v>526</v>
      </c>
      <c r="K18" s="122">
        <v>2736</v>
      </c>
      <c r="L18" s="123">
        <v>683</v>
      </c>
      <c r="M18" s="122">
        <v>12092</v>
      </c>
      <c r="N18" s="123">
        <v>3022</v>
      </c>
      <c r="O18" s="124">
        <f>I18+K18+M18</f>
        <v>16935</v>
      </c>
      <c r="P18" s="125">
        <f>J18+L18+N18</f>
        <v>4231</v>
      </c>
      <c r="Q18" s="123">
        <f t="shared" si="0"/>
        <v>2115.5</v>
      </c>
      <c r="R18" s="126">
        <f t="shared" si="1"/>
        <v>4.002599858189553</v>
      </c>
      <c r="S18" s="122">
        <v>6585</v>
      </c>
      <c r="T18" s="140">
        <f>IF(S18&lt;&gt;0,-(S18-O18)/S18,"")</f>
        <v>1.571753986332574</v>
      </c>
      <c r="U18" s="128">
        <v>7535024.5</v>
      </c>
      <c r="V18" s="129">
        <v>1069999</v>
      </c>
      <c r="W18" s="188">
        <f>U18/V18</f>
        <v>7.042085553350985</v>
      </c>
      <c r="X18" s="8"/>
      <c r="Y18" s="8"/>
    </row>
    <row r="19" spans="1:25" s="10" customFormat="1" ht="15.75" customHeight="1">
      <c r="A19" s="53">
        <v>15</v>
      </c>
      <c r="B19" s="184" t="s">
        <v>95</v>
      </c>
      <c r="C19" s="120">
        <v>39276</v>
      </c>
      <c r="D19" s="119" t="s">
        <v>17</v>
      </c>
      <c r="E19" s="119" t="s">
        <v>30</v>
      </c>
      <c r="F19" s="121">
        <v>20</v>
      </c>
      <c r="G19" s="121">
        <v>20</v>
      </c>
      <c r="H19" s="121">
        <v>2</v>
      </c>
      <c r="I19" s="122">
        <v>4133</v>
      </c>
      <c r="J19" s="123">
        <v>380</v>
      </c>
      <c r="K19" s="122">
        <v>5383</v>
      </c>
      <c r="L19" s="123">
        <v>462</v>
      </c>
      <c r="M19" s="122">
        <v>5808</v>
      </c>
      <c r="N19" s="123">
        <v>511</v>
      </c>
      <c r="O19" s="124">
        <f>+M19+K19+I19</f>
        <v>15324</v>
      </c>
      <c r="P19" s="125">
        <f>+N19+L19+J19</f>
        <v>1353</v>
      </c>
      <c r="Q19" s="123">
        <f t="shared" si="0"/>
        <v>67.65</v>
      </c>
      <c r="R19" s="126">
        <f t="shared" si="1"/>
        <v>11.325942350332594</v>
      </c>
      <c r="S19" s="122">
        <v>19219</v>
      </c>
      <c r="T19" s="127">
        <f>(+S19-O19)/S19</f>
        <v>0.2026640303865966</v>
      </c>
      <c r="U19" s="122">
        <v>50604</v>
      </c>
      <c r="V19" s="123">
        <v>4766</v>
      </c>
      <c r="W19" s="185">
        <f>+U19/V19</f>
        <v>10.617708770457407</v>
      </c>
      <c r="X19" s="8"/>
      <c r="Y19" s="8"/>
    </row>
    <row r="20" spans="1:25" s="10" customFormat="1" ht="15.75" customHeight="1">
      <c r="A20" s="53">
        <v>16</v>
      </c>
      <c r="B20" s="192" t="s">
        <v>114</v>
      </c>
      <c r="C20" s="155">
        <v>39283</v>
      </c>
      <c r="D20" s="154" t="s">
        <v>73</v>
      </c>
      <c r="E20" s="154" t="s">
        <v>85</v>
      </c>
      <c r="F20" s="156">
        <v>27</v>
      </c>
      <c r="G20" s="157">
        <v>27</v>
      </c>
      <c r="H20" s="157">
        <v>3</v>
      </c>
      <c r="I20" s="158">
        <v>3324.5</v>
      </c>
      <c r="J20" s="159">
        <v>484</v>
      </c>
      <c r="K20" s="158">
        <v>4713</v>
      </c>
      <c r="L20" s="159">
        <v>684</v>
      </c>
      <c r="M20" s="158">
        <v>6531.5</v>
      </c>
      <c r="N20" s="159">
        <v>958</v>
      </c>
      <c r="O20" s="160">
        <f>+I20+K20+M20</f>
        <v>14569</v>
      </c>
      <c r="P20" s="161">
        <f>J20+L20+N20</f>
        <v>2126</v>
      </c>
      <c r="Q20" s="123">
        <f t="shared" si="0"/>
        <v>78.74074074074075</v>
      </c>
      <c r="R20" s="126">
        <f t="shared" si="1"/>
        <v>6.85277516462841</v>
      </c>
      <c r="S20" s="158"/>
      <c r="T20" s="162"/>
      <c r="U20" s="158">
        <v>133655.5</v>
      </c>
      <c r="V20" s="159">
        <v>15956</v>
      </c>
      <c r="W20" s="193">
        <f>+U20/V20</f>
        <v>8.376504136375031</v>
      </c>
      <c r="X20" s="8"/>
      <c r="Y20" s="8"/>
    </row>
    <row r="21" spans="1:24" s="10" customFormat="1" ht="15.75" customHeight="1">
      <c r="A21" s="53">
        <v>17</v>
      </c>
      <c r="B21" s="189" t="s">
        <v>98</v>
      </c>
      <c r="C21" s="120">
        <v>39269</v>
      </c>
      <c r="D21" s="144" t="s">
        <v>50</v>
      </c>
      <c r="E21" s="144" t="s">
        <v>50</v>
      </c>
      <c r="F21" s="145">
        <v>10</v>
      </c>
      <c r="G21" s="145">
        <v>10</v>
      </c>
      <c r="H21" s="145">
        <v>5</v>
      </c>
      <c r="I21" s="122">
        <v>2278</v>
      </c>
      <c r="J21" s="123">
        <v>352</v>
      </c>
      <c r="K21" s="122">
        <v>2911</v>
      </c>
      <c r="L21" s="123">
        <v>386</v>
      </c>
      <c r="M21" s="122">
        <v>5324</v>
      </c>
      <c r="N21" s="123">
        <v>687</v>
      </c>
      <c r="O21" s="124">
        <f>SUM(I21+K21+M21)</f>
        <v>10513</v>
      </c>
      <c r="P21" s="125">
        <f>SUM(J21+L21+N21)</f>
        <v>1425</v>
      </c>
      <c r="Q21" s="123">
        <f t="shared" si="0"/>
        <v>142.5</v>
      </c>
      <c r="R21" s="126">
        <f t="shared" si="1"/>
        <v>7.377543859649123</v>
      </c>
      <c r="S21" s="122"/>
      <c r="T21" s="127"/>
      <c r="U21" s="122">
        <v>90166.5</v>
      </c>
      <c r="V21" s="123">
        <v>10969</v>
      </c>
      <c r="W21" s="188">
        <f>U21/V21</f>
        <v>8.22012033913757</v>
      </c>
      <c r="X21" s="8"/>
    </row>
    <row r="22" spans="1:24" s="10" customFormat="1" ht="15.75" customHeight="1">
      <c r="A22" s="53">
        <v>18</v>
      </c>
      <c r="B22" s="187" t="s">
        <v>84</v>
      </c>
      <c r="C22" s="131">
        <v>39283</v>
      </c>
      <c r="D22" s="142" t="s">
        <v>21</v>
      </c>
      <c r="E22" s="142" t="s">
        <v>32</v>
      </c>
      <c r="F22" s="143">
        <v>20</v>
      </c>
      <c r="G22" s="143">
        <v>20</v>
      </c>
      <c r="H22" s="143">
        <v>3</v>
      </c>
      <c r="I22" s="134">
        <v>2158.5</v>
      </c>
      <c r="J22" s="135">
        <v>251</v>
      </c>
      <c r="K22" s="134">
        <v>3367</v>
      </c>
      <c r="L22" s="135">
        <v>383</v>
      </c>
      <c r="M22" s="134">
        <v>4928</v>
      </c>
      <c r="N22" s="135">
        <v>558</v>
      </c>
      <c r="O22" s="136">
        <f>+I22+K22+M22</f>
        <v>10453.5</v>
      </c>
      <c r="P22" s="137">
        <f>+J22+L22+N22</f>
        <v>1192</v>
      </c>
      <c r="Q22" s="123">
        <f t="shared" si="0"/>
        <v>59.6</v>
      </c>
      <c r="R22" s="126">
        <f t="shared" si="1"/>
        <v>8.769714765100671</v>
      </c>
      <c r="S22" s="134">
        <v>26838</v>
      </c>
      <c r="T22" s="127">
        <f>(+S22-O22)/S22</f>
        <v>0.6104963112005366</v>
      </c>
      <c r="U22" s="134">
        <v>126186.5</v>
      </c>
      <c r="V22" s="135">
        <v>11796</v>
      </c>
      <c r="W22" s="186">
        <f>U22/V22</f>
        <v>10.697397422855206</v>
      </c>
      <c r="X22" s="8"/>
    </row>
    <row r="23" spans="1:24" s="10" customFormat="1" ht="15.75" customHeight="1">
      <c r="A23" s="53">
        <v>19</v>
      </c>
      <c r="B23" s="182" t="s">
        <v>40</v>
      </c>
      <c r="C23" s="131">
        <v>39269</v>
      </c>
      <c r="D23" s="132" t="s">
        <v>6</v>
      </c>
      <c r="E23" s="130" t="s">
        <v>74</v>
      </c>
      <c r="F23" s="133">
        <v>56</v>
      </c>
      <c r="G23" s="133">
        <v>36</v>
      </c>
      <c r="H23" s="133">
        <v>5</v>
      </c>
      <c r="I23" s="134">
        <v>2308</v>
      </c>
      <c r="J23" s="135">
        <v>385</v>
      </c>
      <c r="K23" s="134">
        <v>3298</v>
      </c>
      <c r="L23" s="135">
        <v>584</v>
      </c>
      <c r="M23" s="134">
        <v>4783</v>
      </c>
      <c r="N23" s="135">
        <v>804</v>
      </c>
      <c r="O23" s="136">
        <f>+I23+K23+M23</f>
        <v>10389</v>
      </c>
      <c r="P23" s="137">
        <f>+J23+L23+N23</f>
        <v>1773</v>
      </c>
      <c r="Q23" s="138">
        <f>IF(O23&lt;&gt;0,P23/G23,"")</f>
        <v>49.25</v>
      </c>
      <c r="R23" s="139">
        <f>IF(O23&lt;&gt;0,O23/P23,"")</f>
        <v>5.859560067681895</v>
      </c>
      <c r="S23" s="134">
        <v>10353</v>
      </c>
      <c r="T23" s="140">
        <f>IF(S23&lt;&gt;0,-(S23-O23)/S23,"")</f>
        <v>0.0034772529701535787</v>
      </c>
      <c r="U23" s="134">
        <v>303781</v>
      </c>
      <c r="V23" s="135">
        <v>38721</v>
      </c>
      <c r="W23" s="183">
        <f>U23/V23</f>
        <v>7.845381059373467</v>
      </c>
      <c r="X23" s="8"/>
    </row>
    <row r="24" spans="1:24" s="10" customFormat="1" ht="18.75" thickBot="1">
      <c r="A24" s="53">
        <v>20</v>
      </c>
      <c r="B24" s="194" t="s">
        <v>115</v>
      </c>
      <c r="C24" s="227">
        <v>39262</v>
      </c>
      <c r="D24" s="228" t="s">
        <v>116</v>
      </c>
      <c r="E24" s="196" t="s">
        <v>117</v>
      </c>
      <c r="F24" s="197">
        <v>15</v>
      </c>
      <c r="G24" s="197">
        <v>14</v>
      </c>
      <c r="H24" s="197">
        <v>6</v>
      </c>
      <c r="I24" s="229">
        <v>2396.5</v>
      </c>
      <c r="J24" s="230">
        <v>315</v>
      </c>
      <c r="K24" s="229">
        <v>3456</v>
      </c>
      <c r="L24" s="230">
        <v>442</v>
      </c>
      <c r="M24" s="229">
        <v>3528</v>
      </c>
      <c r="N24" s="230">
        <v>458</v>
      </c>
      <c r="O24" s="231">
        <f>I24+K24+M24</f>
        <v>9380.5</v>
      </c>
      <c r="P24" s="232">
        <f>J24+L24+N24</f>
        <v>1215</v>
      </c>
      <c r="Q24" s="199">
        <f>+P24/G24</f>
        <v>86.78571428571429</v>
      </c>
      <c r="R24" s="202">
        <f>+O24/P24</f>
        <v>7.720576131687243</v>
      </c>
      <c r="S24" s="229">
        <v>19949.5</v>
      </c>
      <c r="T24" s="203">
        <f>IF(S24&lt;&gt;0,-(S24-O24)/S24,"")</f>
        <v>-0.5297877139777939</v>
      </c>
      <c r="U24" s="229">
        <v>156725.5</v>
      </c>
      <c r="V24" s="230">
        <v>16427</v>
      </c>
      <c r="W24" s="233">
        <f>U24/V24</f>
        <v>9.54072563462592</v>
      </c>
      <c r="X24" s="8"/>
    </row>
    <row r="25" spans="1:28" s="66" customFormat="1" ht="15">
      <c r="A25" s="67"/>
      <c r="B25" s="260" t="s">
        <v>29</v>
      </c>
      <c r="C25" s="261"/>
      <c r="D25" s="262"/>
      <c r="E25" s="263"/>
      <c r="F25" s="103"/>
      <c r="G25" s="103">
        <f>SUM(G5:G24)</f>
        <v>833</v>
      </c>
      <c r="H25" s="104"/>
      <c r="I25" s="105"/>
      <c r="J25" s="106"/>
      <c r="K25" s="105"/>
      <c r="L25" s="106"/>
      <c r="M25" s="105"/>
      <c r="N25" s="106"/>
      <c r="O25" s="105">
        <f>SUM(O5:O24)</f>
        <v>1065972.5</v>
      </c>
      <c r="P25" s="106">
        <f>SUM(P5:P24)</f>
        <v>124274</v>
      </c>
      <c r="Q25" s="106">
        <f>O25/G25</f>
        <v>1279.6788715486196</v>
      </c>
      <c r="R25" s="107">
        <f>O25/P25</f>
        <v>8.577598693210165</v>
      </c>
      <c r="S25" s="105"/>
      <c r="T25" s="108"/>
      <c r="U25" s="105"/>
      <c r="V25" s="106"/>
      <c r="W25" s="107"/>
      <c r="AB25" s="66" t="s">
        <v>45</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34"/>
      <c r="E27" s="235"/>
      <c r="F27" s="235"/>
      <c r="G27" s="235"/>
      <c r="H27" s="34"/>
      <c r="I27" s="35"/>
      <c r="K27" s="35"/>
      <c r="M27" s="35"/>
      <c r="O27" s="36"/>
      <c r="R27" s="37"/>
      <c r="S27" s="244" t="s">
        <v>46</v>
      </c>
      <c r="T27" s="244"/>
      <c r="U27" s="244"/>
      <c r="V27" s="244"/>
      <c r="W27" s="244"/>
      <c r="X27" s="38"/>
    </row>
    <row r="28" spans="1:24" s="33" customFormat="1" ht="18">
      <c r="A28" s="32"/>
      <c r="B28" s="9"/>
      <c r="C28" s="55"/>
      <c r="D28" s="56"/>
      <c r="E28" s="57"/>
      <c r="F28" s="57"/>
      <c r="G28" s="100"/>
      <c r="H28" s="34"/>
      <c r="M28" s="35"/>
      <c r="O28" s="36"/>
      <c r="R28" s="37"/>
      <c r="S28" s="244"/>
      <c r="T28" s="244"/>
      <c r="U28" s="244"/>
      <c r="V28" s="244"/>
      <c r="W28" s="244"/>
      <c r="X28" s="38"/>
    </row>
    <row r="29" spans="1:24" s="33" customFormat="1" ht="18">
      <c r="A29" s="32"/>
      <c r="G29" s="34"/>
      <c r="H29" s="34"/>
      <c r="M29" s="35"/>
      <c r="O29" s="36"/>
      <c r="R29" s="37"/>
      <c r="S29" s="244"/>
      <c r="T29" s="244"/>
      <c r="U29" s="244"/>
      <c r="V29" s="244"/>
      <c r="W29" s="244"/>
      <c r="X29" s="38"/>
    </row>
    <row r="30" spans="1:24" s="33" customFormat="1" ht="18" customHeight="1">
      <c r="A30" s="32"/>
      <c r="C30" s="34"/>
      <c r="E30" s="39"/>
      <c r="F30" s="34"/>
      <c r="G30" s="34"/>
      <c r="H30" s="34"/>
      <c r="I30" s="35"/>
      <c r="K30" s="35"/>
      <c r="M30" s="35"/>
      <c r="O30" s="36"/>
      <c r="S30" s="243" t="s">
        <v>92</v>
      </c>
      <c r="T30" s="243"/>
      <c r="U30" s="243"/>
      <c r="V30" s="243"/>
      <c r="W30" s="243"/>
      <c r="X30" s="38"/>
    </row>
    <row r="31" spans="1:24" s="33" customFormat="1" ht="18.75" customHeight="1">
      <c r="A31" s="32"/>
      <c r="C31" s="34"/>
      <c r="E31" s="39"/>
      <c r="F31" s="34"/>
      <c r="G31" s="34"/>
      <c r="H31" s="34"/>
      <c r="I31" s="35"/>
      <c r="K31" s="35"/>
      <c r="M31" s="35"/>
      <c r="O31" s="36"/>
      <c r="S31" s="243"/>
      <c r="T31" s="243"/>
      <c r="U31" s="243"/>
      <c r="V31" s="243"/>
      <c r="W31" s="243"/>
      <c r="X31" s="38"/>
    </row>
    <row r="32" spans="1:24" s="33" customFormat="1" ht="36" customHeight="1">
      <c r="A32" s="32"/>
      <c r="C32" s="34"/>
      <c r="E32" s="39"/>
      <c r="F32" s="34"/>
      <c r="G32" s="34"/>
      <c r="H32" s="34"/>
      <c r="I32" s="35"/>
      <c r="K32" s="35"/>
      <c r="M32" s="35"/>
      <c r="O32" s="36"/>
      <c r="S32" s="243"/>
      <c r="T32" s="243"/>
      <c r="U32" s="243"/>
      <c r="V32" s="243"/>
      <c r="W32" s="243"/>
      <c r="X32" s="38"/>
    </row>
    <row r="33" spans="1:24" s="33" customFormat="1" ht="30" customHeight="1">
      <c r="A33" s="32"/>
      <c r="C33" s="34"/>
      <c r="E33" s="39"/>
      <c r="F33" s="34"/>
      <c r="G33" s="34"/>
      <c r="H33" s="34"/>
      <c r="I33" s="35"/>
      <c r="K33" s="35"/>
      <c r="M33" s="35"/>
      <c r="O33" s="36"/>
      <c r="P33" s="240" t="s">
        <v>20</v>
      </c>
      <c r="Q33" s="241"/>
      <c r="R33" s="241"/>
      <c r="S33" s="241"/>
      <c r="T33" s="241"/>
      <c r="U33" s="241"/>
      <c r="V33" s="241"/>
      <c r="W33" s="241"/>
      <c r="X33" s="38"/>
    </row>
    <row r="34" spans="1:24" s="33" customFormat="1" ht="30" customHeight="1">
      <c r="A34" s="32"/>
      <c r="C34" s="34"/>
      <c r="E34" s="39"/>
      <c r="F34" s="34"/>
      <c r="G34" s="34"/>
      <c r="H34" s="34"/>
      <c r="I34" s="35"/>
      <c r="K34" s="35"/>
      <c r="M34" s="35"/>
      <c r="O34" s="36"/>
      <c r="P34" s="241"/>
      <c r="Q34" s="241"/>
      <c r="R34" s="241"/>
      <c r="S34" s="241"/>
      <c r="T34" s="241"/>
      <c r="U34" s="241"/>
      <c r="V34" s="241"/>
      <c r="W34" s="241"/>
      <c r="X34" s="38"/>
    </row>
    <row r="35" spans="1:24" s="33" customFormat="1" ht="30" customHeight="1">
      <c r="A35" s="32"/>
      <c r="C35" s="34"/>
      <c r="E35" s="39"/>
      <c r="F35" s="34"/>
      <c r="G35" s="34"/>
      <c r="H35" s="34"/>
      <c r="I35" s="35"/>
      <c r="K35" s="35"/>
      <c r="M35" s="35"/>
      <c r="O35" s="36"/>
      <c r="P35" s="241"/>
      <c r="Q35" s="241"/>
      <c r="R35" s="241"/>
      <c r="S35" s="241"/>
      <c r="T35" s="241"/>
      <c r="U35" s="241"/>
      <c r="V35" s="241"/>
      <c r="W35" s="241"/>
      <c r="X35" s="38"/>
    </row>
    <row r="36" spans="1:24" s="33" customFormat="1" ht="30" customHeight="1">
      <c r="A36" s="32"/>
      <c r="C36" s="34"/>
      <c r="E36" s="39"/>
      <c r="F36" s="34"/>
      <c r="G36" s="34"/>
      <c r="H36" s="34"/>
      <c r="I36" s="35"/>
      <c r="K36" s="35"/>
      <c r="M36" s="35"/>
      <c r="O36" s="36"/>
      <c r="P36" s="241"/>
      <c r="Q36" s="241"/>
      <c r="R36" s="241"/>
      <c r="S36" s="241"/>
      <c r="T36" s="241"/>
      <c r="U36" s="241"/>
      <c r="V36" s="241"/>
      <c r="W36" s="241"/>
      <c r="X36" s="38"/>
    </row>
    <row r="37" spans="1:24" s="33" customFormat="1" ht="30" customHeight="1">
      <c r="A37" s="32"/>
      <c r="C37" s="34"/>
      <c r="E37" s="39"/>
      <c r="F37" s="34"/>
      <c r="G37" s="34"/>
      <c r="H37" s="34"/>
      <c r="I37" s="35"/>
      <c r="K37" s="35"/>
      <c r="M37" s="35"/>
      <c r="O37" s="36"/>
      <c r="P37" s="241"/>
      <c r="Q37" s="241"/>
      <c r="R37" s="241"/>
      <c r="S37" s="241"/>
      <c r="T37" s="241"/>
      <c r="U37" s="241"/>
      <c r="V37" s="241"/>
      <c r="W37" s="241"/>
      <c r="X37" s="38"/>
    </row>
    <row r="38" spans="1:24" s="33" customFormat="1" ht="30" customHeight="1">
      <c r="A38" s="32"/>
      <c r="C38" s="34"/>
      <c r="E38" s="39"/>
      <c r="F38" s="34"/>
      <c r="G38" s="5"/>
      <c r="H38" s="5"/>
      <c r="I38" s="12"/>
      <c r="J38" s="3"/>
      <c r="K38" s="12"/>
      <c r="L38" s="3"/>
      <c r="M38" s="12"/>
      <c r="N38" s="3"/>
      <c r="O38" s="36"/>
      <c r="P38" s="241"/>
      <c r="Q38" s="241"/>
      <c r="R38" s="241"/>
      <c r="S38" s="241"/>
      <c r="T38" s="241"/>
      <c r="U38" s="241"/>
      <c r="V38" s="241"/>
      <c r="W38" s="241"/>
      <c r="X38" s="38"/>
    </row>
    <row r="39" spans="1:24" s="33" customFormat="1" ht="33" customHeight="1">
      <c r="A39" s="32"/>
      <c r="C39" s="34"/>
      <c r="E39" s="39"/>
      <c r="F39" s="34"/>
      <c r="G39" s="5"/>
      <c r="H39" s="5"/>
      <c r="I39" s="12"/>
      <c r="J39" s="3"/>
      <c r="K39" s="12"/>
      <c r="L39" s="3"/>
      <c r="M39" s="12"/>
      <c r="N39" s="3"/>
      <c r="O39" s="36"/>
      <c r="P39" s="242" t="s">
        <v>27</v>
      </c>
      <c r="Q39" s="241"/>
      <c r="R39" s="241"/>
      <c r="S39" s="241"/>
      <c r="T39" s="241"/>
      <c r="U39" s="241"/>
      <c r="V39" s="241"/>
      <c r="W39" s="241"/>
      <c r="X39" s="38"/>
    </row>
    <row r="40" spans="1:24" s="33" customFormat="1" ht="33" customHeight="1">
      <c r="A40" s="32"/>
      <c r="C40" s="34"/>
      <c r="E40" s="39"/>
      <c r="F40" s="34"/>
      <c r="G40" s="5"/>
      <c r="H40" s="5"/>
      <c r="I40" s="12"/>
      <c r="J40" s="3"/>
      <c r="K40" s="12"/>
      <c r="L40" s="3"/>
      <c r="M40" s="12"/>
      <c r="N40" s="3"/>
      <c r="O40" s="36"/>
      <c r="P40" s="241"/>
      <c r="Q40" s="241"/>
      <c r="R40" s="241"/>
      <c r="S40" s="241"/>
      <c r="T40" s="241"/>
      <c r="U40" s="241"/>
      <c r="V40" s="241"/>
      <c r="W40" s="241"/>
      <c r="X40" s="38"/>
    </row>
    <row r="41" spans="1:24" s="33" customFormat="1" ht="33" customHeight="1">
      <c r="A41" s="32"/>
      <c r="C41" s="34"/>
      <c r="E41" s="39"/>
      <c r="F41" s="34"/>
      <c r="G41" s="5"/>
      <c r="H41" s="5"/>
      <c r="I41" s="12"/>
      <c r="J41" s="3"/>
      <c r="K41" s="12"/>
      <c r="L41" s="3"/>
      <c r="M41" s="12"/>
      <c r="N41" s="3"/>
      <c r="O41" s="36"/>
      <c r="P41" s="241"/>
      <c r="Q41" s="241"/>
      <c r="R41" s="241"/>
      <c r="S41" s="241"/>
      <c r="T41" s="241"/>
      <c r="U41" s="241"/>
      <c r="V41" s="241"/>
      <c r="W41" s="241"/>
      <c r="X41" s="38"/>
    </row>
    <row r="42" spans="1:24" s="33" customFormat="1" ht="33" customHeight="1">
      <c r="A42" s="32"/>
      <c r="C42" s="34"/>
      <c r="E42" s="39"/>
      <c r="F42" s="34"/>
      <c r="G42" s="5"/>
      <c r="H42" s="5"/>
      <c r="I42" s="12"/>
      <c r="J42" s="3"/>
      <c r="K42" s="12"/>
      <c r="L42" s="3"/>
      <c r="M42" s="12"/>
      <c r="N42" s="3"/>
      <c r="O42" s="36"/>
      <c r="P42" s="241"/>
      <c r="Q42" s="241"/>
      <c r="R42" s="241"/>
      <c r="S42" s="241"/>
      <c r="T42" s="241"/>
      <c r="U42" s="241"/>
      <c r="V42" s="241"/>
      <c r="W42" s="241"/>
      <c r="X42" s="38"/>
    </row>
    <row r="43" spans="1:24" s="33" customFormat="1" ht="33" customHeight="1">
      <c r="A43" s="32"/>
      <c r="C43" s="34"/>
      <c r="E43" s="39"/>
      <c r="F43" s="34"/>
      <c r="G43" s="5"/>
      <c r="H43" s="5"/>
      <c r="I43" s="12"/>
      <c r="J43" s="3"/>
      <c r="K43" s="12"/>
      <c r="L43" s="3"/>
      <c r="M43" s="12"/>
      <c r="N43" s="3"/>
      <c r="O43" s="36"/>
      <c r="P43" s="241"/>
      <c r="Q43" s="241"/>
      <c r="R43" s="241"/>
      <c r="S43" s="241"/>
      <c r="T43" s="241"/>
      <c r="U43" s="241"/>
      <c r="V43" s="241"/>
      <c r="W43" s="241"/>
      <c r="X43" s="38"/>
    </row>
    <row r="44" spans="16:23" ht="33" customHeight="1">
      <c r="P44" s="241"/>
      <c r="Q44" s="241"/>
      <c r="R44" s="241"/>
      <c r="S44" s="241"/>
      <c r="T44" s="241"/>
      <c r="U44" s="241"/>
      <c r="V44" s="241"/>
      <c r="W44" s="241"/>
    </row>
    <row r="45" spans="16:23" ht="33" customHeight="1">
      <c r="P45" s="241"/>
      <c r="Q45" s="241"/>
      <c r="R45" s="241"/>
      <c r="S45" s="241"/>
      <c r="T45" s="241"/>
      <c r="U45" s="241"/>
      <c r="V45" s="241"/>
      <c r="W45" s="241"/>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39" right="0.27" top="0.82" bottom="0.39" header="0.5" footer="0.32"/>
  <pageSetup orientation="portrait" paperSize="9" scale="70" r:id="rId2"/>
  <ignoredErrors>
    <ignoredError sqref="O11:P23" formula="1"/>
    <ignoredError sqref="W6:W10" unlockedFormula="1"/>
    <ignoredError sqref="W11:W24"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2007-07-23T16:31:39Z</cp:lastPrinted>
  <dcterms:created xsi:type="dcterms:W3CDTF">2006-03-15T09:07:04Z</dcterms:created>
  <dcterms:modified xsi:type="dcterms:W3CDTF">2007-08-07T04:18:28Z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