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5480" windowHeight="11640" tabRatio="808" activeTab="0"/>
  </bookViews>
  <sheets>
    <sheet name="13 - 19 Jul' (WK 29)" sheetId="1" r:id="rId1"/>
    <sheet name="29 Dec' - 19 Jul'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'13 - 19 Jul'' (WK 29)'!$A$1:$O$127</definedName>
    <definedName name="_xlnm.Print_Area" localSheetId="1">'29 Dec' - 19 Jul' (Annual)'!$A$1:$J$165</definedName>
    <definedName name="_xlnm.Print_Area" localSheetId="3">'Week by Week'!$F$1:$H$26</definedName>
  </definedNames>
  <calcPr fullCalcOnLoad="1"/>
</workbook>
</file>

<file path=xl/sharedStrings.xml><?xml version="1.0" encoding="utf-8"?>
<sst xmlns="http://schemas.openxmlformats.org/spreadsheetml/2006/main" count="2798" uniqueCount="527">
  <si>
    <t>Avg. Ticket</t>
  </si>
  <si>
    <t>Title</t>
  </si>
  <si>
    <t>Release
Date</t>
  </si>
  <si>
    <t># of
Prints</t>
  </si>
  <si>
    <t>Week</t>
  </si>
  <si>
    <t>Cumulative</t>
  </si>
  <si>
    <t>G.B.O.</t>
  </si>
  <si>
    <t>Adm.</t>
  </si>
  <si>
    <t>Avg.
Ticket</t>
  </si>
  <si>
    <t xml:space="preserve">Avg.
Ticket </t>
  </si>
  <si>
    <t># of
Screen</t>
  </si>
  <si>
    <t>WARNER BROS.</t>
  </si>
  <si>
    <t>OZEN FILM</t>
  </si>
  <si>
    <t>CINEMEDYA</t>
  </si>
  <si>
    <t>YENI SINEMACILAR</t>
  </si>
  <si>
    <t>GARFIELD 2</t>
  </si>
  <si>
    <t>VANITY FAIR</t>
  </si>
  <si>
    <t>TEXAS CHAINSAW MASSACRE: THE BEGINNING</t>
  </si>
  <si>
    <t>Weeks in Release</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</si>
  <si>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</si>
  <si>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</si>
  <si>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DEVIL WEARS PRADA, THE</t>
  </si>
  <si>
    <t>ARAF</t>
  </si>
  <si>
    <t>BIR FILM</t>
  </si>
  <si>
    <t>ALLEGRO</t>
  </si>
  <si>
    <t>CELLULOID</t>
  </si>
  <si>
    <t>CARS</t>
  </si>
  <si>
    <t>WILD BUNCH</t>
  </si>
  <si>
    <t># of Films</t>
  </si>
  <si>
    <t>LOCAL FILMS</t>
  </si>
  <si>
    <t>FOREIGN FILMS</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</si>
  <si>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</si>
  <si>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SAW 3</t>
  </si>
  <si>
    <t>LIMON</t>
  </si>
  <si>
    <t>VOLVER</t>
  </si>
  <si>
    <t>BABEL</t>
  </si>
  <si>
    <t>GOOD YEAR, A</t>
  </si>
  <si>
    <t>2</t>
  </si>
  <si>
    <t>SPOT</t>
  </si>
  <si>
    <t>TMC</t>
  </si>
  <si>
    <t>PRINCES</t>
  </si>
  <si>
    <t>CASINO ROYALE</t>
  </si>
  <si>
    <t>TIM'S</t>
  </si>
  <si>
    <t>HARSH TIMES</t>
  </si>
  <si>
    <t>U.I.P.</t>
  </si>
  <si>
    <t>KENDA</t>
  </si>
  <si>
    <t>UMUT SANAT</t>
  </si>
  <si>
    <t>*Sorted according to Week Total G.B.O. - Haftalık toplam hasılat sütununa göre sıralanmıştır.</t>
  </si>
  <si>
    <t>MEDYAVIZYON</t>
  </si>
  <si>
    <t>LAST WEEK</t>
  </si>
  <si>
    <t>TOTAL</t>
  </si>
  <si>
    <t>DISTRIBUTORS CHART</t>
  </si>
  <si>
    <t>HOODWINKED</t>
  </si>
  <si>
    <t>Company</t>
  </si>
  <si>
    <t>Distributor</t>
  </si>
  <si>
    <t>UNP</t>
  </si>
  <si>
    <t>WB</t>
  </si>
  <si>
    <t>UIP</t>
  </si>
  <si>
    <t>OZEN</t>
  </si>
  <si>
    <t>FOX</t>
  </si>
  <si>
    <t>BUENA VISTA</t>
  </si>
  <si>
    <t>COLUMBIA</t>
  </si>
  <si>
    <t>FOCUS</t>
  </si>
  <si>
    <t>UNIVERSAL</t>
  </si>
  <si>
    <t>CHANTIER</t>
  </si>
  <si>
    <t>PARAMOUNT</t>
  </si>
  <si>
    <t>OZEN - UMUT</t>
  </si>
  <si>
    <t>U.N.P.</t>
  </si>
  <si>
    <t>R FILM</t>
  </si>
  <si>
    <t>TIGLON</t>
  </si>
  <si>
    <t>WEINSTEIN CO.</t>
  </si>
  <si>
    <t>FIDA</t>
  </si>
  <si>
    <t>Weekly Movie Magazine Antrakt Presents - Haftalık Antrakt Sinema Gazetesi Sunar</t>
  </si>
  <si>
    <t>35 MILIM</t>
  </si>
  <si>
    <t>BARBAR FILM</t>
  </si>
  <si>
    <t>DONDURMAM GAYMAK</t>
  </si>
  <si>
    <t>HERMES</t>
  </si>
  <si>
    <t>HAYATIMIN KADINISIN</t>
  </si>
  <si>
    <t>FLAGS OF OUR FATHERS</t>
  </si>
  <si>
    <t>TAKVA</t>
  </si>
  <si>
    <t>BORAT</t>
  </si>
  <si>
    <t>CHILDREN OF MEN</t>
  </si>
  <si>
    <t>SINAV</t>
  </si>
  <si>
    <t>HOWL'S MOVING CASTLE</t>
  </si>
  <si>
    <t>TEXAS CHAINSAW MASSACRE, THE</t>
  </si>
  <si>
    <t>PATHE</t>
  </si>
  <si>
    <t>-</t>
  </si>
  <si>
    <t>FROSTBITE</t>
  </si>
  <si>
    <t>This Week's Total</t>
  </si>
  <si>
    <t>Films</t>
  </si>
  <si>
    <t>Admission</t>
  </si>
  <si>
    <t>GRUDGE 2</t>
  </si>
  <si>
    <t>BARNYARD</t>
  </si>
  <si>
    <t>BIR F. - DFGS</t>
  </si>
  <si>
    <t>WIND THAT SHAKES THE BARLEY, THE</t>
  </si>
  <si>
    <t>TRANSYLVANIA</t>
  </si>
  <si>
    <t>HOKKABAZ</t>
  </si>
  <si>
    <t>BKM</t>
  </si>
  <si>
    <t>TRUST</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</si>
  <si>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</si>
  <si>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SCIENCE OF SLEEP, THE</t>
  </si>
  <si>
    <t>GAUMONT</t>
  </si>
  <si>
    <t>TAPAS</t>
  </si>
  <si>
    <t>ASKD</t>
  </si>
  <si>
    <t>ANT BULLY</t>
  </si>
  <si>
    <t>OVER THE HEDGE</t>
  </si>
  <si>
    <t>Screen Avg. (Adm.)</t>
  </si>
  <si>
    <t>Release Date</t>
  </si>
  <si>
    <t>Week in Release</t>
  </si>
  <si>
    <t>Avg. Ticket Price</t>
  </si>
  <si>
    <t>G.B.O. YTL</t>
  </si>
  <si>
    <t>FLUSHED AWAY</t>
  </si>
  <si>
    <t>ERAGON</t>
  </si>
  <si>
    <t>STRANGER THAN FICTION</t>
  </si>
  <si>
    <t>MARATHON</t>
  </si>
  <si>
    <t>QUINCEANERA</t>
  </si>
  <si>
    <t>ARTHUR AND THE MINIMOYS</t>
  </si>
  <si>
    <t>BOSS OF IT ALL, THE</t>
  </si>
  <si>
    <t>OPEN SEASON</t>
  </si>
  <si>
    <t>EX YEARS LOCAL RELEASES</t>
  </si>
  <si>
    <t>EX YEARS FOREIGN RELEASES</t>
  </si>
  <si>
    <t>KÜÇÜK KIYAMET</t>
  </si>
  <si>
    <t>DÜNYAYI KURTARAN ADAM'IN OĞLU</t>
  </si>
  <si>
    <t>BEYNELMİLEL</t>
  </si>
  <si>
    <t>97</t>
  </si>
  <si>
    <t>EVE GİDEN YOL 1914</t>
  </si>
  <si>
    <t>NIGHT AT THE MUSEUM</t>
  </si>
  <si>
    <t>CENNETİ BEKLERKEN</t>
  </si>
  <si>
    <t>İLK AŞK</t>
  </si>
  <si>
    <t>ÇİNLİLER GELİYOR</t>
  </si>
  <si>
    <t>PERA</t>
  </si>
  <si>
    <t>EVE DÖNÜŞ</t>
  </si>
  <si>
    <t>YOU, ME AND DUPREE</t>
  </si>
  <si>
    <t>ŞAŞKIN</t>
  </si>
  <si>
    <t>GRAND TOTAL OF 2007</t>
  </si>
  <si>
    <t>D PRODUCTIONS</t>
  </si>
  <si>
    <t>CERTI BAMBINI</t>
  </si>
  <si>
    <t>BELGE FILM</t>
  </si>
  <si>
    <t>January</t>
  </si>
  <si>
    <t>29-04</t>
  </si>
  <si>
    <t>Küçük Kıyamet</t>
  </si>
  <si>
    <t>05-11</t>
  </si>
  <si>
    <t>DEJA VU</t>
  </si>
  <si>
    <t>SCHOOL FOR SCOUNDRELS</t>
  </si>
  <si>
    <t>FILMPOP</t>
  </si>
  <si>
    <t>IBERIA</t>
  </si>
  <si>
    <t>RETURN, THE</t>
  </si>
  <si>
    <t>SHI GAN</t>
  </si>
  <si>
    <t>CINECLICK</t>
  </si>
  <si>
    <t>LORD OF THE RINGS 3, THE</t>
  </si>
  <si>
    <t>NEW LINE</t>
  </si>
  <si>
    <t>LORD OF THE RINGS 2, THE</t>
  </si>
  <si>
    <t>LORD OF THE RINGS 1, THE</t>
  </si>
  <si>
    <t>KADER</t>
  </si>
  <si>
    <t>MAVI</t>
  </si>
  <si>
    <t>STONE COUNCIL, THE</t>
  </si>
  <si>
    <t>MISSION: IMPOSSIBLE 3</t>
  </si>
  <si>
    <t>KNALLHART</t>
  </si>
  <si>
    <t>MARS</t>
  </si>
  <si>
    <t>FEARLESS</t>
  </si>
  <si>
    <t>SILENT HILL</t>
  </si>
  <si>
    <t>Deja Vu</t>
  </si>
  <si>
    <t>BIR F. - CINEMEDYA</t>
  </si>
  <si>
    <t>30</t>
  </si>
  <si>
    <t>MAN OF THE YEAR</t>
  </si>
  <si>
    <t>EVERYONE'S HERO</t>
  </si>
  <si>
    <t>PARADISE NOW</t>
  </si>
  <si>
    <t>ROBOTS</t>
  </si>
  <si>
    <t>PINK PANTHER</t>
  </si>
  <si>
    <t>WOLF CREEK</t>
  </si>
  <si>
    <t>UNUTULMAYANLAR</t>
  </si>
  <si>
    <t>AKADEMI</t>
  </si>
  <si>
    <t>CLICK</t>
  </si>
  <si>
    <t>CRANK</t>
  </si>
  <si>
    <t>ÖZEN</t>
  </si>
  <si>
    <t>12-18</t>
  </si>
  <si>
    <t>Maskeli Beşler I.R.A.K</t>
  </si>
  <si>
    <t>19-25</t>
  </si>
  <si>
    <t>Son Osmanlı "Yandım Ali"</t>
  </si>
  <si>
    <t>SON OSMANLI "YANDIM ALİ"</t>
  </si>
  <si>
    <t>EMRET KOMUTANIM ŞAH MAT</t>
  </si>
  <si>
    <t>ALTIOKLAR</t>
  </si>
  <si>
    <t>UMUT - OZEN</t>
  </si>
  <si>
    <t>GUIDE TO RECOGNIZING YOUR SAINTS, A</t>
  </si>
  <si>
    <t>FIRST LOOK</t>
  </si>
  <si>
    <t>HAPPY FEET</t>
  </si>
  <si>
    <t>MK2</t>
  </si>
  <si>
    <t>BITTERSWEET LIFE, A</t>
  </si>
  <si>
    <t>EFLATUN</t>
  </si>
  <si>
    <t>C.R.A.Z.Y.</t>
  </si>
  <si>
    <t>FILMS DIST.</t>
  </si>
  <si>
    <t>ETERNAL SUNSHINE OF THE SPOTLESS MIND</t>
  </si>
  <si>
    <t>PYRAMIDE</t>
  </si>
  <si>
    <t>HOTEL RWANDA</t>
  </si>
  <si>
    <t>LIONS GATE</t>
  </si>
  <si>
    <t>İKLİMLER</t>
  </si>
  <si>
    <t>CO PRODUCTION</t>
  </si>
  <si>
    <t>KARDAN ADAMLAR</t>
  </si>
  <si>
    <t>PROJE</t>
  </si>
  <si>
    <t>CELLULOID D.</t>
  </si>
  <si>
    <t>VA, VIE &amp; DEVIENS</t>
  </si>
  <si>
    <t>BIR F. - ERMAN F.</t>
  </si>
  <si>
    <t>26-01</t>
  </si>
  <si>
    <t>February</t>
  </si>
  <si>
    <t>Çılgın Dersane</t>
  </si>
  <si>
    <t>one week</t>
  </si>
  <si>
    <t>IRREVERSIBLE</t>
  </si>
  <si>
    <t>EXCEPTION</t>
  </si>
  <si>
    <t>TOMB RAIDER 2</t>
  </si>
  <si>
    <t>MUTUAL</t>
  </si>
  <si>
    <t>DREAMERS, THE</t>
  </si>
  <si>
    <t xml:space="preserve">UMUT SANAT </t>
  </si>
  <si>
    <t>HANWAY</t>
  </si>
  <si>
    <t>SECRET THINGS</t>
  </si>
  <si>
    <t>STRAY DOGS</t>
  </si>
  <si>
    <t>BAMBI 2</t>
  </si>
  <si>
    <t>FATELESS</t>
  </si>
  <si>
    <t>H20</t>
  </si>
  <si>
    <t>COMBIEN TU M'AIMES</t>
  </si>
  <si>
    <t>13 (TZAMETI)</t>
  </si>
  <si>
    <t>AMERİKALILAR KARADENİZ'DE 2</t>
  </si>
  <si>
    <t>ENERGY</t>
  </si>
  <si>
    <t>163</t>
  </si>
  <si>
    <t>BLOOD DIAMOND</t>
  </si>
  <si>
    <t>02-08</t>
  </si>
  <si>
    <t>JOYEUX NOEL</t>
  </si>
  <si>
    <t>LES TEXTILES</t>
  </si>
  <si>
    <t>REEKER, THE</t>
  </si>
  <si>
    <t>STOLEN EYES</t>
  </si>
  <si>
    <t>YAKA FILM</t>
  </si>
  <si>
    <t>BARDA</t>
  </si>
  <si>
    <t>FILMAKAR</t>
  </si>
  <si>
    <t>55</t>
  </si>
  <si>
    <t>FILM POP</t>
  </si>
  <si>
    <t>INCONVENIENT TRUTH, AN</t>
  </si>
  <si>
    <t>09-15</t>
  </si>
  <si>
    <t>ÇILGIN DERSANE</t>
  </si>
  <si>
    <t>NEŞELİ GENÇLİK</t>
  </si>
  <si>
    <t>DEREN</t>
  </si>
  <si>
    <t>BLACK DAHLIA, THE</t>
  </si>
  <si>
    <t>LE GRAND VOYAGE</t>
  </si>
  <si>
    <t>MAVI FILM</t>
  </si>
  <si>
    <t>16-22</t>
  </si>
  <si>
    <t>SEPTEMBER 11</t>
  </si>
  <si>
    <t>BABAM VE OĞLUM</t>
  </si>
  <si>
    <t>AVSAR</t>
  </si>
  <si>
    <t>SEX &amp; PHILOSOPHY</t>
  </si>
  <si>
    <t>ICE AGE 2: THE MELTDOWN</t>
  </si>
  <si>
    <t>NIGHT LISTENER, THE</t>
  </si>
  <si>
    <t>SCANNER DARKLY, A</t>
  </si>
  <si>
    <t>POLİS</t>
  </si>
  <si>
    <t>SHARK BAIT</t>
  </si>
  <si>
    <t>PERFUME: THE STORY OF A MURDERER</t>
  </si>
  <si>
    <t>PAINTED VEIL, THE</t>
  </si>
  <si>
    <t>QUEEN, THE</t>
  </si>
  <si>
    <t>GHOST RIDER</t>
  </si>
  <si>
    <t>AKSOY</t>
  </si>
  <si>
    <t>Hayalet Sürücü</t>
  </si>
  <si>
    <t>23-01</t>
  </si>
  <si>
    <t>GOMEDA</t>
  </si>
  <si>
    <t>DREAMGIRLS</t>
  </si>
  <si>
    <t>SİS VE GECE</t>
  </si>
  <si>
    <t>LETTERS FROM IWO JIMA</t>
  </si>
  <si>
    <t>MILLIONS</t>
  </si>
  <si>
    <t>BEŞ VAKİT</t>
  </si>
  <si>
    <t>ATLANTIK</t>
  </si>
  <si>
    <t xml:space="preserve">KNALLHART </t>
  </si>
  <si>
    <t>March</t>
  </si>
  <si>
    <t>23 Numara</t>
  </si>
  <si>
    <t>SAME PERIOD IN 2006</t>
  </si>
  <si>
    <t>GENESIS</t>
  </si>
  <si>
    <t>STUDIO CANAL</t>
  </si>
  <si>
    <t>COMME T'Y ES BELLE</t>
  </si>
  <si>
    <t>EUROPA</t>
  </si>
  <si>
    <t>DEPARTED, THE</t>
  </si>
  <si>
    <t>ROMANTİK</t>
  </si>
  <si>
    <t xml:space="preserve">PLATO </t>
  </si>
  <si>
    <t>98</t>
  </si>
  <si>
    <t>ADEM'İN TRENLERİ</t>
  </si>
  <si>
    <t>91</t>
  </si>
  <si>
    <t>74</t>
  </si>
  <si>
    <t>NOTES ON A SCANDAL</t>
  </si>
  <si>
    <t>LAST KING OF SCOTLAND, THE</t>
  </si>
  <si>
    <t>62</t>
  </si>
  <si>
    <t>MAVİ GÖZLÜ DEV</t>
  </si>
  <si>
    <t>NUMBER 23, THE</t>
  </si>
  <si>
    <t>ALPHA DOG</t>
  </si>
  <si>
    <t>BİR İHTİMAL DAHA VAR</t>
  </si>
  <si>
    <t>CINEMEDYA - ESEK</t>
  </si>
  <si>
    <t>18'LER TAKIMI</t>
  </si>
  <si>
    <t>MOTORCYCLE DIARIES, THE</t>
  </si>
  <si>
    <t>AVSAR FILM</t>
  </si>
  <si>
    <t>YENİ SİNEMACILAR</t>
  </si>
  <si>
    <t>NEW FRANCE</t>
  </si>
  <si>
    <t>JE NE SUIS PAS LA POUR ETRE AIME</t>
  </si>
  <si>
    <t>REZO</t>
  </si>
  <si>
    <t>PRESTIGE, THE</t>
  </si>
  <si>
    <t>Mavi Gözlü Dev</t>
  </si>
  <si>
    <t>MUTLULUK</t>
  </si>
  <si>
    <t>ANS</t>
  </si>
  <si>
    <t>KARA</t>
  </si>
  <si>
    <t>ROCKY BALBOA</t>
  </si>
  <si>
    <t>HITCHER, THE</t>
  </si>
  <si>
    <t>UMUT ADASI</t>
  </si>
  <si>
    <t>KARIZMA</t>
  </si>
  <si>
    <t>BETA</t>
  </si>
  <si>
    <t>MUSIC AND LYRICS</t>
  </si>
  <si>
    <t>SHERRYBABY</t>
  </si>
  <si>
    <t>LE TEMPS QUI RESTE</t>
  </si>
  <si>
    <t>PI FILM - CELLULOID</t>
  </si>
  <si>
    <t>DONNIE DARKO</t>
  </si>
  <si>
    <t>PANDORA</t>
  </si>
  <si>
    <t>23-29</t>
  </si>
  <si>
    <t>5</t>
  </si>
  <si>
    <t>TMNT</t>
  </si>
  <si>
    <t>LITTLE CHILDREN, THE</t>
  </si>
  <si>
    <t>10</t>
  </si>
  <si>
    <t>PULSE</t>
  </si>
  <si>
    <t>TAKESHIS</t>
  </si>
  <si>
    <t>PI FILMCILIK</t>
  </si>
  <si>
    <t>CRYING OUT LOVE
IN THE CENTER OF THE WORLD</t>
  </si>
  <si>
    <t>TOHO</t>
  </si>
  <si>
    <t>AUDITION</t>
  </si>
  <si>
    <t>DOLLS</t>
  </si>
  <si>
    <t>LİMON</t>
  </si>
  <si>
    <t>30-05</t>
  </si>
  <si>
    <t>April</t>
  </si>
  <si>
    <t>Mutluluk</t>
  </si>
  <si>
    <t>MEET THE ROBINSONS</t>
  </si>
  <si>
    <t>APOCALYPTO</t>
  </si>
  <si>
    <t>NEW FILMS</t>
  </si>
  <si>
    <t>ENERGY - SINEVIZYON</t>
  </si>
  <si>
    <t>PARIS, JE T'AIME</t>
  </si>
  <si>
    <t>ARZU - FIDA</t>
  </si>
  <si>
    <t>06-12</t>
  </si>
  <si>
    <t>PREMONITION</t>
  </si>
  <si>
    <t>90</t>
  </si>
  <si>
    <t>SATURNO CONTRO</t>
  </si>
  <si>
    <t>AFS</t>
  </si>
  <si>
    <t>AURA</t>
  </si>
  <si>
    <t>GOOD SHEPERD, THE</t>
  </si>
  <si>
    <t>UGLY DUCKLING AND ME, THE</t>
  </si>
  <si>
    <t>DEATH OF A PRESIDENT</t>
  </si>
  <si>
    <t>A.E. FILM</t>
  </si>
  <si>
    <t>MANDERLAY</t>
  </si>
  <si>
    <t>GRBAVICA</t>
  </si>
  <si>
    <t>IRFAN</t>
  </si>
  <si>
    <t>PRINCESS</t>
  </si>
  <si>
    <t>Sıra Dışı</t>
  </si>
  <si>
    <t>13-19</t>
  </si>
  <si>
    <t>Messengers, The</t>
  </si>
  <si>
    <t>MANDATE</t>
  </si>
  <si>
    <t>NORBIT</t>
  </si>
  <si>
    <t>ZİNCİRBOZAN</t>
  </si>
  <si>
    <t>TURKMAX</t>
  </si>
  <si>
    <t>99</t>
  </si>
  <si>
    <t>BECAUSE I SAID SO</t>
  </si>
  <si>
    <t>42</t>
  </si>
  <si>
    <t>SEVGİLİM İSTANBUL</t>
  </si>
  <si>
    <t>RENAISSANCE</t>
  </si>
  <si>
    <t>BELGE</t>
  </si>
  <si>
    <t>COMPANY, THE</t>
  </si>
  <si>
    <t>AVSAR FILM - TMC</t>
  </si>
  <si>
    <t>AE FOND KISS</t>
  </si>
  <si>
    <t>20-26</t>
  </si>
  <si>
    <t>3</t>
  </si>
  <si>
    <t>PARS: KİRAZ OPERASYONU</t>
  </si>
  <si>
    <t>SINEGRAF</t>
  </si>
  <si>
    <t>SUMMER RAIN</t>
  </si>
  <si>
    <t>IFR - PROMETE</t>
  </si>
  <si>
    <t>Pars: Kiraz Operasyonu</t>
  </si>
  <si>
    <t>27-03</t>
  </si>
  <si>
    <t>May</t>
  </si>
  <si>
    <t>NEXT</t>
  </si>
  <si>
    <t>WILD HOGS</t>
  </si>
  <si>
    <t>MESSENGERS, THE</t>
  </si>
  <si>
    <t>LITTLE MISS SUNSHINE</t>
  </si>
  <si>
    <t>COPYING BEETHOVEN</t>
  </si>
  <si>
    <t>7. SANAT</t>
  </si>
  <si>
    <t>NAMESAKE, THE</t>
  </si>
  <si>
    <t>04-10</t>
  </si>
  <si>
    <t>SPIDER-MAN 3</t>
  </si>
  <si>
    <t>SÖZÜN BİTTİĞİ YER</t>
  </si>
  <si>
    <t>KINGDOM OF HEAVEN</t>
  </si>
  <si>
    <t>SCIENCE OF SLEEP</t>
  </si>
  <si>
    <t>16</t>
  </si>
  <si>
    <t>11-17</t>
  </si>
  <si>
    <t>6</t>
  </si>
  <si>
    <t>ASKD - PYRAMIDE</t>
  </si>
  <si>
    <t>SHOOTER</t>
  </si>
  <si>
    <t>BREACH</t>
  </si>
  <si>
    <t>SUNSHINE</t>
  </si>
  <si>
    <t>FOUNTAIN, THE</t>
  </si>
  <si>
    <t>HISTORY BOYS, THE</t>
  </si>
  <si>
    <t>15</t>
  </si>
  <si>
    <t>JE M'APPELLE ELISABETH</t>
  </si>
  <si>
    <t>BREAKING AND ENTERING</t>
  </si>
  <si>
    <t>18-24</t>
  </si>
  <si>
    <t>FRACTURE</t>
  </si>
  <si>
    <t>49</t>
  </si>
  <si>
    <t>MR BEAN'S HOLIDAY</t>
  </si>
  <si>
    <t>IMPY'S ISLAND</t>
  </si>
  <si>
    <t>ZODIAC</t>
  </si>
  <si>
    <t xml:space="preserve">HILLS HAVE EYES 2 </t>
  </si>
  <si>
    <t>BESTLINE</t>
  </si>
  <si>
    <t>ISTANBUL GUNESI</t>
  </si>
  <si>
    <t>DOWNFALL</t>
  </si>
  <si>
    <t>DESCENT, THE</t>
  </si>
  <si>
    <t>DEREN MEDYA</t>
  </si>
  <si>
    <t>OYUN</t>
  </si>
  <si>
    <t>SINE FILM</t>
  </si>
  <si>
    <t>25-31</t>
  </si>
  <si>
    <t>AVŞAR FILM</t>
  </si>
  <si>
    <t>Örümcek Adam 3</t>
  </si>
  <si>
    <t>Karayip Korsanları: Dünyanın Sonu</t>
  </si>
  <si>
    <t>PIRATES OF THE CARIBBEAN: AT WORLD'S END</t>
  </si>
  <si>
    <t>CASHBACK</t>
  </si>
  <si>
    <t>FIND ME GUILTY</t>
  </si>
  <si>
    <t>SYNDICATE</t>
  </si>
  <si>
    <t>SECKIN YASAR</t>
  </si>
  <si>
    <t>01-07</t>
  </si>
  <si>
    <t>Jun</t>
  </si>
  <si>
    <t>MR. BROOKS</t>
  </si>
  <si>
    <t>ELEMENT</t>
  </si>
  <si>
    <t>BUG</t>
  </si>
  <si>
    <t>LAST MIMZY, THE</t>
  </si>
  <si>
    <t>PLANETE BLANCHE, LA</t>
  </si>
  <si>
    <t>TRAMVAY</t>
  </si>
  <si>
    <t>OLGUN ARUN</t>
  </si>
  <si>
    <t>8</t>
  </si>
  <si>
    <t>MASKELİ BEŞLER I.R.A.K</t>
  </si>
  <si>
    <t>HOLIDAY,THE</t>
  </si>
  <si>
    <t>08-14</t>
  </si>
  <si>
    <t>BLOOD AND CHOCOLATE</t>
  </si>
  <si>
    <t>HOST, THE</t>
  </si>
  <si>
    <t>BRIDES</t>
  </si>
  <si>
    <t>LIFE IS A MIRACLE</t>
  </si>
  <si>
    <t>57</t>
  </si>
  <si>
    <t>HANNIBAL RISING</t>
  </si>
  <si>
    <t>REAPING, THE</t>
  </si>
  <si>
    <t>PURSUIT OF HAPPYNESS, THE</t>
  </si>
  <si>
    <t>ASTERIX ET LES VIKINGS</t>
  </si>
  <si>
    <t>LABERINTO DEL FAUNO, EL</t>
  </si>
  <si>
    <t>BRIDGE TO TERABİTHİA</t>
  </si>
  <si>
    <t>LIVING &amp; DYING</t>
  </si>
  <si>
    <t>TAXI 4</t>
  </si>
  <si>
    <t>MAN CHENG JIN DAI HUANG JIN JIA</t>
  </si>
  <si>
    <t>LEBEN DER ANDEREN, DAS</t>
  </si>
  <si>
    <t>ZWARTBOEK</t>
  </si>
  <si>
    <t>CHAKUSHIN ARI FINAL</t>
  </si>
  <si>
    <t>NE LE DIS A PERSONNE</t>
  </si>
  <si>
    <t>MISTRESS OF SPICES, THE</t>
  </si>
  <si>
    <t>PASSIONE DI GIOSUE L'EBREO, LA</t>
  </si>
  <si>
    <t>A FOST SAU N-A FOST?</t>
  </si>
  <si>
    <t>ELEMENTARTEILCHEN</t>
  </si>
  <si>
    <t>ABONDONMENT, THE</t>
  </si>
  <si>
    <t>OCEAN'S THIRTEEN</t>
  </si>
  <si>
    <t>15-21</t>
  </si>
  <si>
    <t>THUMBSUCKER</t>
  </si>
  <si>
    <t>Shrek 3</t>
  </si>
  <si>
    <t>SHREK THE THIRD</t>
  </si>
  <si>
    <t>DEATH PROOF</t>
  </si>
  <si>
    <t>DELTA FARCE</t>
  </si>
  <si>
    <t>TRUANDS</t>
  </si>
  <si>
    <t>18</t>
  </si>
  <si>
    <t>22-28</t>
  </si>
  <si>
    <t>17</t>
  </si>
  <si>
    <t>VACANCY</t>
  </si>
  <si>
    <t>HOAX</t>
  </si>
  <si>
    <t>FRAGILE, A GHOST STORY</t>
  </si>
  <si>
    <t>GEDO SENKI</t>
  </si>
  <si>
    <t>9</t>
  </si>
  <si>
    <t>11</t>
  </si>
  <si>
    <t>13</t>
  </si>
  <si>
    <t>29-05</t>
  </si>
  <si>
    <t>Jul</t>
  </si>
  <si>
    <t>BESTLINE PICTURES</t>
  </si>
  <si>
    <t>Zor Ölüm 4</t>
  </si>
  <si>
    <t>BABAM VE OGLUM</t>
  </si>
  <si>
    <t>2 SUPER FILM BIRDEN</t>
  </si>
  <si>
    <t>SUGARWORKZ</t>
  </si>
  <si>
    <t>20 NIGHTS &amp; A RAINY DAY</t>
  </si>
  <si>
    <t>LAKE HOUSE</t>
  </si>
  <si>
    <t>DIE HARD 4.0</t>
  </si>
  <si>
    <t>SCENES OF A SEXUAL NATURE</t>
  </si>
  <si>
    <t>THE WORKS</t>
  </si>
  <si>
    <t>DEAD IN 3 DAYS</t>
  </si>
  <si>
    <t>DREAMACHINE</t>
  </si>
  <si>
    <t>GREAT RAID, THE</t>
  </si>
  <si>
    <t>MIRAMAX</t>
  </si>
  <si>
    <t>HYDE PARK</t>
  </si>
  <si>
    <t>4</t>
  </si>
  <si>
    <t>Transformers</t>
  </si>
  <si>
    <t>ILLUSIONIST</t>
  </si>
  <si>
    <t>078 FILMS SHOWN</t>
  </si>
  <si>
    <t>TRANSFORMERS</t>
  </si>
  <si>
    <t>RISE: BLOOD HUNTER</t>
  </si>
  <si>
    <t>FRITT WILT</t>
  </si>
  <si>
    <t>CANDY</t>
  </si>
  <si>
    <t>12</t>
  </si>
  <si>
    <t>PERFECT STRANGER, THE</t>
  </si>
  <si>
    <t>GREAT RAID</t>
  </si>
  <si>
    <t>24</t>
  </si>
  <si>
    <t>14</t>
  </si>
  <si>
    <r>
      <t xml:space="preserve">2007 Türkiye Annual Box Office Report  </t>
    </r>
    <r>
      <rPr>
        <sz val="16"/>
        <color indexed="9"/>
        <rFont val="Impact"/>
        <family val="2"/>
      </rPr>
      <t>29 Dec' '06 - 19 Jul' '07</t>
    </r>
  </si>
  <si>
    <r>
      <t>2007 Türkiye Ex Years Releases Annual Box Office Report</t>
    </r>
    <r>
      <rPr>
        <sz val="26"/>
        <color indexed="9"/>
        <rFont val="Impact"/>
        <family val="2"/>
      </rPr>
      <t xml:space="preserve">  </t>
    </r>
    <r>
      <rPr>
        <sz val="16"/>
        <color indexed="9"/>
        <rFont val="Impact"/>
        <family val="2"/>
      </rPr>
      <t>29 Dec' 06 - 19 Jul' '07</t>
    </r>
  </si>
  <si>
    <t>*Dağıtımcı firmalardan Barbar Film bu hafta film dağıtmamıştır.</t>
  </si>
  <si>
    <t>Elimize ulaşan en son rapor zamanı: 18.48</t>
  </si>
  <si>
    <t>096 FILMS SHOWN</t>
  </si>
  <si>
    <t>300 Spartalı</t>
  </si>
  <si>
    <t>Ocean's 13</t>
  </si>
  <si>
    <t>28 WEEKS LATER</t>
  </si>
  <si>
    <t>WHISPER</t>
  </si>
  <si>
    <t>PRICELESS</t>
  </si>
  <si>
    <t>HOT FUZZ</t>
  </si>
  <si>
    <t>MISTRESS OF SPICES</t>
  </si>
  <si>
    <t>UMUT- OZEN</t>
  </si>
  <si>
    <t>MY SUPER EX GIRLFRIEND</t>
  </si>
  <si>
    <t>PURSUIT OF HAPPYNESS</t>
  </si>
  <si>
    <t>UMUT</t>
  </si>
  <si>
    <t>PI-YALAN DUNYA</t>
  </si>
  <si>
    <t>MARS PROD.</t>
  </si>
  <si>
    <t xml:space="preserve">ERMAN FILMS </t>
  </si>
  <si>
    <t>19</t>
  </si>
  <si>
    <t>25</t>
  </si>
  <si>
    <t>CURSE OF THE GOLDEN FLOWER, THE</t>
  </si>
  <si>
    <t>598 times</t>
  </si>
</sst>
</file>

<file path=xl/styles.xml><?xml version="1.0" encoding="utf-8"?>
<styleSheet xmlns="http://schemas.openxmlformats.org/spreadsheetml/2006/main">
  <numFmts count="51">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s>
  <fonts count="88">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26"/>
      <color indexed="9"/>
      <name val="Impact"/>
      <family val="2"/>
    </font>
    <font>
      <sz val="16"/>
      <color indexed="9"/>
      <name val="Impact"/>
      <family val="2"/>
    </font>
    <font>
      <b/>
      <sz val="8"/>
      <name val="Trebuchet MS"/>
      <family val="0"/>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b/>
      <sz val="9"/>
      <name val="Trebuchet MS"/>
      <family val="2"/>
    </font>
    <font>
      <sz val="9"/>
      <name val="Arial"/>
      <family val="0"/>
    </font>
    <font>
      <sz val="9"/>
      <name val="Trebuchet MS"/>
      <family val="2"/>
    </font>
    <font>
      <b/>
      <sz val="9"/>
      <name val="Arial Narrow"/>
      <family val="2"/>
    </font>
    <font>
      <b/>
      <sz val="11"/>
      <color indexed="9"/>
      <name val="Century Gothic"/>
      <family val="2"/>
    </font>
    <font>
      <sz val="26"/>
      <name val="Arial"/>
      <family val="0"/>
    </font>
    <font>
      <i/>
      <sz val="10"/>
      <name val="Arial"/>
      <family val="2"/>
    </font>
    <font>
      <b/>
      <sz val="14"/>
      <name val="Impact"/>
      <family val="2"/>
    </font>
    <font>
      <b/>
      <sz val="14"/>
      <name val="Arial"/>
      <family val="2"/>
    </font>
    <font>
      <sz val="10"/>
      <color indexed="9"/>
      <name val="Arial"/>
      <family val="0"/>
    </font>
    <font>
      <b/>
      <sz val="8"/>
      <color indexed="9"/>
      <name val="Trebuchet MS"/>
      <family val="0"/>
    </font>
    <font>
      <b/>
      <sz val="10"/>
      <name val="Trebuchet MS"/>
      <family val="2"/>
    </font>
    <font>
      <sz val="20"/>
      <color indexed="42"/>
      <name val="GoudyLight"/>
      <family val="0"/>
    </font>
    <font>
      <sz val="7"/>
      <name val="Impact"/>
      <family val="2"/>
    </font>
    <font>
      <sz val="7"/>
      <color indexed="9"/>
      <name val="Impact"/>
      <family val="2"/>
    </font>
    <font>
      <b/>
      <sz val="9"/>
      <color indexed="10"/>
      <name val="Arial Narrow"/>
      <family val="2"/>
    </font>
    <font>
      <sz val="10"/>
      <color indexed="10"/>
      <name val="Arial"/>
      <family val="0"/>
    </font>
    <font>
      <b/>
      <sz val="9"/>
      <color indexed="12"/>
      <name val="Arial Narrow"/>
      <family val="2"/>
    </font>
    <font>
      <sz val="7"/>
      <name val="Arial"/>
      <family val="2"/>
    </font>
    <font>
      <b/>
      <sz val="10"/>
      <color indexed="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sz val="20"/>
      <color indexed="9"/>
      <name val="Impact"/>
      <family val="0"/>
    </font>
    <font>
      <b/>
      <u val="single"/>
      <sz val="10"/>
      <color indexed="8"/>
      <name val="Arial"/>
      <family val="0"/>
    </font>
    <font>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1"/>
        <bgColor indexed="64"/>
      </patternFill>
    </fill>
    <fill>
      <patternFill patternType="solid">
        <fgColor indexed="44"/>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45"/>
        <bgColor indexed="64"/>
      </patternFill>
    </fill>
    <fill>
      <patternFill patternType="solid">
        <fgColor indexed="40"/>
        <bgColor indexed="64"/>
      </patternFill>
    </fill>
    <fill>
      <patternFill patternType="solid">
        <fgColor indexed="17"/>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medium"/>
      <top style="hair"/>
      <bottom style="hair"/>
    </border>
    <border>
      <left style="thin"/>
      <right style="thin"/>
      <top style="medium"/>
      <bottom style="thin"/>
    </border>
    <border>
      <left style="hair"/>
      <right style="hair"/>
      <top style="hair"/>
      <bottom style="medium"/>
    </border>
    <border>
      <left>
        <color indexed="63"/>
      </left>
      <right style="hair"/>
      <top style="medium"/>
      <bottom style="hair"/>
    </border>
    <border>
      <left>
        <color indexed="63"/>
      </left>
      <right style="hair"/>
      <top style="hair"/>
      <bottom style="hair"/>
    </border>
    <border>
      <left>
        <color indexed="63"/>
      </left>
      <right style="hair"/>
      <top style="hair"/>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medium"/>
      <right style="thin"/>
      <top>
        <color indexed="63"/>
      </top>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hair"/>
      <right style="medium"/>
      <top style="hair"/>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medium"/>
      <right>
        <color indexed="63"/>
      </right>
      <top>
        <color indexed="63"/>
      </top>
      <bottom>
        <color indexed="63"/>
      </bottom>
    </border>
    <border>
      <left style="medium"/>
      <right>
        <color indexed="63"/>
      </right>
      <top style="hair"/>
      <bottom style="hair"/>
    </border>
    <border>
      <left style="hair"/>
      <right style="medium"/>
      <top>
        <color indexed="63"/>
      </top>
      <bottom style="hair"/>
    </border>
    <border>
      <left style="medium"/>
      <right style="hair"/>
      <top style="hair"/>
      <bottom style="hair"/>
    </border>
    <border>
      <left style="medium"/>
      <right style="hair"/>
      <top style="hair"/>
      <bottom style="medium"/>
    </border>
    <border>
      <left style="hair"/>
      <right style="medium"/>
      <top style="hair"/>
      <bottom style="medium"/>
    </border>
    <border>
      <left style="hair"/>
      <right style="hair"/>
      <top style="medium"/>
      <bottom style="hair"/>
    </border>
    <border>
      <left style="hair"/>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thin"/>
    </border>
    <border>
      <left style="thin"/>
      <right style="medium"/>
      <top style="thin"/>
      <bottom>
        <color indexed="63"/>
      </bottom>
    </border>
    <border>
      <left style="medium"/>
      <right style="hair"/>
      <top style="medium"/>
      <bottom style="hair"/>
    </border>
    <border>
      <left>
        <color indexed="63"/>
      </left>
      <right style="medium"/>
      <top>
        <color indexed="63"/>
      </top>
      <bottom>
        <color indexed="63"/>
      </bottom>
    </border>
    <border>
      <left style="medium"/>
      <right style="hair"/>
      <top>
        <color indexed="63"/>
      </top>
      <bottom style="hair"/>
    </border>
    <border>
      <left style="medium"/>
      <right style="hair"/>
      <top style="hair"/>
      <bottom style="thin"/>
    </border>
    <border>
      <left style="medium"/>
      <right>
        <color indexed="63"/>
      </right>
      <top style="medium"/>
      <bottom style="hair"/>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0" borderId="0" applyNumberFormat="0" applyFill="0" applyBorder="0" applyAlignment="0" applyProtection="0"/>
    <xf numFmtId="0" fontId="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548">
    <xf numFmtId="0" fontId="0" fillId="0" borderId="0" xfId="0" applyAlignment="1">
      <alignment/>
    </xf>
    <xf numFmtId="171"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10"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0"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187" fontId="4" fillId="0" borderId="0" xfId="0" applyNumberFormat="1" applyFont="1" applyFill="1" applyBorder="1" applyAlignment="1" applyProtection="1">
      <alignment horizontal="right" vertical="center"/>
      <protection/>
    </xf>
    <xf numFmtId="187" fontId="6" fillId="0" borderId="0" xfId="0" applyNumberFormat="1" applyFont="1" applyFill="1" applyBorder="1" applyAlignment="1" applyProtection="1">
      <alignment horizontal="right" vertical="center"/>
      <protection locked="0"/>
    </xf>
    <xf numFmtId="193" fontId="4" fillId="0" borderId="0" xfId="0" applyNumberFormat="1" applyFont="1" applyFill="1" applyBorder="1" applyAlignment="1" applyProtection="1">
      <alignment horizontal="right" vertical="center"/>
      <protection/>
    </xf>
    <xf numFmtId="192" fontId="10" fillId="0" borderId="0" xfId="0" applyNumberFormat="1" applyFont="1" applyFill="1" applyBorder="1" applyAlignment="1" applyProtection="1">
      <alignment vertical="center"/>
      <protection locked="0"/>
    </xf>
    <xf numFmtId="0" fontId="11" fillId="0" borderId="0" xfId="0" applyFont="1" applyBorder="1" applyAlignment="1">
      <alignment horizontal="center" vertical="center"/>
    </xf>
    <xf numFmtId="187" fontId="9" fillId="0" borderId="0" xfId="0" applyNumberFormat="1" applyFont="1" applyFill="1" applyBorder="1" applyAlignment="1" applyProtection="1">
      <alignment horizontal="center" vertical="center"/>
      <protection locked="0"/>
    </xf>
    <xf numFmtId="192" fontId="3" fillId="0" borderId="0" xfId="0" applyNumberFormat="1" applyFont="1" applyFill="1" applyBorder="1" applyAlignment="1" applyProtection="1">
      <alignment vertical="center"/>
      <protection/>
    </xf>
    <xf numFmtId="192" fontId="6" fillId="0" borderId="0" xfId="0" applyNumberFormat="1" applyFont="1" applyFill="1" applyBorder="1" applyAlignment="1" applyProtection="1">
      <alignment vertical="center"/>
      <protection locked="0"/>
    </xf>
    <xf numFmtId="0" fontId="13"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16" fillId="33" borderId="10" xfId="0" applyFont="1" applyFill="1" applyBorder="1" applyAlignment="1">
      <alignment vertical="center"/>
    </xf>
    <xf numFmtId="184" fontId="16" fillId="33" borderId="10" xfId="0" applyNumberFormat="1" applyFont="1" applyFill="1" applyBorder="1" applyAlignment="1">
      <alignment horizontal="center" vertical="center"/>
    </xf>
    <xf numFmtId="0" fontId="16" fillId="33" borderId="10" xfId="0" applyFont="1" applyFill="1" applyBorder="1" applyAlignment="1">
      <alignment horizontal="center" vertical="center"/>
    </xf>
    <xf numFmtId="3" fontId="16" fillId="33" borderId="10" xfId="0" applyNumberFormat="1" applyFont="1" applyFill="1" applyBorder="1" applyAlignment="1">
      <alignment horizontal="center" vertical="center"/>
    </xf>
    <xf numFmtId="192" fontId="16" fillId="33" borderId="10" xfId="0" applyNumberFormat="1" applyFont="1" applyFill="1" applyBorder="1" applyAlignment="1">
      <alignment vertical="center"/>
    </xf>
    <xf numFmtId="193" fontId="9" fillId="0" borderId="0" xfId="0" applyNumberFormat="1" applyFont="1" applyFill="1" applyBorder="1" applyAlignment="1" applyProtection="1">
      <alignment horizontal="right" vertical="center"/>
      <protection locked="0"/>
    </xf>
    <xf numFmtId="193" fontId="10" fillId="0" borderId="0" xfId="0" applyNumberFormat="1" applyFont="1" applyFill="1" applyBorder="1" applyAlignment="1" applyProtection="1">
      <alignment horizontal="right" vertical="center"/>
      <protection locked="0"/>
    </xf>
    <xf numFmtId="193" fontId="3" fillId="0" borderId="0" xfId="0" applyNumberFormat="1" applyFont="1" applyFill="1" applyBorder="1" applyAlignment="1" applyProtection="1">
      <alignment horizontal="right" vertical="center"/>
      <protection/>
    </xf>
    <xf numFmtId="193" fontId="16" fillId="33" borderId="10"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center" vertical="center" wrapText="1"/>
      <protection locked="0"/>
    </xf>
    <xf numFmtId="187" fontId="16" fillId="33" borderId="10" xfId="0" applyNumberFormat="1" applyFont="1" applyFill="1" applyBorder="1" applyAlignment="1">
      <alignment horizontal="right" vertical="center"/>
    </xf>
    <xf numFmtId="187" fontId="10" fillId="0" borderId="0" xfId="42" applyNumberFormat="1" applyFont="1" applyFill="1" applyBorder="1" applyAlignment="1" applyProtection="1">
      <alignment horizontal="right" vertical="center"/>
      <protection/>
    </xf>
    <xf numFmtId="192" fontId="3" fillId="0" borderId="0" xfId="0" applyNumberFormat="1" applyFont="1" applyFill="1" applyBorder="1" applyAlignment="1" applyProtection="1">
      <alignment horizontal="right" vertical="center"/>
      <protection/>
    </xf>
    <xf numFmtId="192" fontId="16" fillId="33" borderId="11" xfId="0" applyNumberFormat="1" applyFont="1" applyFill="1" applyBorder="1" applyAlignment="1">
      <alignment horizontal="right" vertical="center"/>
    </xf>
    <xf numFmtId="192" fontId="10"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187" fontId="19" fillId="0" borderId="0" xfId="0" applyNumberFormat="1" applyFont="1" applyFill="1" applyBorder="1" applyAlignment="1" applyProtection="1">
      <alignment horizontal="right" vertical="center"/>
      <protection/>
    </xf>
    <xf numFmtId="187" fontId="15" fillId="33" borderId="10" xfId="0" applyNumberFormat="1" applyFont="1" applyFill="1" applyBorder="1" applyAlignment="1">
      <alignment horizontal="right" vertical="center"/>
    </xf>
    <xf numFmtId="187" fontId="20" fillId="0" borderId="0" xfId="0" applyNumberFormat="1" applyFont="1" applyFill="1" applyBorder="1" applyAlignment="1" applyProtection="1">
      <alignment horizontal="right" vertical="center"/>
      <protection locked="0"/>
    </xf>
    <xf numFmtId="187" fontId="21"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2" fillId="0" borderId="0" xfId="0" applyNumberFormat="1" applyFont="1" applyFill="1" applyBorder="1" applyAlignment="1" applyProtection="1">
      <alignment horizontal="right" vertical="center"/>
      <protection/>
    </xf>
    <xf numFmtId="1" fontId="22" fillId="0" borderId="0" xfId="0" applyNumberFormat="1" applyFont="1" applyFill="1" applyBorder="1" applyAlignment="1" applyProtection="1">
      <alignment horizontal="right" vertical="center"/>
      <protection locked="0"/>
    </xf>
    <xf numFmtId="0" fontId="25" fillId="0" borderId="12" xfId="0" applyNumberFormat="1" applyFont="1" applyFill="1" applyBorder="1" applyAlignment="1" applyProtection="1">
      <alignment horizontal="center" vertical="center" wrapText="1"/>
      <protection/>
    </xf>
    <xf numFmtId="4" fontId="28" fillId="0" borderId="10" xfId="0" applyNumberFormat="1" applyFont="1" applyFill="1" applyBorder="1" applyAlignment="1" applyProtection="1">
      <alignment horizontal="right" vertical="center" indent="1"/>
      <protection locked="0"/>
    </xf>
    <xf numFmtId="193" fontId="30" fillId="0" borderId="10" xfId="0" applyNumberFormat="1" applyFont="1" applyFill="1" applyBorder="1" applyAlignment="1" applyProtection="1">
      <alignment horizontal="right" vertical="center" indent="1"/>
      <protection locked="0"/>
    </xf>
    <xf numFmtId="4" fontId="28" fillId="0" borderId="13" xfId="0" applyNumberFormat="1" applyFont="1" applyFill="1" applyBorder="1" applyAlignment="1" applyProtection="1">
      <alignment horizontal="right" vertical="center" indent="1"/>
      <protection locked="0"/>
    </xf>
    <xf numFmtId="193" fontId="30" fillId="0" borderId="13" xfId="0" applyNumberFormat="1" applyFont="1" applyFill="1" applyBorder="1" applyAlignment="1" applyProtection="1">
      <alignment horizontal="right" vertical="center" indent="1"/>
      <protection locked="0"/>
    </xf>
    <xf numFmtId="0" fontId="28" fillId="0" borderId="14" xfId="0" applyFont="1" applyFill="1" applyBorder="1" applyAlignment="1" applyProtection="1">
      <alignment horizontal="center" vertical="center"/>
      <protection locked="0"/>
    </xf>
    <xf numFmtId="0" fontId="30" fillId="0" borderId="15" xfId="0" applyFont="1" applyFill="1" applyBorder="1" applyAlignment="1" applyProtection="1">
      <alignment horizontal="right" vertical="center"/>
      <protection locked="0"/>
    </xf>
    <xf numFmtId="0" fontId="30" fillId="0" borderId="16" xfId="0" applyFont="1" applyFill="1" applyBorder="1" applyAlignment="1" applyProtection="1">
      <alignment horizontal="right" vertical="center"/>
      <protection locked="0"/>
    </xf>
    <xf numFmtId="1" fontId="31" fillId="0" borderId="17" xfId="0" applyNumberFormat="1" applyFont="1" applyFill="1" applyBorder="1" applyAlignment="1" applyProtection="1">
      <alignment horizontal="right" vertical="center"/>
      <protection locked="0"/>
    </xf>
    <xf numFmtId="1" fontId="31" fillId="0" borderId="18" xfId="0" applyNumberFormat="1" applyFont="1" applyFill="1" applyBorder="1" applyAlignment="1" applyProtection="1">
      <alignment horizontal="right" vertical="center"/>
      <protection/>
    </xf>
    <xf numFmtId="1" fontId="31" fillId="0" borderId="19" xfId="0" applyNumberFormat="1" applyFont="1" applyFill="1" applyBorder="1" applyAlignment="1" applyProtection="1">
      <alignment horizontal="right" vertical="center"/>
      <protection/>
    </xf>
    <xf numFmtId="1" fontId="31" fillId="0" borderId="20" xfId="0" applyNumberFormat="1" applyFont="1" applyFill="1" applyBorder="1" applyAlignment="1" applyProtection="1">
      <alignment horizontal="right" vertical="center"/>
      <protection/>
    </xf>
    <xf numFmtId="0" fontId="30" fillId="0" borderId="21" xfId="0" applyFont="1" applyFill="1" applyBorder="1" applyAlignment="1" applyProtection="1">
      <alignment horizontal="right" vertical="center"/>
      <protection locked="0"/>
    </xf>
    <xf numFmtId="4" fontId="28" fillId="0" borderId="22" xfId="0" applyNumberFormat="1" applyFont="1" applyFill="1" applyBorder="1" applyAlignment="1" applyProtection="1">
      <alignment horizontal="right" vertical="center" indent="1"/>
      <protection locked="0"/>
    </xf>
    <xf numFmtId="193" fontId="30" fillId="0" borderId="22" xfId="0" applyNumberFormat="1" applyFont="1" applyFill="1" applyBorder="1" applyAlignment="1" applyProtection="1">
      <alignment horizontal="right" vertical="center" indent="1"/>
      <protection locked="0"/>
    </xf>
    <xf numFmtId="1" fontId="31" fillId="0" borderId="23" xfId="0" applyNumberFormat="1" applyFont="1" applyFill="1" applyBorder="1" applyAlignment="1" applyProtection="1">
      <alignment horizontal="right" vertical="center"/>
      <protection locked="0"/>
    </xf>
    <xf numFmtId="0" fontId="28" fillId="0" borderId="24" xfId="0" applyFont="1" applyFill="1" applyBorder="1" applyAlignment="1" applyProtection="1">
      <alignment horizontal="center" vertical="center"/>
      <protection locked="0"/>
    </xf>
    <xf numFmtId="184" fontId="28" fillId="0" borderId="25" xfId="0" applyNumberFormat="1" applyFont="1" applyFill="1" applyBorder="1" applyAlignment="1" applyProtection="1">
      <alignment horizontal="center" vertical="center"/>
      <protection locked="0"/>
    </xf>
    <xf numFmtId="0" fontId="28" fillId="0" borderId="25" xfId="0" applyFont="1" applyFill="1" applyBorder="1" applyAlignment="1" applyProtection="1">
      <alignment horizontal="center" vertical="center"/>
      <protection locked="0"/>
    </xf>
    <xf numFmtId="0" fontId="28" fillId="0" borderId="26" xfId="0" applyNumberFormat="1" applyFont="1" applyFill="1" applyBorder="1" applyAlignment="1" applyProtection="1">
      <alignment horizontal="center" vertical="center" wrapText="1"/>
      <protection locked="0"/>
    </xf>
    <xf numFmtId="0" fontId="0" fillId="0" borderId="0" xfId="0" applyAlignment="1">
      <alignment vertical="center" readingOrder="1"/>
    </xf>
    <xf numFmtId="0" fontId="0" fillId="0" borderId="0" xfId="0" applyAlignment="1">
      <alignment horizontal="right" vertical="center"/>
    </xf>
    <xf numFmtId="1" fontId="24" fillId="0" borderId="27" xfId="0" applyNumberFormat="1" applyFont="1" applyFill="1" applyBorder="1" applyAlignment="1" applyProtection="1">
      <alignment horizontal="center" vertical="center" wrapText="1"/>
      <protection/>
    </xf>
    <xf numFmtId="1" fontId="26" fillId="0" borderId="28" xfId="0" applyNumberFormat="1" applyFont="1" applyFill="1" applyBorder="1" applyAlignment="1" applyProtection="1">
      <alignment horizontal="center" vertical="center" wrapText="1"/>
      <protection/>
    </xf>
    <xf numFmtId="187" fontId="25" fillId="0" borderId="29" xfId="0" applyNumberFormat="1" applyFont="1" applyFill="1" applyBorder="1" applyAlignment="1" applyProtection="1">
      <alignment horizontal="center" vertical="center" wrapText="1"/>
      <protection/>
    </xf>
    <xf numFmtId="193" fontId="25" fillId="0" borderId="29" xfId="0" applyNumberFormat="1" applyFont="1" applyFill="1" applyBorder="1" applyAlignment="1" applyProtection="1">
      <alignment horizontal="center" vertical="center" wrapText="1"/>
      <protection/>
    </xf>
    <xf numFmtId="0" fontId="17" fillId="0" borderId="0" xfId="0" applyFont="1" applyBorder="1" applyAlignment="1">
      <alignment vertical="center"/>
    </xf>
    <xf numFmtId="0" fontId="25"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7" fontId="11" fillId="0" borderId="0" xfId="0" applyNumberFormat="1" applyFont="1" applyFill="1" applyBorder="1" applyAlignment="1">
      <alignment horizontal="right" vertical="center"/>
    </xf>
    <xf numFmtId="192" fontId="0" fillId="0" borderId="0" xfId="0" applyNumberFormat="1" applyFont="1" applyFill="1" applyBorder="1" applyAlignment="1">
      <alignment horizontal="right" vertical="center" indent="1"/>
    </xf>
    <xf numFmtId="0" fontId="0" fillId="0" borderId="0" xfId="0" applyBorder="1" applyAlignment="1">
      <alignment vertical="center"/>
    </xf>
    <xf numFmtId="187" fontId="11" fillId="0" borderId="0" xfId="0" applyNumberFormat="1" applyFont="1" applyBorder="1" applyAlignment="1">
      <alignment horizontal="right" vertical="center"/>
    </xf>
    <xf numFmtId="192" fontId="0" fillId="0" borderId="0" xfId="0" applyNumberFormat="1" applyBorder="1" applyAlignment="1">
      <alignment horizontal="right" vertical="center" indent="1"/>
    </xf>
    <xf numFmtId="0" fontId="0" fillId="0" borderId="0" xfId="0" applyBorder="1" applyAlignment="1">
      <alignment horizontal="right" vertical="center" wrapText="1"/>
    </xf>
    <xf numFmtId="0" fontId="22" fillId="0" borderId="0" xfId="0" applyFont="1" applyFill="1" applyBorder="1" applyAlignment="1">
      <alignment horizontal="right" vertical="center"/>
    </xf>
    <xf numFmtId="0" fontId="22" fillId="0" borderId="0" xfId="0" applyFont="1" applyBorder="1" applyAlignment="1">
      <alignment horizontal="right" vertical="center"/>
    </xf>
    <xf numFmtId="193" fontId="35" fillId="0" borderId="0" xfId="0" applyNumberFormat="1" applyFont="1" applyFill="1" applyBorder="1" applyAlignment="1" applyProtection="1">
      <alignment horizontal="right" vertical="center"/>
      <protection/>
    </xf>
    <xf numFmtId="193" fontId="15" fillId="33" borderId="10" xfId="0" applyNumberFormat="1" applyFont="1" applyFill="1" applyBorder="1" applyAlignment="1">
      <alignment horizontal="right" vertical="center"/>
    </xf>
    <xf numFmtId="193" fontId="36" fillId="0" borderId="0" xfId="0" applyNumberFormat="1" applyFont="1" applyFill="1" applyBorder="1" applyAlignment="1" applyProtection="1">
      <alignment horizontal="right" vertical="center"/>
      <protection locked="0"/>
    </xf>
    <xf numFmtId="0" fontId="22" fillId="0" borderId="27" xfId="0" applyFont="1" applyFill="1" applyBorder="1" applyAlignment="1">
      <alignment horizontal="center" vertical="center"/>
    </xf>
    <xf numFmtId="0" fontId="23" fillId="0" borderId="28" xfId="0" applyFont="1" applyFill="1" applyBorder="1" applyAlignment="1">
      <alignment horizontal="center" vertical="center"/>
    </xf>
    <xf numFmtId="193" fontId="11" fillId="0" borderId="0" xfId="0" applyNumberFormat="1" applyFont="1" applyFill="1" applyBorder="1" applyAlignment="1">
      <alignment horizontal="right" vertical="center" indent="1"/>
    </xf>
    <xf numFmtId="193" fontId="11" fillId="0" borderId="0" xfId="0" applyNumberFormat="1" applyFont="1" applyBorder="1" applyAlignment="1">
      <alignment horizontal="right" vertical="center" indent="1"/>
    </xf>
    <xf numFmtId="0" fontId="25" fillId="0" borderId="27" xfId="0" applyFont="1" applyFill="1" applyBorder="1" applyAlignment="1">
      <alignment horizontal="center" vertical="center"/>
    </xf>
    <xf numFmtId="0" fontId="25" fillId="0" borderId="29" xfId="0" applyNumberFormat="1" applyFont="1" applyFill="1" applyBorder="1" applyAlignment="1">
      <alignment horizontal="center" wrapText="1"/>
    </xf>
    <xf numFmtId="0" fontId="32" fillId="0" borderId="30" xfId="0" applyFont="1" applyFill="1" applyBorder="1" applyAlignment="1">
      <alignment horizontal="center" vertical="center"/>
    </xf>
    <xf numFmtId="1" fontId="22" fillId="0" borderId="31" xfId="0" applyNumberFormat="1" applyFont="1" applyFill="1" applyBorder="1" applyAlignment="1" applyProtection="1">
      <alignment horizontal="right" vertical="center"/>
      <protection/>
    </xf>
    <xf numFmtId="0" fontId="0" fillId="0" borderId="0" xfId="0" applyBorder="1" applyAlignment="1">
      <alignment horizontal="center" vertical="center" wrapText="1"/>
    </xf>
    <xf numFmtId="184" fontId="16" fillId="33" borderId="22" xfId="0" applyNumberFormat="1" applyFont="1" applyFill="1" applyBorder="1" applyAlignment="1">
      <alignment horizontal="center" vertical="center"/>
    </xf>
    <xf numFmtId="0" fontId="16" fillId="33" borderId="22" xfId="0" applyFont="1" applyFill="1" applyBorder="1" applyAlignment="1">
      <alignment horizontal="center" vertical="center"/>
    </xf>
    <xf numFmtId="0" fontId="16" fillId="33" borderId="22" xfId="0" applyFont="1" applyFill="1" applyBorder="1" applyAlignment="1">
      <alignment vertical="center"/>
    </xf>
    <xf numFmtId="3" fontId="16" fillId="33" borderId="22" xfId="0" applyNumberFormat="1" applyFont="1" applyFill="1" applyBorder="1" applyAlignment="1">
      <alignment horizontal="center" vertical="center"/>
    </xf>
    <xf numFmtId="187" fontId="15" fillId="33" borderId="22" xfId="0" applyNumberFormat="1" applyFont="1" applyFill="1" applyBorder="1" applyAlignment="1">
      <alignment horizontal="right" vertical="center"/>
    </xf>
    <xf numFmtId="193" fontId="15" fillId="33" borderId="22" xfId="0" applyNumberFormat="1" applyFont="1" applyFill="1" applyBorder="1" applyAlignment="1">
      <alignment horizontal="right" vertical="center"/>
    </xf>
    <xf numFmtId="193" fontId="16" fillId="33" borderId="22" xfId="0" applyNumberFormat="1" applyFont="1" applyFill="1" applyBorder="1" applyAlignment="1">
      <alignment horizontal="right" vertical="center"/>
    </xf>
    <xf numFmtId="192" fontId="16" fillId="33" borderId="22" xfId="0" applyNumberFormat="1" applyFont="1" applyFill="1" applyBorder="1" applyAlignment="1">
      <alignment vertical="center"/>
    </xf>
    <xf numFmtId="187" fontId="16" fillId="33" borderId="22" xfId="0" applyNumberFormat="1" applyFont="1" applyFill="1" applyBorder="1" applyAlignment="1">
      <alignment horizontal="right" vertical="center"/>
    </xf>
    <xf numFmtId="192" fontId="16" fillId="33" borderId="32" xfId="0" applyNumberFormat="1" applyFont="1" applyFill="1" applyBorder="1" applyAlignment="1">
      <alignment horizontal="right" vertical="center"/>
    </xf>
    <xf numFmtId="0" fontId="38" fillId="0" borderId="0" xfId="0" applyFont="1" applyFill="1" applyBorder="1" applyAlignment="1" applyProtection="1">
      <alignment vertical="center"/>
      <protection locked="0"/>
    </xf>
    <xf numFmtId="184" fontId="13" fillId="0" borderId="10" xfId="0" applyNumberFormat="1" applyFont="1" applyFill="1" applyBorder="1" applyAlignment="1" applyProtection="1">
      <alignment horizontal="center" vertical="center"/>
      <protection locked="0"/>
    </xf>
    <xf numFmtId="184"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184" fontId="13" fillId="0" borderId="10" xfId="0" applyNumberFormat="1" applyFont="1" applyFill="1" applyBorder="1" applyAlignment="1" applyProtection="1">
      <alignment horizontal="center" vertical="center"/>
      <protection/>
    </xf>
    <xf numFmtId="3" fontId="13" fillId="0" borderId="10" xfId="0" applyNumberFormat="1" applyFont="1" applyFill="1" applyBorder="1" applyAlignment="1">
      <alignment horizontal="center" vertical="center"/>
    </xf>
    <xf numFmtId="0" fontId="13" fillId="0" borderId="33" xfId="0" applyFont="1" applyFill="1" applyBorder="1" applyAlignment="1" applyProtection="1">
      <alignment horizontal="left" vertical="center"/>
      <protection/>
    </xf>
    <xf numFmtId="193" fontId="39" fillId="0" borderId="10" xfId="0" applyNumberFormat="1" applyFont="1" applyFill="1" applyBorder="1" applyAlignment="1">
      <alignment horizontal="right" vertical="center"/>
    </xf>
    <xf numFmtId="0" fontId="11" fillId="0" borderId="0" xfId="0" applyFont="1" applyBorder="1" applyAlignment="1">
      <alignment horizontal="right" vertical="center" wrapText="1"/>
    </xf>
    <xf numFmtId="0" fontId="11" fillId="0" borderId="0" xfId="0" applyFont="1" applyAlignment="1">
      <alignment horizontal="right" vertical="center"/>
    </xf>
    <xf numFmtId="0" fontId="11" fillId="0" borderId="0" xfId="0" applyFont="1" applyAlignment="1">
      <alignment vertical="center" readingOrder="1"/>
    </xf>
    <xf numFmtId="0" fontId="13" fillId="0" borderId="10" xfId="0" applyFont="1" applyFill="1" applyBorder="1" applyAlignment="1" applyProtection="1">
      <alignment horizontal="left" vertical="center"/>
      <protection locked="0"/>
    </xf>
    <xf numFmtId="184" fontId="13" fillId="0" borderId="10" xfId="0" applyNumberFormat="1" applyFont="1" applyFill="1" applyBorder="1" applyAlignment="1" applyProtection="1">
      <alignment horizontal="left" vertical="center"/>
      <protection locked="0"/>
    </xf>
    <xf numFmtId="0" fontId="13" fillId="0" borderId="10" xfId="0" applyFont="1" applyFill="1" applyBorder="1" applyAlignment="1">
      <alignment horizontal="left" vertical="center"/>
    </xf>
    <xf numFmtId="49" fontId="13" fillId="0" borderId="10" xfId="0" applyNumberFormat="1" applyFont="1" applyFill="1" applyBorder="1" applyAlignment="1" applyProtection="1">
      <alignment horizontal="left" vertical="center"/>
      <protection locked="0"/>
    </xf>
    <xf numFmtId="0" fontId="13" fillId="0" borderId="10" xfId="0" applyFont="1" applyFill="1" applyBorder="1" applyAlignment="1" applyProtection="1">
      <alignment horizontal="left" vertical="center"/>
      <protection/>
    </xf>
    <xf numFmtId="49" fontId="13" fillId="0" borderId="10" xfId="0" applyNumberFormat="1" applyFont="1" applyFill="1" applyBorder="1" applyAlignment="1">
      <alignment horizontal="left" vertical="center"/>
    </xf>
    <xf numFmtId="197" fontId="13" fillId="0" borderId="10" xfId="0" applyNumberFormat="1" applyFont="1" applyFill="1" applyBorder="1" applyAlignment="1">
      <alignment horizontal="left" vertical="center"/>
    </xf>
    <xf numFmtId="0" fontId="37" fillId="0" borderId="0" xfId="0" applyFont="1" applyFill="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5" fillId="33" borderId="10" xfId="0" applyFont="1" applyFill="1" applyBorder="1" applyAlignment="1">
      <alignment horizontal="center" vertical="center"/>
    </xf>
    <xf numFmtId="3" fontId="15" fillId="33" borderId="10" xfId="0" applyNumberFormat="1" applyFont="1" applyFill="1" applyBorder="1" applyAlignment="1">
      <alignment horizontal="center" vertical="center"/>
    </xf>
    <xf numFmtId="0" fontId="39" fillId="0" borderId="10" xfId="0" applyFont="1" applyFill="1" applyBorder="1" applyAlignment="1">
      <alignment horizontal="center" vertical="center"/>
    </xf>
    <xf numFmtId="0" fontId="0" fillId="33" borderId="10" xfId="0" applyFont="1" applyFill="1" applyBorder="1" applyAlignment="1">
      <alignment horizontal="center" vertical="center"/>
    </xf>
    <xf numFmtId="187" fontId="39" fillId="0" borderId="10" xfId="0" applyNumberFormat="1" applyFont="1" applyFill="1" applyBorder="1" applyAlignment="1">
      <alignment horizontal="right" vertical="center"/>
    </xf>
    <xf numFmtId="49" fontId="13" fillId="0" borderId="33" xfId="0" applyNumberFormat="1" applyFont="1" applyFill="1" applyBorder="1" applyAlignment="1" applyProtection="1">
      <alignment vertical="center"/>
      <protection locked="0"/>
    </xf>
    <xf numFmtId="0" fontId="13" fillId="0" borderId="10" xfId="0" applyFont="1" applyFill="1" applyBorder="1" applyAlignment="1">
      <alignment horizontal="left"/>
    </xf>
    <xf numFmtId="0" fontId="13" fillId="0" borderId="33" xfId="0" applyFont="1" applyFill="1" applyBorder="1" applyAlignment="1" applyProtection="1">
      <alignment vertical="center"/>
      <protection locked="0"/>
    </xf>
    <xf numFmtId="0" fontId="13" fillId="0" borderId="33" xfId="0" applyFont="1" applyFill="1" applyBorder="1" applyAlignment="1">
      <alignment horizontal="left"/>
    </xf>
    <xf numFmtId="0" fontId="13" fillId="0" borderId="33" xfId="0" applyFont="1" applyFill="1" applyBorder="1" applyAlignment="1">
      <alignment vertical="center"/>
    </xf>
    <xf numFmtId="49" fontId="13" fillId="0" borderId="33" xfId="0" applyNumberFormat="1" applyFont="1" applyFill="1" applyBorder="1" applyAlignment="1">
      <alignment vertical="center"/>
    </xf>
    <xf numFmtId="184" fontId="13" fillId="0" borderId="10" xfId="0" applyNumberFormat="1" applyFont="1" applyFill="1" applyBorder="1" applyAlignment="1">
      <alignment horizontal="center"/>
    </xf>
    <xf numFmtId="184" fontId="0" fillId="0" borderId="0" xfId="0" applyNumberFormat="1" applyAlignment="1">
      <alignment horizontal="center" vertical="center"/>
    </xf>
    <xf numFmtId="49" fontId="30" fillId="0" borderId="22" xfId="0" applyNumberFormat="1" applyFont="1" applyFill="1" applyBorder="1" applyAlignment="1" applyProtection="1">
      <alignment horizontal="center" vertical="center"/>
      <protection locked="0"/>
    </xf>
    <xf numFmtId="49" fontId="30" fillId="0" borderId="10" xfId="0" applyNumberFormat="1" applyFont="1" applyFill="1" applyBorder="1" applyAlignment="1" applyProtection="1">
      <alignment horizontal="center" vertical="center"/>
      <protection locked="0"/>
    </xf>
    <xf numFmtId="49" fontId="30" fillId="0" borderId="13" xfId="0" applyNumberFormat="1" applyFont="1" applyFill="1" applyBorder="1" applyAlignment="1" applyProtection="1">
      <alignment horizontal="center" vertical="center"/>
      <protection locked="0"/>
    </xf>
    <xf numFmtId="193" fontId="39" fillId="0" borderId="11" xfId="42" applyNumberFormat="1" applyFont="1" applyFill="1" applyBorder="1" applyAlignment="1" applyProtection="1">
      <alignment horizontal="right" vertical="center"/>
      <protection locked="0"/>
    </xf>
    <xf numFmtId="193" fontId="39" fillId="0" borderId="11" xfId="0" applyNumberFormat="1" applyFont="1" applyFill="1" applyBorder="1" applyAlignment="1">
      <alignment horizontal="right"/>
    </xf>
    <xf numFmtId="193" fontId="39" fillId="0" borderId="11" xfId="42" applyNumberFormat="1" applyFont="1" applyFill="1" applyBorder="1" applyAlignment="1" applyProtection="1">
      <alignment horizontal="right" vertical="center"/>
      <protection/>
    </xf>
    <xf numFmtId="193" fontId="39" fillId="0" borderId="11" xfId="0" applyNumberFormat="1" applyFont="1" applyFill="1" applyBorder="1" applyAlignment="1">
      <alignment horizontal="right" vertical="center"/>
    </xf>
    <xf numFmtId="193" fontId="39" fillId="0" borderId="11" xfId="0" applyNumberFormat="1" applyFont="1" applyFill="1" applyBorder="1" applyAlignment="1" applyProtection="1">
      <alignment horizontal="right" vertical="center"/>
      <protection/>
    </xf>
    <xf numFmtId="193" fontId="39" fillId="0" borderId="11" xfId="0" applyNumberFormat="1" applyFont="1" applyFill="1" applyBorder="1" applyAlignment="1" applyProtection="1">
      <alignment horizontal="right" vertical="center"/>
      <protection locked="0"/>
    </xf>
    <xf numFmtId="192" fontId="13" fillId="0" borderId="11" xfId="0" applyNumberFormat="1" applyFont="1" applyBorder="1" applyAlignment="1">
      <alignment vertical="center"/>
    </xf>
    <xf numFmtId="192" fontId="15" fillId="33" borderId="11" xfId="0" applyNumberFormat="1" applyFont="1" applyFill="1" applyBorder="1" applyAlignment="1">
      <alignment horizontal="center" vertical="center"/>
    </xf>
    <xf numFmtId="0" fontId="39" fillId="0" borderId="33" xfId="0" applyFont="1" applyFill="1" applyBorder="1" applyAlignment="1">
      <alignment horizontal="right" vertical="center"/>
    </xf>
    <xf numFmtId="0" fontId="22" fillId="33" borderId="33" xfId="0" applyFont="1" applyFill="1" applyBorder="1" applyAlignment="1">
      <alignment horizontal="center" vertical="center"/>
    </xf>
    <xf numFmtId="0" fontId="39" fillId="34" borderId="34" xfId="0" applyFont="1" applyFill="1" applyBorder="1" applyAlignment="1">
      <alignment vertical="center"/>
    </xf>
    <xf numFmtId="0" fontId="39" fillId="34" borderId="13" xfId="0" applyFont="1" applyFill="1" applyBorder="1" applyAlignment="1">
      <alignment vertical="center"/>
    </xf>
    <xf numFmtId="187" fontId="39" fillId="34" borderId="13" xfId="0" applyNumberFormat="1" applyFont="1" applyFill="1" applyBorder="1" applyAlignment="1">
      <alignment vertical="center"/>
    </xf>
    <xf numFmtId="193" fontId="39" fillId="34" borderId="13" xfId="0" applyNumberFormat="1" applyFont="1" applyFill="1" applyBorder="1" applyAlignment="1">
      <alignment vertical="center"/>
    </xf>
    <xf numFmtId="192" fontId="39" fillId="34" borderId="35" xfId="0" applyNumberFormat="1" applyFont="1" applyFill="1" applyBorder="1" applyAlignment="1">
      <alignment vertical="center"/>
    </xf>
    <xf numFmtId="193" fontId="11" fillId="0" borderId="0" xfId="0" applyNumberFormat="1" applyFont="1" applyFill="1" applyBorder="1" applyAlignment="1">
      <alignment horizontal="right" vertical="center"/>
    </xf>
    <xf numFmtId="193" fontId="11" fillId="0" borderId="0" xfId="0" applyNumberFormat="1" applyFont="1" applyBorder="1" applyAlignment="1">
      <alignment horizontal="right" vertical="center"/>
    </xf>
    <xf numFmtId="193" fontId="11" fillId="0" borderId="0" xfId="0" applyNumberFormat="1" applyFont="1" applyBorder="1" applyAlignment="1">
      <alignment horizontal="right" vertical="center" wrapText="1"/>
    </xf>
    <xf numFmtId="193" fontId="11" fillId="0" borderId="0" xfId="0" applyNumberFormat="1" applyFont="1" applyAlignment="1">
      <alignment/>
    </xf>
    <xf numFmtId="0" fontId="28" fillId="0" borderId="0" xfId="0" applyFont="1" applyFill="1" applyBorder="1" applyAlignment="1" applyProtection="1">
      <alignment horizontal="center" vertical="center"/>
      <protection locked="0"/>
    </xf>
    <xf numFmtId="0" fontId="28" fillId="0" borderId="0" xfId="0" applyNumberFormat="1" applyFont="1" applyFill="1" applyBorder="1" applyAlignment="1" applyProtection="1">
      <alignment horizontal="center" vertical="center"/>
      <protection locked="0"/>
    </xf>
    <xf numFmtId="0" fontId="13" fillId="0" borderId="10" xfId="0" applyNumberFormat="1" applyFont="1" applyFill="1" applyBorder="1" applyAlignment="1">
      <alignment horizontal="left" vertical="center"/>
    </xf>
    <xf numFmtId="0" fontId="13" fillId="0" borderId="10" xfId="0" applyNumberFormat="1" applyFont="1" applyFill="1" applyBorder="1" applyAlignment="1" applyProtection="1">
      <alignment horizontal="left" vertical="center"/>
      <protection locked="0"/>
    </xf>
    <xf numFmtId="0" fontId="13" fillId="0" borderId="10" xfId="0" applyNumberFormat="1" applyFont="1" applyFill="1" applyBorder="1" applyAlignment="1" applyProtection="1">
      <alignment horizontal="left" vertical="center"/>
      <protection/>
    </xf>
    <xf numFmtId="0" fontId="13" fillId="0" borderId="33" xfId="0" applyNumberFormat="1" applyFont="1" applyFill="1" applyBorder="1" applyAlignment="1" applyProtection="1">
      <alignment vertical="center"/>
      <protection locked="0"/>
    </xf>
    <xf numFmtId="0" fontId="13" fillId="0" borderId="33" xfId="0" applyNumberFormat="1" applyFont="1" applyFill="1" applyBorder="1" applyAlignment="1">
      <alignment vertical="center"/>
    </xf>
    <xf numFmtId="0" fontId="13" fillId="0" borderId="33" xfId="0" applyNumberFormat="1" applyFont="1" applyFill="1" applyBorder="1" applyAlignment="1" applyProtection="1">
      <alignment vertical="center"/>
      <protection/>
    </xf>
    <xf numFmtId="184" fontId="13" fillId="0" borderId="36" xfId="0" applyNumberFormat="1" applyFont="1" applyFill="1" applyBorder="1" applyAlignment="1">
      <alignment horizontal="center" vertical="center"/>
    </xf>
    <xf numFmtId="0" fontId="23" fillId="0" borderId="30" xfId="0" applyFont="1" applyFill="1" applyBorder="1" applyAlignment="1">
      <alignment horizontal="center" vertical="center"/>
    </xf>
    <xf numFmtId="0" fontId="15" fillId="33" borderId="22" xfId="0" applyFont="1" applyFill="1" applyBorder="1" applyAlignment="1">
      <alignment horizontal="center" vertical="center"/>
    </xf>
    <xf numFmtId="3" fontId="15" fillId="33" borderId="22" xfId="0" applyNumberFormat="1" applyFont="1" applyFill="1" applyBorder="1" applyAlignment="1">
      <alignment horizontal="center" vertical="center"/>
    </xf>
    <xf numFmtId="187" fontId="15" fillId="33" borderId="22" xfId="0" applyNumberFormat="1" applyFont="1" applyFill="1" applyBorder="1" applyAlignment="1">
      <alignment horizontal="center" vertical="center"/>
    </xf>
    <xf numFmtId="193" fontId="15" fillId="33" borderId="22" xfId="0" applyNumberFormat="1" applyFont="1" applyFill="1" applyBorder="1" applyAlignment="1">
      <alignment horizontal="center" vertical="center"/>
    </xf>
    <xf numFmtId="192" fontId="15" fillId="33" borderId="32" xfId="0" applyNumberFormat="1" applyFont="1" applyFill="1" applyBorder="1" applyAlignment="1">
      <alignment horizontal="center" vertical="center"/>
    </xf>
    <xf numFmtId="0" fontId="39" fillId="34" borderId="13" xfId="0" applyFont="1" applyFill="1" applyBorder="1" applyAlignment="1">
      <alignment horizontal="center" vertical="center"/>
    </xf>
    <xf numFmtId="0" fontId="22" fillId="0" borderId="31" xfId="0" applyFont="1" applyFill="1" applyBorder="1" applyAlignment="1">
      <alignment horizontal="right" vertical="center"/>
    </xf>
    <xf numFmtId="193" fontId="39" fillId="0" borderId="37" xfId="0" applyNumberFormat="1" applyFont="1" applyFill="1" applyBorder="1" applyAlignment="1">
      <alignment vertical="center"/>
    </xf>
    <xf numFmtId="193" fontId="39" fillId="0" borderId="11" xfId="42" applyNumberFormat="1" applyFont="1" applyFill="1" applyBorder="1" applyAlignment="1" applyProtection="1">
      <alignment vertical="center"/>
      <protection locked="0"/>
    </xf>
    <xf numFmtId="193" fontId="39" fillId="0" borderId="11" xfId="0" applyNumberFormat="1" applyFont="1" applyFill="1" applyBorder="1" applyAlignment="1">
      <alignment vertical="center"/>
    </xf>
    <xf numFmtId="193" fontId="39" fillId="0" borderId="11" xfId="42" applyNumberFormat="1" applyFont="1" applyFill="1" applyBorder="1" applyAlignment="1" applyProtection="1">
      <alignment vertical="center"/>
      <protection/>
    </xf>
    <xf numFmtId="193" fontId="39" fillId="0" borderId="11" xfId="0" applyNumberFormat="1" applyFont="1" applyFill="1" applyBorder="1" applyAlignment="1" applyProtection="1">
      <alignment vertical="center"/>
      <protection/>
    </xf>
    <xf numFmtId="193" fontId="39" fillId="0" borderId="11" xfId="0" applyNumberFormat="1" applyFont="1" applyFill="1" applyBorder="1" applyAlignment="1" applyProtection="1">
      <alignment vertical="center"/>
      <protection locked="0"/>
    </xf>
    <xf numFmtId="0" fontId="13" fillId="0" borderId="34" xfId="0" applyFont="1" applyFill="1" applyBorder="1" applyAlignment="1">
      <alignment horizontal="left"/>
    </xf>
    <xf numFmtId="184" fontId="13" fillId="0" borderId="13" xfId="0" applyNumberFormat="1" applyFont="1" applyFill="1" applyBorder="1" applyAlignment="1">
      <alignment horizontal="center"/>
    </xf>
    <xf numFmtId="0" fontId="13" fillId="0" borderId="13" xfId="0" applyFont="1" applyFill="1" applyBorder="1" applyAlignment="1">
      <alignment horizontal="left" vertical="center"/>
    </xf>
    <xf numFmtId="0" fontId="13" fillId="0" borderId="13" xfId="0" applyFont="1" applyFill="1" applyBorder="1" applyAlignment="1">
      <alignment horizontal="left"/>
    </xf>
    <xf numFmtId="193" fontId="39" fillId="0" borderId="35" xfId="0" applyNumberFormat="1" applyFont="1" applyFill="1" applyBorder="1" applyAlignment="1">
      <alignment horizontal="right"/>
    </xf>
    <xf numFmtId="0" fontId="31" fillId="35" borderId="38" xfId="0" applyFont="1" applyFill="1" applyBorder="1" applyAlignment="1">
      <alignment horizontal="right"/>
    </xf>
    <xf numFmtId="49" fontId="31" fillId="35" borderId="39" xfId="0" applyNumberFormat="1" applyFont="1" applyFill="1" applyBorder="1" applyAlignment="1">
      <alignment horizontal="right"/>
    </xf>
    <xf numFmtId="0" fontId="31" fillId="35" borderId="39" xfId="0" applyFont="1" applyFill="1" applyBorder="1" applyAlignment="1">
      <alignment/>
    </xf>
    <xf numFmtId="0" fontId="31" fillId="35" borderId="39" xfId="0" applyFont="1" applyFill="1" applyBorder="1" applyAlignment="1">
      <alignment horizontal="right"/>
    </xf>
    <xf numFmtId="0" fontId="31" fillId="35" borderId="40" xfId="0" applyFont="1" applyFill="1" applyBorder="1" applyAlignment="1">
      <alignment horizontal="right"/>
    </xf>
    <xf numFmtId="0" fontId="31" fillId="36" borderId="38" xfId="0" applyFont="1" applyFill="1" applyBorder="1" applyAlignment="1">
      <alignment horizontal="right"/>
    </xf>
    <xf numFmtId="4" fontId="31" fillId="36" borderId="39" xfId="0" applyNumberFormat="1" applyFont="1" applyFill="1" applyBorder="1" applyAlignment="1">
      <alignment horizontal="right"/>
    </xf>
    <xf numFmtId="3" fontId="31" fillId="36" borderId="40" xfId="0" applyNumberFormat="1" applyFont="1" applyFill="1" applyBorder="1" applyAlignment="1">
      <alignment horizontal="right"/>
    </xf>
    <xf numFmtId="0" fontId="31" fillId="35" borderId="38" xfId="0" applyFont="1" applyFill="1" applyBorder="1" applyAlignment="1">
      <alignment/>
    </xf>
    <xf numFmtId="4" fontId="31" fillId="35" borderId="39" xfId="0" applyNumberFormat="1" applyFont="1" applyFill="1" applyBorder="1" applyAlignment="1">
      <alignment horizontal="right"/>
    </xf>
    <xf numFmtId="3" fontId="31" fillId="35" borderId="39" xfId="0" applyNumberFormat="1" applyFont="1" applyFill="1" applyBorder="1" applyAlignment="1">
      <alignment horizontal="right"/>
    </xf>
    <xf numFmtId="10" fontId="31" fillId="35" borderId="40" xfId="0" applyNumberFormat="1" applyFont="1" applyFill="1" applyBorder="1" applyAlignment="1">
      <alignment horizontal="right"/>
    </xf>
    <xf numFmtId="3" fontId="31" fillId="36" borderId="39" xfId="0" applyNumberFormat="1" applyFont="1" applyFill="1" applyBorder="1" applyAlignment="1">
      <alignment horizontal="right"/>
    </xf>
    <xf numFmtId="10" fontId="31" fillId="36" borderId="40" xfId="0" applyNumberFormat="1" applyFont="1" applyFill="1" applyBorder="1" applyAlignment="1">
      <alignment horizontal="right"/>
    </xf>
    <xf numFmtId="0" fontId="31" fillId="36" borderId="38" xfId="0" applyFont="1" applyFill="1" applyBorder="1" applyAlignment="1">
      <alignment/>
    </xf>
    <xf numFmtId="0" fontId="31" fillId="0" borderId="0" xfId="0" applyFont="1" applyFill="1" applyAlignment="1">
      <alignment/>
    </xf>
    <xf numFmtId="0" fontId="31" fillId="35" borderId="41" xfId="0" applyFont="1" applyFill="1" applyBorder="1" applyAlignment="1">
      <alignment horizontal="right"/>
    </xf>
    <xf numFmtId="0" fontId="31" fillId="36" borderId="41" xfId="0" applyFont="1" applyFill="1" applyBorder="1" applyAlignment="1">
      <alignment horizontal="right"/>
    </xf>
    <xf numFmtId="4" fontId="31" fillId="36" borderId="41" xfId="0" applyNumberFormat="1" applyFont="1" applyFill="1" applyBorder="1" applyAlignment="1">
      <alignment horizontal="right"/>
    </xf>
    <xf numFmtId="3" fontId="31" fillId="36" borderId="41" xfId="0" applyNumberFormat="1" applyFont="1" applyFill="1" applyBorder="1" applyAlignment="1">
      <alignment horizontal="right"/>
    </xf>
    <xf numFmtId="4" fontId="31" fillId="35" borderId="41" xfId="0" applyNumberFormat="1" applyFont="1" applyFill="1" applyBorder="1" applyAlignment="1">
      <alignment horizontal="right"/>
    </xf>
    <xf numFmtId="3" fontId="31" fillId="35" borderId="41" xfId="0" applyNumberFormat="1" applyFont="1" applyFill="1" applyBorder="1" applyAlignment="1">
      <alignment horizontal="right"/>
    </xf>
    <xf numFmtId="10" fontId="31" fillId="35" borderId="41" xfId="0" applyNumberFormat="1" applyFont="1" applyFill="1" applyBorder="1" applyAlignment="1">
      <alignment horizontal="right"/>
    </xf>
    <xf numFmtId="10" fontId="31" fillId="36" borderId="41" xfId="0" applyNumberFormat="1" applyFont="1" applyFill="1" applyBorder="1" applyAlignment="1">
      <alignment horizontal="right"/>
    </xf>
    <xf numFmtId="0" fontId="31" fillId="36" borderId="41" xfId="0" applyFont="1" applyFill="1" applyBorder="1" applyAlignment="1">
      <alignment/>
    </xf>
    <xf numFmtId="0" fontId="31" fillId="35" borderId="0" xfId="0" applyFont="1" applyFill="1" applyAlignment="1">
      <alignment horizontal="right"/>
    </xf>
    <xf numFmtId="49" fontId="31" fillId="35" borderId="0" xfId="0" applyNumberFormat="1" applyFont="1" applyFill="1" applyAlignment="1">
      <alignment horizontal="right"/>
    </xf>
    <xf numFmtId="0" fontId="31" fillId="35" borderId="0" xfId="0" applyFont="1" applyFill="1" applyAlignment="1">
      <alignment/>
    </xf>
    <xf numFmtId="0" fontId="31" fillId="36" borderId="0" xfId="0" applyFont="1" applyFill="1" applyAlignment="1">
      <alignment horizontal="right"/>
    </xf>
    <xf numFmtId="4" fontId="31" fillId="36" borderId="0" xfId="0" applyNumberFormat="1" applyFont="1" applyFill="1" applyAlignment="1">
      <alignment horizontal="right"/>
    </xf>
    <xf numFmtId="3" fontId="31" fillId="36" borderId="0" xfId="0" applyNumberFormat="1" applyFont="1" applyFill="1" applyAlignment="1">
      <alignment horizontal="right"/>
    </xf>
    <xf numFmtId="4" fontId="31" fillId="35" borderId="0" xfId="0" applyNumberFormat="1" applyFont="1" applyFill="1" applyAlignment="1">
      <alignment horizontal="right"/>
    </xf>
    <xf numFmtId="3" fontId="31" fillId="35" borderId="0" xfId="0" applyNumberFormat="1" applyFont="1" applyFill="1" applyAlignment="1">
      <alignment horizontal="right"/>
    </xf>
    <xf numFmtId="10" fontId="31" fillId="35" borderId="0" xfId="0" applyNumberFormat="1" applyFont="1" applyFill="1" applyAlignment="1">
      <alignment horizontal="right"/>
    </xf>
    <xf numFmtId="10" fontId="31" fillId="36" borderId="0" xfId="0" applyNumberFormat="1" applyFont="1" applyFill="1" applyAlignment="1">
      <alignment horizontal="right"/>
    </xf>
    <xf numFmtId="0" fontId="31" fillId="36" borderId="0" xfId="0" applyFont="1" applyFill="1" applyAlignment="1">
      <alignment/>
    </xf>
    <xf numFmtId="0" fontId="13" fillId="0" borderId="33" xfId="0" applyFont="1" applyFill="1" applyBorder="1" applyAlignment="1" applyProtection="1">
      <alignment vertical="center"/>
      <protection/>
    </xf>
    <xf numFmtId="0" fontId="41" fillId="0" borderId="0" xfId="0" applyFont="1" applyFill="1" applyBorder="1" applyAlignment="1" applyProtection="1">
      <alignment vertical="center"/>
      <protection locked="0"/>
    </xf>
    <xf numFmtId="0" fontId="41" fillId="0" borderId="0" xfId="0" applyFont="1" applyFill="1" applyBorder="1" applyAlignment="1" applyProtection="1">
      <alignment vertical="center" wrapText="1"/>
      <protection locked="0"/>
    </xf>
    <xf numFmtId="0" fontId="42" fillId="0" borderId="0" xfId="0" applyFont="1" applyFill="1" applyBorder="1" applyAlignment="1" applyProtection="1">
      <alignment vertical="center"/>
      <protection locked="0"/>
    </xf>
    <xf numFmtId="192" fontId="30" fillId="0" borderId="11" xfId="0" applyNumberFormat="1" applyFont="1" applyFill="1" applyBorder="1" applyAlignment="1" applyProtection="1">
      <alignment horizontal="right" vertical="center"/>
      <protection locked="0"/>
    </xf>
    <xf numFmtId="0" fontId="13" fillId="0" borderId="33" xfId="0" applyFont="1" applyFill="1" applyBorder="1" applyAlignment="1" applyProtection="1">
      <alignment horizontal="left" vertical="center"/>
      <protection locked="0"/>
    </xf>
    <xf numFmtId="0" fontId="13" fillId="0" borderId="33" xfId="0" applyFont="1" applyFill="1" applyBorder="1" applyAlignment="1">
      <alignment horizontal="left" vertical="center"/>
    </xf>
    <xf numFmtId="49" fontId="13" fillId="0" borderId="33" xfId="0" applyNumberFormat="1" applyFont="1" applyFill="1" applyBorder="1" applyAlignment="1">
      <alignment horizontal="left" vertical="center"/>
    </xf>
    <xf numFmtId="49" fontId="13" fillId="0" borderId="33" xfId="0" applyNumberFormat="1" applyFont="1" applyFill="1" applyBorder="1" applyAlignment="1" applyProtection="1">
      <alignment horizontal="left" vertical="center"/>
      <protection locked="0"/>
    </xf>
    <xf numFmtId="200" fontId="39" fillId="0" borderId="10" xfId="0" applyNumberFormat="1" applyFont="1" applyFill="1" applyBorder="1" applyAlignment="1">
      <alignment vertical="center"/>
    </xf>
    <xf numFmtId="200" fontId="39" fillId="0" borderId="10" xfId="42" applyNumberFormat="1" applyFont="1" applyFill="1" applyBorder="1" applyAlignment="1" applyProtection="1">
      <alignment vertical="center"/>
      <protection locked="0"/>
    </xf>
    <xf numFmtId="200" fontId="39" fillId="0" borderId="10" xfId="42" applyNumberFormat="1" applyFont="1" applyFill="1" applyBorder="1" applyAlignment="1" applyProtection="1">
      <alignment vertical="center"/>
      <protection/>
    </xf>
    <xf numFmtId="200" fontId="39" fillId="0" borderId="36" xfId="0" applyNumberFormat="1" applyFont="1" applyFill="1" applyBorder="1" applyAlignment="1">
      <alignment vertical="center"/>
    </xf>
    <xf numFmtId="200" fontId="39" fillId="0" borderId="10" xfId="0" applyNumberFormat="1" applyFont="1" applyFill="1" applyBorder="1" applyAlignment="1">
      <alignment horizontal="right" vertical="center"/>
    </xf>
    <xf numFmtId="200" fontId="39" fillId="0" borderId="10" xfId="42" applyNumberFormat="1" applyFont="1" applyFill="1" applyBorder="1" applyAlignment="1" applyProtection="1">
      <alignment horizontal="right" vertical="center"/>
      <protection locked="0"/>
    </xf>
    <xf numFmtId="200" fontId="39" fillId="0" borderId="10" xfId="0" applyNumberFormat="1" applyFont="1" applyFill="1" applyBorder="1" applyAlignment="1">
      <alignment horizontal="right"/>
    </xf>
    <xf numFmtId="200" fontId="39" fillId="0" borderId="10" xfId="42" applyNumberFormat="1" applyFont="1" applyFill="1" applyBorder="1" applyAlignment="1" applyProtection="1">
      <alignment horizontal="right" vertical="center"/>
      <protection/>
    </xf>
    <xf numFmtId="200" fontId="39" fillId="0" borderId="10" xfId="0" applyNumberFormat="1" applyFont="1" applyFill="1" applyBorder="1" applyAlignment="1" applyProtection="1">
      <alignment vertical="center"/>
      <protection/>
    </xf>
    <xf numFmtId="200" fontId="39" fillId="0" borderId="10" xfId="0" applyNumberFormat="1" applyFont="1" applyFill="1" applyBorder="1" applyAlignment="1" applyProtection="1">
      <alignment horizontal="right" vertical="center"/>
      <protection/>
    </xf>
    <xf numFmtId="200" fontId="39" fillId="0" borderId="10" xfId="0" applyNumberFormat="1" applyFont="1" applyFill="1" applyBorder="1" applyAlignment="1" applyProtection="1">
      <alignment vertical="center"/>
      <protection locked="0"/>
    </xf>
    <xf numFmtId="200" fontId="39" fillId="0" borderId="10" xfId="0" applyNumberFormat="1" applyFont="1" applyFill="1" applyBorder="1" applyAlignment="1" applyProtection="1">
      <alignment horizontal="right" vertical="center"/>
      <protection locked="0"/>
    </xf>
    <xf numFmtId="200" fontId="39" fillId="0" borderId="13" xfId="0" applyNumberFormat="1" applyFont="1" applyFill="1" applyBorder="1" applyAlignment="1">
      <alignment horizontal="right"/>
    </xf>
    <xf numFmtId="200" fontId="15" fillId="33" borderId="22" xfId="0" applyNumberFormat="1" applyFont="1" applyFill="1" applyBorder="1" applyAlignment="1">
      <alignment horizontal="center" vertical="center"/>
    </xf>
    <xf numFmtId="200" fontId="11" fillId="0" borderId="0" xfId="0" applyNumberFormat="1" applyFont="1" applyFill="1" applyBorder="1" applyAlignment="1">
      <alignment horizontal="center" vertical="center"/>
    </xf>
    <xf numFmtId="200" fontId="11" fillId="0" borderId="0" xfId="0" applyNumberFormat="1" applyFont="1" applyBorder="1" applyAlignment="1">
      <alignment horizontal="center" vertical="center"/>
    </xf>
    <xf numFmtId="200" fontId="11" fillId="0" borderId="0" xfId="0" applyNumberFormat="1" applyFont="1" applyBorder="1" applyAlignment="1">
      <alignment horizontal="right" vertical="center" wrapText="1"/>
    </xf>
    <xf numFmtId="200" fontId="11" fillId="0" borderId="0" xfId="0" applyNumberFormat="1" applyFont="1" applyAlignment="1">
      <alignment/>
    </xf>
    <xf numFmtId="192" fontId="13" fillId="0" borderId="11" xfId="60" applyNumberFormat="1" applyFont="1" applyFill="1" applyBorder="1" applyAlignment="1" applyProtection="1">
      <alignment vertical="center"/>
      <protection/>
    </xf>
    <xf numFmtId="1" fontId="22" fillId="0" borderId="42" xfId="0" applyNumberFormat="1" applyFont="1" applyFill="1" applyBorder="1" applyAlignment="1" applyProtection="1">
      <alignment horizontal="right" vertical="center"/>
      <protection/>
    </xf>
    <xf numFmtId="1" fontId="22" fillId="0" borderId="43" xfId="0" applyNumberFormat="1" applyFont="1" applyFill="1" applyBorder="1" applyAlignment="1" applyProtection="1">
      <alignment horizontal="right" vertical="center"/>
      <protection/>
    </xf>
    <xf numFmtId="184" fontId="13" fillId="0" borderId="10" xfId="0" applyNumberFormat="1" applyFont="1" applyFill="1" applyBorder="1" applyAlignment="1" applyProtection="1">
      <alignment vertical="center"/>
      <protection locked="0"/>
    </xf>
    <xf numFmtId="0" fontId="13" fillId="0" borderId="10" xfId="0" applyFont="1" applyFill="1" applyBorder="1" applyAlignment="1" applyProtection="1">
      <alignment vertical="center"/>
      <protection locked="0"/>
    </xf>
    <xf numFmtId="0" fontId="13" fillId="0" borderId="10" xfId="0" applyFont="1" applyFill="1" applyBorder="1" applyAlignment="1">
      <alignment/>
    </xf>
    <xf numFmtId="49" fontId="13" fillId="0" borderId="10" xfId="0" applyNumberFormat="1" applyFont="1" applyFill="1" applyBorder="1" applyAlignment="1" applyProtection="1">
      <alignment vertical="center"/>
      <protection locked="0"/>
    </xf>
    <xf numFmtId="197" fontId="13" fillId="0" borderId="10" xfId="0" applyNumberFormat="1" applyFont="1" applyFill="1" applyBorder="1" applyAlignment="1">
      <alignment vertical="center"/>
    </xf>
    <xf numFmtId="49" fontId="13" fillId="0" borderId="10" xfId="0" applyNumberFormat="1" applyFont="1" applyFill="1" applyBorder="1" applyAlignment="1">
      <alignment vertical="center"/>
    </xf>
    <xf numFmtId="0" fontId="13" fillId="0" borderId="10" xfId="0" applyNumberFormat="1" applyFont="1" applyFill="1" applyBorder="1" applyAlignment="1" applyProtection="1">
      <alignment horizontal="center" vertical="center"/>
      <protection locked="0"/>
    </xf>
    <xf numFmtId="0" fontId="13" fillId="0" borderId="10" xfId="0" applyFont="1" applyFill="1" applyBorder="1" applyAlignment="1" applyProtection="1">
      <alignment vertical="center"/>
      <protection/>
    </xf>
    <xf numFmtId="200" fontId="25" fillId="0" borderId="29" xfId="0" applyNumberFormat="1" applyFont="1" applyFill="1" applyBorder="1" applyAlignment="1" applyProtection="1">
      <alignment horizontal="center" vertical="center" wrapText="1"/>
      <protection/>
    </xf>
    <xf numFmtId="193" fontId="25" fillId="0" borderId="44" xfId="0" applyNumberFormat="1" applyFont="1" applyFill="1" applyBorder="1" applyAlignment="1" applyProtection="1">
      <alignment horizontal="center" vertical="center" wrapText="1"/>
      <protection/>
    </xf>
    <xf numFmtId="0" fontId="13" fillId="0" borderId="10" xfId="0" applyFont="1" applyFill="1" applyBorder="1" applyAlignment="1">
      <alignment vertical="center"/>
    </xf>
    <xf numFmtId="0" fontId="13" fillId="0" borderId="33" xfId="0" applyFont="1" applyFill="1" applyBorder="1" applyAlignment="1">
      <alignment/>
    </xf>
    <xf numFmtId="0" fontId="22" fillId="0" borderId="42" xfId="0" applyFont="1" applyFill="1" applyBorder="1" applyAlignment="1">
      <alignment horizontal="right" vertical="center"/>
    </xf>
    <xf numFmtId="0" fontId="22" fillId="0" borderId="43" xfId="0" applyFont="1" applyFill="1" applyBorder="1" applyAlignment="1">
      <alignment horizontal="right" vertical="center"/>
    </xf>
    <xf numFmtId="0" fontId="43" fillId="36" borderId="41" xfId="0" applyFont="1" applyFill="1" applyBorder="1" applyAlignment="1">
      <alignment horizontal="right"/>
    </xf>
    <xf numFmtId="4" fontId="43" fillId="36" borderId="41" xfId="0" applyNumberFormat="1" applyFont="1" applyFill="1" applyBorder="1" applyAlignment="1">
      <alignment horizontal="right"/>
    </xf>
    <xf numFmtId="3" fontId="43" fillId="36" borderId="41" xfId="0" applyNumberFormat="1" applyFont="1" applyFill="1" applyBorder="1" applyAlignment="1">
      <alignment horizontal="right"/>
    </xf>
    <xf numFmtId="4" fontId="43" fillId="35" borderId="41" xfId="0" applyNumberFormat="1" applyFont="1" applyFill="1" applyBorder="1" applyAlignment="1">
      <alignment horizontal="right"/>
    </xf>
    <xf numFmtId="3" fontId="43" fillId="35" borderId="41" xfId="0" applyNumberFormat="1" applyFont="1" applyFill="1" applyBorder="1" applyAlignment="1">
      <alignment horizontal="right"/>
    </xf>
    <xf numFmtId="10" fontId="43" fillId="35" borderId="41" xfId="0" applyNumberFormat="1" applyFont="1" applyFill="1" applyBorder="1" applyAlignment="1">
      <alignment horizontal="right"/>
    </xf>
    <xf numFmtId="10" fontId="43" fillId="36" borderId="41" xfId="0" applyNumberFormat="1" applyFont="1" applyFill="1" applyBorder="1" applyAlignment="1">
      <alignment horizontal="right"/>
    </xf>
    <xf numFmtId="0" fontId="43" fillId="35" borderId="41" xfId="0" applyFont="1" applyFill="1" applyBorder="1" applyAlignment="1">
      <alignment horizontal="right"/>
    </xf>
    <xf numFmtId="0" fontId="43" fillId="36" borderId="41" xfId="0" applyFont="1" applyFill="1" applyBorder="1" applyAlignment="1">
      <alignment/>
    </xf>
    <xf numFmtId="0" fontId="43" fillId="0" borderId="0" xfId="0" applyFont="1" applyFill="1" applyAlignment="1">
      <alignment/>
    </xf>
    <xf numFmtId="192" fontId="13" fillId="0" borderId="11" xfId="42" applyNumberFormat="1" applyFont="1" applyFill="1" applyBorder="1" applyAlignment="1" applyProtection="1">
      <alignment vertical="center"/>
      <protection/>
    </xf>
    <xf numFmtId="187" fontId="25" fillId="0" borderId="29" xfId="0" applyNumberFormat="1" applyFont="1" applyFill="1" applyBorder="1" applyAlignment="1" applyProtection="1">
      <alignment horizontal="center" wrapText="1"/>
      <protection/>
    </xf>
    <xf numFmtId="193" fontId="25" fillId="0" borderId="29" xfId="0" applyNumberFormat="1" applyFont="1" applyFill="1" applyBorder="1" applyAlignment="1" applyProtection="1">
      <alignment horizontal="center" wrapText="1"/>
      <protection/>
    </xf>
    <xf numFmtId="192" fontId="25" fillId="0" borderId="29" xfId="0" applyNumberFormat="1" applyFont="1" applyFill="1" applyBorder="1" applyAlignment="1" applyProtection="1">
      <alignment horizontal="center" wrapText="1"/>
      <protection/>
    </xf>
    <xf numFmtId="192" fontId="25" fillId="0" borderId="44" xfId="0" applyNumberFormat="1" applyFont="1" applyFill="1" applyBorder="1" applyAlignment="1" applyProtection="1">
      <alignment horizontal="center" wrapText="1"/>
      <protection/>
    </xf>
    <xf numFmtId="192" fontId="30" fillId="0" borderId="35" xfId="0" applyNumberFormat="1" applyFont="1" applyFill="1" applyBorder="1" applyAlignment="1" applyProtection="1">
      <alignment horizontal="right" vertical="center"/>
      <protection locked="0"/>
    </xf>
    <xf numFmtId="2" fontId="31" fillId="35" borderId="41" xfId="0" applyNumberFormat="1" applyFont="1" applyFill="1" applyBorder="1" applyAlignment="1">
      <alignment/>
    </xf>
    <xf numFmtId="2" fontId="43" fillId="35" borderId="41" xfId="0" applyNumberFormat="1" applyFont="1" applyFill="1" applyBorder="1" applyAlignment="1">
      <alignment/>
    </xf>
    <xf numFmtId="0" fontId="39" fillId="0" borderId="45" xfId="0" applyFont="1" applyFill="1" applyBorder="1" applyAlignment="1" applyProtection="1">
      <alignment horizontal="right" vertical="center"/>
      <protection/>
    </xf>
    <xf numFmtId="0" fontId="13" fillId="0" borderId="36" xfId="0" applyFont="1" applyBorder="1" applyAlignment="1">
      <alignment vertical="center"/>
    </xf>
    <xf numFmtId="0" fontId="13" fillId="0" borderId="36" xfId="0" applyFont="1" applyBorder="1" applyAlignment="1">
      <alignment horizontal="center" vertical="center"/>
    </xf>
    <xf numFmtId="3" fontId="13" fillId="0" borderId="36" xfId="0" applyNumberFormat="1" applyFont="1" applyBorder="1" applyAlignment="1">
      <alignment horizontal="center" vertical="center"/>
    </xf>
    <xf numFmtId="187" fontId="39" fillId="0" borderId="36" xfId="0" applyNumberFormat="1" applyFont="1" applyBorder="1" applyAlignment="1">
      <alignment horizontal="right" vertical="center"/>
    </xf>
    <xf numFmtId="193" fontId="39" fillId="0" borderId="36" xfId="0" applyNumberFormat="1" applyFont="1" applyBorder="1" applyAlignment="1">
      <alignment vertical="center"/>
    </xf>
    <xf numFmtId="192" fontId="13" fillId="0" borderId="37" xfId="0" applyNumberFormat="1" applyFont="1" applyBorder="1" applyAlignment="1">
      <alignment vertical="center"/>
    </xf>
    <xf numFmtId="0" fontId="39" fillId="0" borderId="34" xfId="0" applyFont="1" applyFill="1" applyBorder="1" applyAlignment="1" applyProtection="1">
      <alignment horizontal="right" vertical="center"/>
      <protection/>
    </xf>
    <xf numFmtId="0" fontId="13" fillId="0" borderId="13" xfId="0" applyFont="1" applyBorder="1" applyAlignment="1">
      <alignment vertical="center"/>
    </xf>
    <xf numFmtId="0" fontId="13" fillId="0" borderId="13" xfId="0" applyFont="1" applyBorder="1" applyAlignment="1">
      <alignment horizontal="center" vertical="center"/>
    </xf>
    <xf numFmtId="3" fontId="13" fillId="0" borderId="13" xfId="0" applyNumberFormat="1" applyFont="1" applyBorder="1" applyAlignment="1">
      <alignment horizontal="center" vertical="center"/>
    </xf>
    <xf numFmtId="187" fontId="39" fillId="0" borderId="13" xfId="0" applyNumberFormat="1" applyFont="1" applyBorder="1" applyAlignment="1">
      <alignment horizontal="right" vertical="center"/>
    </xf>
    <xf numFmtId="193" fontId="39" fillId="0" borderId="13" xfId="0" applyNumberFormat="1" applyFont="1" applyBorder="1" applyAlignment="1">
      <alignment vertical="center"/>
    </xf>
    <xf numFmtId="192" fontId="13" fillId="0" borderId="35" xfId="0" applyNumberFormat="1" applyFont="1" applyBorder="1" applyAlignment="1">
      <alignment vertical="center"/>
    </xf>
    <xf numFmtId="4" fontId="13" fillId="0" borderId="10" xfId="0" applyNumberFormat="1" applyFont="1" applyFill="1" applyBorder="1" applyAlignment="1" applyProtection="1">
      <alignment horizontal="left" vertical="center"/>
      <protection locked="0"/>
    </xf>
    <xf numFmtId="4" fontId="13" fillId="0" borderId="10" xfId="0" applyNumberFormat="1" applyFont="1" applyFill="1" applyBorder="1" applyAlignment="1">
      <alignment horizontal="left" vertical="center"/>
    </xf>
    <xf numFmtId="0" fontId="45" fillId="36" borderId="38" xfId="0" applyFont="1" applyFill="1" applyBorder="1" applyAlignment="1">
      <alignment/>
    </xf>
    <xf numFmtId="0" fontId="45" fillId="36" borderId="38" xfId="0" applyFont="1" applyFill="1" applyBorder="1" applyAlignment="1">
      <alignment horizontal="left"/>
    </xf>
    <xf numFmtId="0" fontId="13" fillId="0" borderId="10" xfId="57" applyNumberFormat="1" applyFont="1" applyFill="1" applyBorder="1" applyAlignment="1" applyProtection="1">
      <alignment horizontal="left" vertical="center"/>
      <protection locked="0"/>
    </xf>
    <xf numFmtId="184" fontId="13" fillId="0" borderId="10" xfId="57" applyNumberFormat="1" applyFont="1" applyFill="1" applyBorder="1" applyAlignment="1" applyProtection="1">
      <alignment horizontal="center" vertical="center"/>
      <protection locked="0"/>
    </xf>
    <xf numFmtId="0" fontId="13" fillId="0" borderId="10" xfId="57" applyNumberFormat="1" applyFont="1" applyFill="1" applyBorder="1" applyAlignment="1">
      <alignment horizontal="left" vertical="center"/>
      <protection/>
    </xf>
    <xf numFmtId="184" fontId="13" fillId="0" borderId="10" xfId="57" applyNumberFormat="1" applyFont="1" applyFill="1" applyBorder="1" applyAlignment="1">
      <alignment horizontal="center" vertical="center"/>
      <protection/>
    </xf>
    <xf numFmtId="0" fontId="13" fillId="0" borderId="10" xfId="57" applyNumberFormat="1" applyFont="1" applyFill="1" applyBorder="1" applyAlignment="1">
      <alignment horizontal="center" vertical="center"/>
      <protection/>
    </xf>
    <xf numFmtId="0" fontId="13" fillId="0" borderId="10" xfId="0" applyNumberFormat="1" applyFont="1" applyFill="1" applyBorder="1" applyAlignment="1">
      <alignment horizontal="center" vertical="center"/>
    </xf>
    <xf numFmtId="0" fontId="13" fillId="0" borderId="10" xfId="57" applyNumberFormat="1" applyFont="1" applyFill="1" applyBorder="1" applyAlignment="1" applyProtection="1">
      <alignment horizontal="left" vertical="center"/>
      <protection/>
    </xf>
    <xf numFmtId="184" fontId="13" fillId="0" borderId="10" xfId="57" applyNumberFormat="1" applyFont="1" applyFill="1" applyBorder="1" applyAlignment="1" applyProtection="1">
      <alignment horizontal="center" vertical="center"/>
      <protection/>
    </xf>
    <xf numFmtId="0" fontId="13" fillId="0" borderId="33" xfId="57" applyNumberFormat="1" applyFont="1" applyFill="1" applyBorder="1" applyAlignment="1" applyProtection="1">
      <alignment horizontal="left" vertical="center"/>
      <protection locked="0"/>
    </xf>
    <xf numFmtId="0" fontId="13" fillId="0" borderId="33" xfId="57" applyNumberFormat="1" applyFont="1" applyFill="1" applyBorder="1" applyAlignment="1">
      <alignment horizontal="left" vertical="center"/>
      <protection/>
    </xf>
    <xf numFmtId="192" fontId="13" fillId="0" borderId="11" xfId="0" applyNumberFormat="1" applyFont="1" applyFill="1" applyBorder="1" applyAlignment="1">
      <alignment vertical="center"/>
    </xf>
    <xf numFmtId="0" fontId="13" fillId="0" borderId="33" xfId="0" applyNumberFormat="1" applyFont="1" applyFill="1" applyBorder="1" applyAlignment="1" applyProtection="1">
      <alignment horizontal="left" vertical="center"/>
      <protection locked="0"/>
    </xf>
    <xf numFmtId="0" fontId="13" fillId="0" borderId="33" xfId="0" applyNumberFormat="1" applyFont="1" applyFill="1" applyBorder="1" applyAlignment="1">
      <alignment horizontal="left" vertical="center"/>
    </xf>
    <xf numFmtId="0" fontId="13" fillId="0" borderId="33" xfId="57" applyNumberFormat="1" applyFont="1" applyFill="1" applyBorder="1" applyAlignment="1" applyProtection="1">
      <alignment horizontal="left" vertical="center"/>
      <protection/>
    </xf>
    <xf numFmtId="200" fontId="39" fillId="0" borderId="10" xfId="57" applyNumberFormat="1" applyFont="1" applyFill="1" applyBorder="1" applyAlignment="1">
      <alignment vertical="center"/>
      <protection/>
    </xf>
    <xf numFmtId="200" fontId="39" fillId="0" borderId="10" xfId="57" applyNumberFormat="1" applyFont="1" applyFill="1" applyBorder="1" applyAlignment="1" applyProtection="1">
      <alignment vertical="center"/>
      <protection/>
    </xf>
    <xf numFmtId="193" fontId="39" fillId="0" borderId="11" xfId="57" applyNumberFormat="1" applyFont="1" applyFill="1" applyBorder="1" applyAlignment="1">
      <alignment vertical="center"/>
      <protection/>
    </xf>
    <xf numFmtId="193" fontId="39" fillId="0" borderId="11" xfId="57" applyNumberFormat="1" applyFont="1" applyFill="1" applyBorder="1" applyAlignment="1" applyProtection="1">
      <alignment vertical="center"/>
      <protection/>
    </xf>
    <xf numFmtId="0" fontId="13" fillId="0" borderId="10" xfId="0" applyNumberFormat="1" applyFont="1" applyFill="1" applyBorder="1" applyAlignment="1" applyProtection="1">
      <alignment horizontal="center" vertical="center"/>
      <protection/>
    </xf>
    <xf numFmtId="0" fontId="13" fillId="0" borderId="33" xfId="0" applyNumberFormat="1" applyFont="1" applyFill="1" applyBorder="1" applyAlignment="1" applyProtection="1">
      <alignment horizontal="left" vertical="center"/>
      <protection/>
    </xf>
    <xf numFmtId="192" fontId="13" fillId="0" borderId="11" xfId="0" applyNumberFormat="1" applyFont="1" applyFill="1" applyBorder="1" applyAlignment="1" applyProtection="1">
      <alignment vertical="center"/>
      <protection/>
    </xf>
    <xf numFmtId="0" fontId="0" fillId="0" borderId="0" xfId="0" applyAlignment="1">
      <alignment horizontal="center"/>
    </xf>
    <xf numFmtId="0" fontId="13" fillId="0" borderId="10" xfId="0" applyFont="1" applyFill="1" applyBorder="1" applyAlignment="1" applyProtection="1">
      <alignment horizontal="center" vertical="center"/>
      <protection locked="0"/>
    </xf>
    <xf numFmtId="49" fontId="13" fillId="0" borderId="10" xfId="0" applyNumberFormat="1" applyFont="1" applyFill="1" applyBorder="1" applyAlignment="1" applyProtection="1">
      <alignment horizontal="center" vertical="center"/>
      <protection locked="0"/>
    </xf>
    <xf numFmtId="0" fontId="13" fillId="0" borderId="36" xfId="0" applyFont="1" applyFill="1" applyBorder="1" applyAlignment="1">
      <alignment horizontal="left" vertical="center"/>
    </xf>
    <xf numFmtId="0" fontId="13" fillId="0" borderId="36" xfId="0" applyFont="1" applyFill="1" applyBorder="1" applyAlignment="1">
      <alignment horizontal="center" vertical="center"/>
    </xf>
    <xf numFmtId="192" fontId="13" fillId="0" borderId="11" xfId="42" applyNumberFormat="1" applyFont="1" applyFill="1" applyBorder="1" applyAlignment="1" applyProtection="1">
      <alignment horizontal="right" vertical="center"/>
      <protection/>
    </xf>
    <xf numFmtId="200" fontId="13" fillId="0" borderId="10" xfId="0" applyNumberFormat="1" applyFont="1" applyFill="1" applyBorder="1" applyAlignment="1">
      <alignment vertical="center"/>
    </xf>
    <xf numFmtId="200" fontId="13" fillId="0" borderId="10" xfId="42" applyNumberFormat="1" applyFont="1" applyFill="1" applyBorder="1" applyAlignment="1" applyProtection="1">
      <alignment vertical="center"/>
      <protection locked="0"/>
    </xf>
    <xf numFmtId="200" fontId="13" fillId="0" borderId="10" xfId="0" applyNumberFormat="1" applyFont="1" applyFill="1" applyBorder="1" applyAlignment="1" applyProtection="1">
      <alignment vertical="center"/>
      <protection/>
    </xf>
    <xf numFmtId="192" fontId="13" fillId="0" borderId="10" xfId="42" applyNumberFormat="1" applyFont="1" applyFill="1" applyBorder="1" applyAlignment="1" applyProtection="1">
      <alignment vertical="center"/>
      <protection/>
    </xf>
    <xf numFmtId="200" fontId="13" fillId="0" borderId="10" xfId="42" applyNumberFormat="1" applyFont="1" applyFill="1" applyBorder="1" applyAlignment="1" applyProtection="1">
      <alignment vertical="center"/>
      <protection/>
    </xf>
    <xf numFmtId="192" fontId="13" fillId="0" borderId="32" xfId="42" applyNumberFormat="1" applyFont="1" applyFill="1" applyBorder="1" applyAlignment="1" applyProtection="1">
      <alignment vertical="center"/>
      <protection/>
    </xf>
    <xf numFmtId="197" fontId="13" fillId="0" borderId="10" xfId="0" applyNumberFormat="1" applyFont="1" applyFill="1" applyBorder="1" applyAlignment="1">
      <alignment horizontal="center" vertical="center"/>
    </xf>
    <xf numFmtId="0" fontId="13" fillId="0" borderId="10" xfId="0" applyNumberFormat="1" applyFont="1" applyFill="1" applyBorder="1" applyAlignment="1" applyProtection="1">
      <alignment vertical="center"/>
      <protection locked="0"/>
    </xf>
    <xf numFmtId="0" fontId="13" fillId="0" borderId="10" xfId="0" applyNumberFormat="1" applyFont="1" applyFill="1" applyBorder="1" applyAlignment="1">
      <alignment vertical="center"/>
    </xf>
    <xf numFmtId="0" fontId="13" fillId="0" borderId="10" xfId="0" applyNumberFormat="1" applyFont="1" applyFill="1" applyBorder="1" applyAlignment="1" applyProtection="1">
      <alignment vertical="center"/>
      <protection/>
    </xf>
    <xf numFmtId="4" fontId="13" fillId="0" borderId="11" xfId="0" applyNumberFormat="1" applyFont="1" applyFill="1" applyBorder="1" applyAlignment="1">
      <alignment horizontal="right" vertical="center"/>
    </xf>
    <xf numFmtId="193" fontId="13" fillId="0" borderId="10" xfId="0" applyNumberFormat="1" applyFont="1" applyFill="1" applyBorder="1" applyAlignment="1">
      <alignment vertical="center"/>
    </xf>
    <xf numFmtId="193" fontId="13" fillId="0" borderId="10" xfId="42" applyNumberFormat="1" applyFont="1" applyFill="1" applyBorder="1" applyAlignment="1" applyProtection="1">
      <alignment vertical="center"/>
      <protection locked="0"/>
    </xf>
    <xf numFmtId="200" fontId="13" fillId="0" borderId="10" xfId="57" applyNumberFormat="1" applyFont="1" applyFill="1" applyBorder="1" applyAlignment="1">
      <alignment vertical="center"/>
      <protection/>
    </xf>
    <xf numFmtId="193" fontId="13" fillId="0" borderId="10" xfId="57" applyNumberFormat="1" applyFont="1" applyFill="1" applyBorder="1" applyAlignment="1">
      <alignment vertical="center"/>
      <protection/>
    </xf>
    <xf numFmtId="193" fontId="13" fillId="0" borderId="10" xfId="0" applyNumberFormat="1"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193" fontId="13" fillId="0" borderId="10" xfId="42" applyNumberFormat="1" applyFont="1" applyFill="1" applyBorder="1" applyAlignment="1" applyProtection="1">
      <alignment vertical="center"/>
      <protection/>
    </xf>
    <xf numFmtId="49" fontId="13" fillId="0" borderId="45" xfId="0" applyNumberFormat="1" applyFont="1" applyFill="1" applyBorder="1" applyAlignment="1">
      <alignment horizontal="left" vertical="center"/>
    </xf>
    <xf numFmtId="197" fontId="13" fillId="0" borderId="36" xfId="0" applyNumberFormat="1" applyFont="1" applyFill="1" applyBorder="1" applyAlignment="1">
      <alignment horizontal="left" vertical="center"/>
    </xf>
    <xf numFmtId="49" fontId="13" fillId="0" borderId="36" xfId="0" applyNumberFormat="1" applyFont="1" applyFill="1" applyBorder="1" applyAlignment="1">
      <alignment horizontal="left" vertical="center"/>
    </xf>
    <xf numFmtId="184" fontId="13" fillId="0" borderId="13" xfId="0" applyNumberFormat="1" applyFont="1" applyFill="1" applyBorder="1" applyAlignment="1" applyProtection="1">
      <alignment horizontal="center" vertical="center"/>
      <protection locked="0"/>
    </xf>
    <xf numFmtId="193" fontId="39" fillId="0" borderId="36" xfId="0" applyNumberFormat="1" applyFont="1" applyFill="1" applyBorder="1" applyAlignment="1">
      <alignment vertical="center"/>
    </xf>
    <xf numFmtId="193" fontId="39" fillId="0" borderId="10" xfId="42" applyNumberFormat="1" applyFont="1" applyFill="1" applyBorder="1" applyAlignment="1" applyProtection="1">
      <alignment vertical="center"/>
      <protection locked="0"/>
    </xf>
    <xf numFmtId="193" fontId="39" fillId="0" borderId="10" xfId="0" applyNumberFormat="1" applyFont="1" applyFill="1" applyBorder="1" applyAlignment="1">
      <alignment vertical="center"/>
    </xf>
    <xf numFmtId="193" fontId="39" fillId="0" borderId="10" xfId="57" applyNumberFormat="1" applyFont="1" applyFill="1" applyBorder="1" applyAlignment="1">
      <alignment vertical="center"/>
      <protection/>
    </xf>
    <xf numFmtId="193" fontId="39" fillId="0" borderId="10" xfId="0" applyNumberFormat="1" applyFont="1" applyFill="1" applyBorder="1" applyAlignment="1" applyProtection="1">
      <alignment vertical="center"/>
      <protection/>
    </xf>
    <xf numFmtId="0" fontId="31" fillId="37" borderId="38" xfId="0" applyFont="1" applyFill="1" applyBorder="1" applyAlignment="1">
      <alignment/>
    </xf>
    <xf numFmtId="0" fontId="31" fillId="38" borderId="38" xfId="0" applyFont="1" applyFill="1" applyBorder="1" applyAlignment="1">
      <alignment/>
    </xf>
    <xf numFmtId="0" fontId="31" fillId="39" borderId="38" xfId="0" applyFont="1" applyFill="1" applyBorder="1" applyAlignment="1">
      <alignment/>
    </xf>
    <xf numFmtId="0" fontId="31" fillId="40" borderId="38" xfId="0" applyFont="1" applyFill="1" applyBorder="1" applyAlignment="1">
      <alignment/>
    </xf>
    <xf numFmtId="3" fontId="31" fillId="36" borderId="38" xfId="0" applyNumberFormat="1" applyFont="1" applyFill="1" applyBorder="1" applyAlignment="1">
      <alignment horizontal="right"/>
    </xf>
    <xf numFmtId="4" fontId="11" fillId="0" borderId="0" xfId="0" applyNumberFormat="1" applyFont="1" applyBorder="1" applyAlignment="1">
      <alignment horizontal="right" vertical="center"/>
    </xf>
    <xf numFmtId="3" fontId="11" fillId="0" borderId="0" xfId="0" applyNumberFormat="1" applyFont="1" applyBorder="1" applyAlignment="1">
      <alignment horizontal="right" vertical="center" indent="1"/>
    </xf>
    <xf numFmtId="4" fontId="46" fillId="0" borderId="0" xfId="0" applyNumberFormat="1" applyFont="1" applyBorder="1" applyAlignment="1">
      <alignment vertical="center"/>
    </xf>
    <xf numFmtId="3" fontId="46" fillId="0" borderId="0" xfId="0" applyNumberFormat="1" applyFont="1" applyBorder="1" applyAlignment="1">
      <alignment vertical="center"/>
    </xf>
    <xf numFmtId="4" fontId="46" fillId="0" borderId="0" xfId="0" applyNumberFormat="1" applyFont="1" applyBorder="1" applyAlignment="1">
      <alignment horizontal="right" vertical="center"/>
    </xf>
    <xf numFmtId="3" fontId="46" fillId="0" borderId="0" xfId="0" applyNumberFormat="1" applyFont="1" applyBorder="1" applyAlignment="1">
      <alignment horizontal="right" vertical="center" indent="1"/>
    </xf>
    <xf numFmtId="184" fontId="13" fillId="0" borderId="22" xfId="0" applyNumberFormat="1" applyFont="1" applyFill="1" applyBorder="1" applyAlignment="1" applyProtection="1">
      <alignment horizontal="center" vertical="center"/>
      <protection locked="0"/>
    </xf>
    <xf numFmtId="200" fontId="39" fillId="0" borderId="22" xfId="42" applyNumberFormat="1" applyFont="1" applyFill="1" applyBorder="1" applyAlignment="1" applyProtection="1">
      <alignment vertical="center"/>
      <protection locked="0"/>
    </xf>
    <xf numFmtId="193" fontId="39" fillId="0" borderId="22" xfId="42" applyNumberFormat="1" applyFont="1" applyFill="1" applyBorder="1" applyAlignment="1" applyProtection="1">
      <alignment vertical="center"/>
      <protection locked="0"/>
    </xf>
    <xf numFmtId="184" fontId="13" fillId="0" borderId="25" xfId="0" applyNumberFormat="1" applyFont="1" applyFill="1" applyBorder="1" applyAlignment="1">
      <alignment horizontal="center" vertical="center"/>
    </xf>
    <xf numFmtId="200" fontId="39" fillId="0" borderId="25" xfId="0" applyNumberFormat="1" applyFont="1" applyFill="1" applyBorder="1" applyAlignment="1">
      <alignment vertical="center"/>
    </xf>
    <xf numFmtId="193" fontId="39" fillId="0" borderId="25" xfId="0" applyNumberFormat="1" applyFont="1" applyFill="1" applyBorder="1" applyAlignment="1">
      <alignment vertical="center"/>
    </xf>
    <xf numFmtId="184" fontId="13" fillId="0" borderId="0" xfId="0" applyNumberFormat="1" applyFont="1" applyFill="1" applyBorder="1" applyAlignment="1">
      <alignment horizontal="center" vertical="center"/>
    </xf>
    <xf numFmtId="193" fontId="39" fillId="0" borderId="46" xfId="0" applyNumberFormat="1" applyFont="1" applyFill="1" applyBorder="1" applyAlignment="1">
      <alignment vertical="center"/>
    </xf>
    <xf numFmtId="187" fontId="13" fillId="0" borderId="0" xfId="0" applyNumberFormat="1" applyFont="1" applyFill="1" applyBorder="1" applyAlignment="1">
      <alignment horizontal="center" vertical="center"/>
    </xf>
    <xf numFmtId="193" fontId="13" fillId="0" borderId="10" xfId="60" applyNumberFormat="1" applyFont="1" applyFill="1" applyBorder="1" applyAlignment="1" applyProtection="1">
      <alignment vertical="center"/>
      <protection/>
    </xf>
    <xf numFmtId="192" fontId="13" fillId="0" borderId="10" xfId="60" applyNumberFormat="1" applyFont="1" applyFill="1" applyBorder="1" applyAlignment="1" applyProtection="1">
      <alignment vertical="center"/>
      <protection/>
    </xf>
    <xf numFmtId="193" fontId="39" fillId="0" borderId="10" xfId="42" applyNumberFormat="1" applyFont="1" applyFill="1" applyBorder="1" applyAlignment="1" applyProtection="1">
      <alignment vertical="center"/>
      <protection/>
    </xf>
    <xf numFmtId="193" fontId="13" fillId="0" borderId="36" xfId="0" applyNumberFormat="1" applyFont="1" applyFill="1" applyBorder="1" applyAlignment="1">
      <alignment vertical="center"/>
    </xf>
    <xf numFmtId="200" fontId="13" fillId="0" borderId="36" xfId="0" applyNumberFormat="1" applyFont="1" applyFill="1" applyBorder="1" applyAlignment="1">
      <alignment vertical="center"/>
    </xf>
    <xf numFmtId="184" fontId="13" fillId="0" borderId="22" xfId="0" applyNumberFormat="1" applyFont="1" applyFill="1" applyBorder="1" applyAlignment="1" applyProtection="1">
      <alignment horizontal="left" vertical="center"/>
      <protection locked="0"/>
    </xf>
    <xf numFmtId="0" fontId="13" fillId="0" borderId="22" xfId="0" applyFont="1" applyFill="1" applyBorder="1" applyAlignment="1" applyProtection="1">
      <alignment horizontal="left" vertical="center"/>
      <protection locked="0"/>
    </xf>
    <xf numFmtId="0" fontId="13" fillId="0" borderId="22" xfId="0" applyFont="1" applyFill="1" applyBorder="1" applyAlignment="1" applyProtection="1">
      <alignment horizontal="center" vertical="center"/>
      <protection locked="0"/>
    </xf>
    <xf numFmtId="0" fontId="13" fillId="0" borderId="25" xfId="0" applyFont="1" applyFill="1" applyBorder="1" applyAlignment="1">
      <alignment horizontal="left" vertical="center"/>
    </xf>
    <xf numFmtId="0" fontId="13" fillId="0" borderId="25" xfId="0" applyFont="1" applyFill="1" applyBorder="1" applyAlignment="1">
      <alignment horizontal="center" vertical="center"/>
    </xf>
    <xf numFmtId="0" fontId="13" fillId="0" borderId="47" xfId="0" applyFont="1" applyFill="1" applyBorder="1" applyAlignment="1" applyProtection="1">
      <alignment horizontal="left" vertical="center"/>
      <protection locked="0"/>
    </xf>
    <xf numFmtId="0" fontId="13" fillId="0" borderId="45" xfId="0" applyFont="1" applyFill="1" applyBorder="1" applyAlignment="1">
      <alignment horizontal="left" vertical="center"/>
    </xf>
    <xf numFmtId="0" fontId="13" fillId="0" borderId="48" xfId="0" applyFont="1" applyFill="1" applyBorder="1" applyAlignment="1">
      <alignment horizontal="left" vertical="center"/>
    </xf>
    <xf numFmtId="193" fontId="0" fillId="0" borderId="0" xfId="0" applyNumberFormat="1" applyAlignment="1">
      <alignment/>
    </xf>
    <xf numFmtId="2" fontId="0" fillId="0" borderId="0" xfId="0" applyNumberFormat="1" applyAlignment="1">
      <alignment/>
    </xf>
    <xf numFmtId="3" fontId="25" fillId="0" borderId="0" xfId="0" applyNumberFormat="1" applyFont="1" applyFill="1" applyBorder="1" applyAlignment="1">
      <alignment horizontal="center" vertical="center"/>
    </xf>
    <xf numFmtId="3" fontId="37" fillId="0" borderId="0" xfId="0" applyNumberFormat="1" applyFont="1" applyFill="1" applyBorder="1" applyAlignment="1">
      <alignment horizontal="center" vertical="center"/>
    </xf>
    <xf numFmtId="3" fontId="0" fillId="0" borderId="0" xfId="0" applyNumberFormat="1" applyFill="1" applyBorder="1" applyAlignment="1">
      <alignment vertical="center"/>
    </xf>
    <xf numFmtId="3" fontId="13" fillId="0" borderId="0" xfId="0" applyNumberFormat="1" applyFont="1" applyBorder="1" applyAlignment="1">
      <alignment vertical="center"/>
    </xf>
    <xf numFmtId="3" fontId="13" fillId="0" borderId="0" xfId="0" applyNumberFormat="1" applyFont="1" applyBorder="1" applyAlignment="1">
      <alignment horizontal="center" vertical="center"/>
    </xf>
    <xf numFmtId="3" fontId="0" fillId="0" borderId="0" xfId="0" applyNumberFormat="1" applyBorder="1" applyAlignment="1">
      <alignment horizontal="center" vertical="center"/>
    </xf>
    <xf numFmtId="3" fontId="0" fillId="0" borderId="0" xfId="0" applyNumberFormat="1" applyBorder="1" applyAlignment="1">
      <alignment vertical="center"/>
    </xf>
    <xf numFmtId="4" fontId="25" fillId="0" borderId="0" xfId="0" applyNumberFormat="1" applyFont="1" applyFill="1" applyBorder="1" applyAlignment="1">
      <alignment horizontal="center" vertical="center"/>
    </xf>
    <xf numFmtId="4" fontId="37" fillId="0" borderId="0" xfId="0" applyNumberFormat="1" applyFont="1" applyFill="1" applyBorder="1" applyAlignment="1">
      <alignment horizontal="center" vertical="center"/>
    </xf>
    <xf numFmtId="4" fontId="0" fillId="0" borderId="0" xfId="0" applyNumberFormat="1" applyFill="1" applyBorder="1" applyAlignment="1">
      <alignment vertical="center"/>
    </xf>
    <xf numFmtId="4" fontId="13" fillId="0" borderId="0" xfId="0" applyNumberFormat="1" applyFont="1" applyBorder="1" applyAlignment="1">
      <alignment vertical="center"/>
    </xf>
    <xf numFmtId="4" fontId="13" fillId="0" borderId="0" xfId="0" applyNumberFormat="1" applyFont="1" applyBorder="1" applyAlignment="1">
      <alignment horizontal="center" vertical="center"/>
    </xf>
    <xf numFmtId="4" fontId="0" fillId="0" borderId="0" xfId="0" applyNumberFormat="1" applyBorder="1" applyAlignment="1">
      <alignment horizontal="center" vertical="center"/>
    </xf>
    <xf numFmtId="4" fontId="0" fillId="0" borderId="0" xfId="0" applyNumberFormat="1" applyBorder="1" applyAlignment="1">
      <alignment vertical="center"/>
    </xf>
    <xf numFmtId="4" fontId="39" fillId="0" borderId="0" xfId="0" applyNumberFormat="1" applyFont="1" applyBorder="1" applyAlignment="1">
      <alignment vertical="center"/>
    </xf>
    <xf numFmtId="3" fontId="39" fillId="0" borderId="0" xfId="0" applyNumberFormat="1" applyFont="1" applyBorder="1" applyAlignment="1">
      <alignment vertical="center"/>
    </xf>
    <xf numFmtId="4" fontId="47" fillId="0" borderId="0" xfId="0" applyNumberFormat="1" applyFont="1" applyBorder="1" applyAlignment="1">
      <alignment vertical="center"/>
    </xf>
    <xf numFmtId="3" fontId="47" fillId="0" borderId="0" xfId="0" applyNumberFormat="1" applyFont="1" applyBorder="1" applyAlignment="1">
      <alignment vertical="center"/>
    </xf>
    <xf numFmtId="184" fontId="30" fillId="0" borderId="10" xfId="0" applyNumberFormat="1" applyFont="1" applyFill="1" applyBorder="1" applyAlignment="1">
      <alignment horizontal="center" vertical="center"/>
    </xf>
    <xf numFmtId="1" fontId="30" fillId="0" borderId="10" xfId="0" applyNumberFormat="1" applyFont="1" applyFill="1" applyBorder="1" applyAlignment="1">
      <alignment horizontal="center" vertical="center"/>
    </xf>
    <xf numFmtId="184" fontId="30" fillId="0" borderId="10" xfId="0" applyNumberFormat="1" applyFont="1" applyFill="1" applyBorder="1" applyAlignment="1" applyProtection="1">
      <alignment horizontal="center" vertical="center"/>
      <protection locked="0"/>
    </xf>
    <xf numFmtId="1" fontId="30" fillId="0" borderId="10" xfId="0" applyNumberFormat="1" applyFont="1" applyFill="1" applyBorder="1" applyAlignment="1" applyProtection="1">
      <alignment horizontal="center" vertical="center"/>
      <protection locked="0"/>
    </xf>
    <xf numFmtId="197" fontId="30" fillId="0" borderId="10" xfId="0" applyNumberFormat="1" applyFont="1" applyFill="1" applyBorder="1" applyAlignment="1">
      <alignment horizontal="center" vertical="center"/>
    </xf>
    <xf numFmtId="184" fontId="30" fillId="0" borderId="10" xfId="57" applyNumberFormat="1" applyFont="1" applyFill="1" applyBorder="1" applyAlignment="1">
      <alignment horizontal="center" vertical="center"/>
      <protection/>
    </xf>
    <xf numFmtId="1" fontId="30" fillId="0" borderId="10" xfId="57" applyNumberFormat="1" applyFont="1" applyFill="1" applyBorder="1" applyAlignment="1">
      <alignment horizontal="center" vertical="center"/>
      <protection/>
    </xf>
    <xf numFmtId="184" fontId="30" fillId="0" borderId="10" xfId="0" applyNumberFormat="1" applyFont="1" applyFill="1" applyBorder="1" applyAlignment="1" applyProtection="1">
      <alignment horizontal="center" vertical="center"/>
      <protection/>
    </xf>
    <xf numFmtId="1" fontId="30" fillId="0" borderId="10" xfId="0" applyNumberFormat="1" applyFont="1" applyFill="1" applyBorder="1" applyAlignment="1" applyProtection="1">
      <alignment horizontal="center" vertical="center"/>
      <protection/>
    </xf>
    <xf numFmtId="184" fontId="30" fillId="0" borderId="10" xfId="0" applyNumberFormat="1" applyFont="1" applyFill="1" applyBorder="1" applyAlignment="1">
      <alignment horizontal="center"/>
    </xf>
    <xf numFmtId="1" fontId="30" fillId="0" borderId="10" xfId="0" applyNumberFormat="1" applyFont="1" applyFill="1" applyBorder="1" applyAlignment="1">
      <alignment horizontal="center"/>
    </xf>
    <xf numFmtId="0" fontId="17" fillId="0" borderId="0" xfId="0" applyFont="1" applyFill="1" applyBorder="1" applyAlignment="1">
      <alignment vertical="center"/>
    </xf>
    <xf numFmtId="4" fontId="17" fillId="0" borderId="0" xfId="0" applyNumberFormat="1" applyFont="1" applyFill="1" applyBorder="1" applyAlignment="1">
      <alignment vertical="center"/>
    </xf>
    <xf numFmtId="3" fontId="17" fillId="0" borderId="0" xfId="0" applyNumberFormat="1" applyFont="1" applyFill="1" applyBorder="1" applyAlignment="1">
      <alignment vertical="center"/>
    </xf>
    <xf numFmtId="193" fontId="39" fillId="0" borderId="10" xfId="0" applyNumberFormat="1" applyFont="1" applyFill="1" applyBorder="1" applyAlignment="1" applyProtection="1">
      <alignment vertical="center"/>
      <protection locked="0"/>
    </xf>
    <xf numFmtId="2" fontId="13" fillId="0" borderId="0" xfId="0" applyNumberFormat="1" applyFont="1" applyFill="1" applyBorder="1" applyAlignment="1">
      <alignment horizontal="center" vertical="center"/>
    </xf>
    <xf numFmtId="193" fontId="13" fillId="0" borderId="0" xfId="0" applyNumberFormat="1" applyFont="1" applyFill="1" applyBorder="1" applyAlignment="1">
      <alignment horizontal="center" vertical="center"/>
    </xf>
    <xf numFmtId="192" fontId="13" fillId="0" borderId="37" xfId="42" applyNumberFormat="1" applyFont="1" applyFill="1" applyBorder="1" applyAlignment="1" applyProtection="1">
      <alignment vertical="center"/>
      <protection/>
    </xf>
    <xf numFmtId="192" fontId="13" fillId="0" borderId="35" xfId="42" applyNumberFormat="1" applyFont="1" applyFill="1" applyBorder="1" applyAlignment="1" applyProtection="1">
      <alignment vertical="center"/>
      <protection/>
    </xf>
    <xf numFmtId="192" fontId="13" fillId="0" borderId="26" xfId="42" applyNumberFormat="1" applyFont="1" applyFill="1" applyBorder="1" applyAlignment="1" applyProtection="1">
      <alignment vertical="center"/>
      <protection/>
    </xf>
    <xf numFmtId="0" fontId="30" fillId="0" borderId="15" xfId="0" applyFont="1" applyFill="1" applyBorder="1" applyAlignment="1">
      <alignment horizontal="left" vertical="center"/>
    </xf>
    <xf numFmtId="0" fontId="30" fillId="0" borderId="15" xfId="0" applyFont="1" applyFill="1" applyBorder="1" applyAlignment="1" applyProtection="1">
      <alignment horizontal="left" vertical="center"/>
      <protection locked="0"/>
    </xf>
    <xf numFmtId="49" fontId="30" fillId="0" borderId="15" xfId="0" applyNumberFormat="1" applyFont="1" applyFill="1" applyBorder="1" applyAlignment="1" applyProtection="1">
      <alignment horizontal="left" vertical="center"/>
      <protection locked="0"/>
    </xf>
    <xf numFmtId="0" fontId="30" fillId="0" borderId="15" xfId="0" applyFont="1" applyFill="1" applyBorder="1" applyAlignment="1" applyProtection="1">
      <alignment vertical="center"/>
      <protection locked="0"/>
    </xf>
    <xf numFmtId="0" fontId="30" fillId="0" borderId="15" xfId="0" applyNumberFormat="1" applyFont="1" applyFill="1" applyBorder="1" applyAlignment="1">
      <alignment horizontal="left" vertical="center"/>
    </xf>
    <xf numFmtId="49" fontId="30" fillId="0" borderId="15" xfId="0" applyNumberFormat="1" applyFont="1" applyFill="1" applyBorder="1" applyAlignment="1" applyProtection="1">
      <alignment vertical="center"/>
      <protection locked="0"/>
    </xf>
    <xf numFmtId="0" fontId="30" fillId="0" borderId="15" xfId="0" applyFont="1" applyFill="1" applyBorder="1" applyAlignment="1" applyProtection="1">
      <alignment horizontal="left" vertical="center"/>
      <protection/>
    </xf>
    <xf numFmtId="0" fontId="30" fillId="0" borderId="15" xfId="0" applyNumberFormat="1" applyFont="1" applyFill="1" applyBorder="1" applyAlignment="1" applyProtection="1">
      <alignment horizontal="left" vertical="center"/>
      <protection locked="0"/>
    </xf>
    <xf numFmtId="49" fontId="30" fillId="0" borderId="15" xfId="0" applyNumberFormat="1" applyFont="1" applyFill="1" applyBorder="1" applyAlignment="1">
      <alignment vertical="center"/>
    </xf>
    <xf numFmtId="49" fontId="30" fillId="0" borderId="15" xfId="0" applyNumberFormat="1" applyFont="1" applyFill="1" applyBorder="1" applyAlignment="1">
      <alignment horizontal="left" vertical="center"/>
    </xf>
    <xf numFmtId="0" fontId="30" fillId="0" borderId="15" xfId="0" applyFont="1" applyFill="1" applyBorder="1" applyAlignment="1">
      <alignment vertical="center"/>
    </xf>
    <xf numFmtId="0" fontId="30" fillId="0" borderId="15" xfId="57" applyNumberFormat="1" applyFont="1" applyFill="1" applyBorder="1" applyAlignment="1">
      <alignment horizontal="left" vertical="center"/>
      <protection/>
    </xf>
    <xf numFmtId="0" fontId="30" fillId="0" borderId="15" xfId="0" applyFont="1" applyFill="1" applyBorder="1" applyAlignment="1" applyProtection="1">
      <alignment vertical="center"/>
      <protection/>
    </xf>
    <xf numFmtId="0" fontId="30" fillId="0" borderId="15" xfId="0" applyFont="1" applyFill="1" applyBorder="1" applyAlignment="1">
      <alignment horizontal="left"/>
    </xf>
    <xf numFmtId="0" fontId="30" fillId="0" borderId="15" xfId="0" applyNumberFormat="1" applyFont="1" applyFill="1" applyBorder="1" applyAlignment="1" applyProtection="1">
      <alignment horizontal="left" vertical="center"/>
      <protection/>
    </xf>
    <xf numFmtId="0" fontId="13" fillId="0" borderId="34" xfId="0" applyFont="1" applyFill="1" applyBorder="1" applyAlignment="1" applyProtection="1">
      <alignment horizontal="left" vertical="center"/>
      <protection locked="0"/>
    </xf>
    <xf numFmtId="200" fontId="13" fillId="0" borderId="25" xfId="0" applyNumberFormat="1" applyFont="1" applyFill="1" applyBorder="1" applyAlignment="1">
      <alignment vertical="center"/>
    </xf>
    <xf numFmtId="193" fontId="13" fillId="0" borderId="25" xfId="0" applyNumberFormat="1" applyFont="1" applyFill="1" applyBorder="1" applyAlignment="1">
      <alignment vertical="center"/>
    </xf>
    <xf numFmtId="184" fontId="13" fillId="0" borderId="13" xfId="0" applyNumberFormat="1" applyFont="1" applyFill="1" applyBorder="1" applyAlignment="1" applyProtection="1">
      <alignment horizontal="left" vertical="center"/>
      <protection locked="0"/>
    </xf>
    <xf numFmtId="49" fontId="13" fillId="0" borderId="13" xfId="0" applyNumberFormat="1" applyFont="1" applyFill="1" applyBorder="1" applyAlignment="1" applyProtection="1">
      <alignment horizontal="left" vertical="center"/>
      <protection locked="0"/>
    </xf>
    <xf numFmtId="49" fontId="13" fillId="0" borderId="13" xfId="0" applyNumberFormat="1" applyFont="1" applyFill="1" applyBorder="1" applyAlignment="1" applyProtection="1">
      <alignment horizontal="center" vertical="center"/>
      <protection locked="0"/>
    </xf>
    <xf numFmtId="200" fontId="39" fillId="0" borderId="13" xfId="42" applyNumberFormat="1" applyFont="1" applyFill="1" applyBorder="1" applyAlignment="1" applyProtection="1">
      <alignment vertical="center"/>
      <protection locked="0"/>
    </xf>
    <xf numFmtId="193" fontId="39" fillId="0" borderId="13" xfId="42" applyNumberFormat="1" applyFont="1" applyFill="1" applyBorder="1" applyAlignment="1" applyProtection="1">
      <alignment vertical="center"/>
      <protection locked="0"/>
    </xf>
    <xf numFmtId="200" fontId="10" fillId="0" borderId="0" xfId="0" applyNumberFormat="1" applyFont="1" applyFill="1" applyBorder="1" applyAlignment="1" applyProtection="1">
      <alignment vertical="center"/>
      <protection locked="0"/>
    </xf>
    <xf numFmtId="193" fontId="10" fillId="0" borderId="0" xfId="0" applyNumberFormat="1" applyFont="1" applyFill="1" applyBorder="1" applyAlignment="1" applyProtection="1">
      <alignment vertical="center"/>
      <protection locked="0"/>
    </xf>
    <xf numFmtId="192" fontId="13" fillId="0" borderId="10" xfId="0" applyNumberFormat="1" applyFont="1" applyFill="1" applyBorder="1" applyAlignment="1">
      <alignment vertical="center"/>
    </xf>
    <xf numFmtId="193" fontId="13" fillId="0" borderId="10" xfId="0" applyNumberFormat="1" applyFont="1" applyFill="1" applyBorder="1" applyAlignment="1" applyProtection="1">
      <alignment vertical="center"/>
      <protection locked="0"/>
    </xf>
    <xf numFmtId="192" fontId="13" fillId="0" borderId="10" xfId="0" applyNumberFormat="1" applyFont="1" applyFill="1" applyBorder="1" applyAlignment="1" applyProtection="1">
      <alignment vertical="center"/>
      <protection locked="0"/>
    </xf>
    <xf numFmtId="200" fontId="13" fillId="0" borderId="10" xfId="0" applyNumberFormat="1" applyFont="1" applyFill="1" applyBorder="1" applyAlignment="1" applyProtection="1">
      <alignment vertical="center"/>
      <protection locked="0"/>
    </xf>
    <xf numFmtId="192" fontId="13" fillId="0" borderId="36" xfId="0" applyNumberFormat="1" applyFont="1" applyFill="1" applyBorder="1" applyAlignment="1">
      <alignment vertical="center"/>
    </xf>
    <xf numFmtId="49" fontId="13" fillId="0" borderId="34" xfId="0" applyNumberFormat="1" applyFont="1" applyFill="1" applyBorder="1" applyAlignment="1" applyProtection="1">
      <alignment horizontal="left" vertical="center"/>
      <protection locked="0"/>
    </xf>
    <xf numFmtId="0" fontId="13" fillId="0" borderId="13" xfId="0" applyNumberFormat="1" applyFont="1" applyFill="1" applyBorder="1" applyAlignment="1" applyProtection="1">
      <alignment horizontal="center" vertical="center"/>
      <protection locked="0"/>
    </xf>
    <xf numFmtId="193" fontId="13" fillId="0" borderId="13" xfId="60" applyNumberFormat="1" applyFont="1" applyFill="1" applyBorder="1" applyAlignment="1" applyProtection="1">
      <alignment vertical="center"/>
      <protection/>
    </xf>
    <xf numFmtId="192" fontId="13" fillId="0" borderId="13" xfId="60" applyNumberFormat="1" applyFont="1" applyFill="1" applyBorder="1" applyAlignment="1" applyProtection="1">
      <alignment vertical="center"/>
      <protection/>
    </xf>
    <xf numFmtId="200" fontId="13" fillId="0" borderId="13" xfId="42" applyNumberFormat="1" applyFont="1" applyFill="1" applyBorder="1" applyAlignment="1" applyProtection="1">
      <alignment vertical="center"/>
      <protection locked="0"/>
    </xf>
    <xf numFmtId="193" fontId="13" fillId="0" borderId="13" xfId="42" applyNumberFormat="1" applyFont="1" applyFill="1" applyBorder="1" applyAlignment="1" applyProtection="1">
      <alignment vertical="center"/>
      <protection locked="0"/>
    </xf>
    <xf numFmtId="0" fontId="13" fillId="0" borderId="47" xfId="0" applyFont="1" applyFill="1" applyBorder="1" applyAlignment="1">
      <alignment horizontal="left" vertical="center"/>
    </xf>
    <xf numFmtId="184" fontId="13" fillId="0" borderId="22" xfId="0" applyNumberFormat="1" applyFont="1" applyFill="1" applyBorder="1" applyAlignment="1">
      <alignment horizontal="center" vertical="center"/>
    </xf>
    <xf numFmtId="0" fontId="13" fillId="0" borderId="22" xfId="0" applyFont="1" applyFill="1" applyBorder="1" applyAlignment="1">
      <alignment horizontal="left" vertical="center"/>
    </xf>
    <xf numFmtId="0" fontId="13" fillId="0" borderId="22" xfId="0" applyFont="1" applyFill="1" applyBorder="1" applyAlignment="1">
      <alignment horizontal="center" vertical="center"/>
    </xf>
    <xf numFmtId="200" fontId="39" fillId="0" borderId="22" xfId="0" applyNumberFormat="1" applyFont="1" applyFill="1" applyBorder="1" applyAlignment="1">
      <alignment vertical="center"/>
    </xf>
    <xf numFmtId="193" fontId="39" fillId="0" borderId="22" xfId="0" applyNumberFormat="1" applyFont="1" applyFill="1" applyBorder="1" applyAlignment="1">
      <alignment vertical="center"/>
    </xf>
    <xf numFmtId="193" fontId="13" fillId="0" borderId="22" xfId="0" applyNumberFormat="1" applyFont="1" applyFill="1" applyBorder="1" applyAlignment="1">
      <alignment vertical="center"/>
    </xf>
    <xf numFmtId="192" fontId="13" fillId="0" borderId="22" xfId="0" applyNumberFormat="1" applyFont="1" applyFill="1" applyBorder="1" applyAlignment="1">
      <alignment vertical="center"/>
    </xf>
    <xf numFmtId="200" fontId="13" fillId="0" borderId="22" xfId="0" applyNumberFormat="1" applyFont="1" applyFill="1" applyBorder="1" applyAlignment="1">
      <alignment vertical="center"/>
    </xf>
    <xf numFmtId="192" fontId="13" fillId="0" borderId="25" xfId="0" applyNumberFormat="1" applyFont="1" applyFill="1" applyBorder="1" applyAlignment="1">
      <alignment vertical="center"/>
    </xf>
    <xf numFmtId="0" fontId="13" fillId="0" borderId="30" xfId="0" applyNumberFormat="1" applyFont="1" applyFill="1" applyBorder="1" applyAlignment="1">
      <alignment horizontal="left" vertical="center"/>
    </xf>
    <xf numFmtId="0" fontId="13" fillId="0" borderId="0" xfId="0" applyNumberFormat="1" applyFont="1" applyFill="1" applyBorder="1" applyAlignment="1">
      <alignment horizontal="left" vertical="center"/>
    </xf>
    <xf numFmtId="200" fontId="39" fillId="0" borderId="0" xfId="0" applyNumberFormat="1" applyFont="1" applyFill="1" applyBorder="1" applyAlignment="1">
      <alignment vertical="center"/>
    </xf>
    <xf numFmtId="0" fontId="22" fillId="0" borderId="49" xfId="0" applyFont="1" applyFill="1" applyBorder="1" applyAlignment="1" applyProtection="1">
      <alignment horizontal="right" vertical="center"/>
      <protection/>
    </xf>
    <xf numFmtId="0" fontId="22" fillId="0" borderId="42" xfId="0" applyFont="1" applyFill="1" applyBorder="1" applyAlignment="1" applyProtection="1">
      <alignment horizontal="right" vertical="center"/>
      <protection/>
    </xf>
    <xf numFmtId="0" fontId="22" fillId="0" borderId="28" xfId="0" applyFont="1" applyFill="1" applyBorder="1" applyAlignment="1" applyProtection="1">
      <alignment horizontal="right" vertical="center"/>
      <protection/>
    </xf>
    <xf numFmtId="0" fontId="40" fillId="33" borderId="0" xfId="0" applyFont="1" applyFill="1" applyBorder="1" applyAlignment="1" applyProtection="1">
      <alignment horizontal="center" vertical="center"/>
      <protection/>
    </xf>
    <xf numFmtId="0" fontId="0" fillId="0" borderId="0" xfId="0" applyAlignment="1">
      <alignment horizontal="center"/>
    </xf>
    <xf numFmtId="181" fontId="25" fillId="0" borderId="12" xfId="0" applyNumberFormat="1" applyFont="1" applyFill="1" applyBorder="1" applyAlignment="1" applyProtection="1">
      <alignment horizontal="center" vertical="center" wrapText="1"/>
      <protection/>
    </xf>
    <xf numFmtId="181" fontId="25" fillId="0" borderId="50"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7" fillId="0" borderId="29" xfId="0" applyFont="1" applyBorder="1" applyAlignment="1">
      <alignment horizontal="center" vertical="center"/>
    </xf>
    <xf numFmtId="171" fontId="25" fillId="0" borderId="12" xfId="42" applyFont="1" applyFill="1" applyBorder="1" applyAlignment="1" applyProtection="1">
      <alignment horizontal="center" vertical="center" wrapText="1"/>
      <protection/>
    </xf>
    <xf numFmtId="0" fontId="25" fillId="0" borderId="12" xfId="0" applyFont="1" applyFill="1" applyBorder="1" applyAlignment="1" applyProtection="1">
      <alignment horizontal="center" vertical="center" wrapText="1"/>
      <protection/>
    </xf>
    <xf numFmtId="0" fontId="25" fillId="0" borderId="51" xfId="0" applyNumberFormat="1" applyFont="1" applyFill="1" applyBorder="1" applyAlignment="1" applyProtection="1">
      <alignment horizontal="center" vertical="center" wrapText="1"/>
      <protection/>
    </xf>
    <xf numFmtId="0" fontId="27" fillId="0" borderId="52" xfId="0" applyFont="1" applyBorder="1" applyAlignment="1">
      <alignment horizontal="center" vertical="center" wrapText="1"/>
    </xf>
    <xf numFmtId="4" fontId="25" fillId="0" borderId="12" xfId="0" applyNumberFormat="1" applyFont="1" applyFill="1" applyBorder="1" applyAlignment="1" applyProtection="1">
      <alignment horizontal="center" vertical="center" wrapText="1"/>
      <protection/>
    </xf>
    <xf numFmtId="184" fontId="25" fillId="0" borderId="12" xfId="0" applyNumberFormat="1" applyFont="1" applyFill="1" applyBorder="1" applyAlignment="1" applyProtection="1">
      <alignment horizontal="center" vertical="center" wrapText="1"/>
      <protection/>
    </xf>
    <xf numFmtId="184" fontId="27" fillId="0" borderId="29" xfId="0" applyNumberFormat="1" applyFont="1" applyBorder="1" applyAlignment="1">
      <alignment horizontal="center" vertical="center"/>
    </xf>
    <xf numFmtId="0" fontId="10"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0" fillId="0" borderId="0" xfId="0" applyFont="1" applyAlignment="1">
      <alignment horizontal="right" vertical="center" wrapText="1"/>
    </xf>
    <xf numFmtId="0" fontId="16" fillId="33" borderId="49" xfId="0" applyFont="1" applyFill="1" applyBorder="1" applyAlignment="1">
      <alignment horizontal="right" vertical="center"/>
    </xf>
    <xf numFmtId="0" fontId="37" fillId="0" borderId="21" xfId="0" applyFont="1" applyBorder="1" applyAlignment="1">
      <alignment horizontal="right" vertical="center"/>
    </xf>
    <xf numFmtId="0" fontId="16" fillId="33" borderId="31" xfId="0" applyFont="1" applyFill="1" applyBorder="1" applyAlignment="1">
      <alignment horizontal="right" vertical="center"/>
    </xf>
    <xf numFmtId="0" fontId="0" fillId="0" borderId="15" xfId="0" applyBorder="1" applyAlignment="1">
      <alignment horizontal="right" vertical="center"/>
    </xf>
    <xf numFmtId="184" fontId="28" fillId="0" borderId="36" xfId="0" applyNumberFormat="1" applyFont="1" applyFill="1" applyBorder="1" applyAlignment="1" applyProtection="1">
      <alignment horizontal="center" vertical="center"/>
      <protection locked="0"/>
    </xf>
    <xf numFmtId="0" fontId="29" fillId="0" borderId="36" xfId="0" applyFont="1" applyBorder="1" applyAlignment="1">
      <alignment horizontal="center"/>
    </xf>
    <xf numFmtId="0" fontId="29" fillId="0" borderId="37" xfId="0" applyFont="1" applyBorder="1" applyAlignment="1">
      <alignment horizontal="center"/>
    </xf>
    <xf numFmtId="0" fontId="18" fillId="0" borderId="0" xfId="0" applyFont="1" applyBorder="1" applyAlignment="1" applyProtection="1">
      <alignment horizontal="right" vertical="center" wrapText="1"/>
      <protection locked="0"/>
    </xf>
    <xf numFmtId="184" fontId="28" fillId="0" borderId="0" xfId="0" applyNumberFormat="1" applyFont="1" applyFill="1" applyBorder="1" applyAlignment="1" applyProtection="1">
      <alignment horizontal="center" vertical="center"/>
      <protection locked="0"/>
    </xf>
    <xf numFmtId="0" fontId="34" fillId="0" borderId="0" xfId="0" applyFont="1" applyBorder="1" applyAlignment="1" applyProtection="1">
      <alignment horizontal="right" vertical="center" wrapText="1"/>
      <protection locked="0"/>
    </xf>
    <xf numFmtId="0" fontId="14" fillId="0" borderId="0" xfId="0" applyFont="1" applyBorder="1" applyAlignment="1" applyProtection="1">
      <alignment horizontal="right" vertical="center" wrapText="1"/>
      <protection locked="0"/>
    </xf>
    <xf numFmtId="0" fontId="28" fillId="0" borderId="0" xfId="0" applyFont="1" applyFill="1" applyBorder="1" applyAlignment="1" applyProtection="1">
      <alignment horizontal="center" vertical="center"/>
      <protection locked="0"/>
    </xf>
    <xf numFmtId="0" fontId="25" fillId="0" borderId="51" xfId="0" applyNumberFormat="1" applyFont="1" applyFill="1" applyBorder="1" applyAlignment="1">
      <alignment horizontal="center" vertical="center" wrapText="1"/>
    </xf>
    <xf numFmtId="0" fontId="25" fillId="0" borderId="52" xfId="0" applyNumberFormat="1" applyFont="1" applyFill="1" applyBorder="1" applyAlignment="1">
      <alignment horizontal="center" vertical="center" wrapText="1"/>
    </xf>
    <xf numFmtId="0" fontId="25" fillId="0" borderId="52" xfId="0" applyNumberFormat="1" applyFont="1" applyFill="1" applyBorder="1" applyAlignment="1" applyProtection="1">
      <alignment horizontal="center" vertical="center" wrapText="1"/>
      <protection/>
    </xf>
    <xf numFmtId="0" fontId="25" fillId="0" borderId="53" xfId="0" applyNumberFormat="1" applyFont="1" applyFill="1" applyBorder="1" applyAlignment="1" applyProtection="1">
      <alignment horizontal="center" vertical="center" wrapText="1"/>
      <protection/>
    </xf>
    <xf numFmtId="0" fontId="25" fillId="0" borderId="54" xfId="0" applyNumberFormat="1" applyFont="1" applyFill="1" applyBorder="1" applyAlignment="1" applyProtection="1">
      <alignment horizontal="center" vertical="center" wrapText="1"/>
      <protection/>
    </xf>
    <xf numFmtId="192" fontId="25" fillId="0" borderId="55" xfId="0" applyNumberFormat="1" applyFont="1" applyFill="1" applyBorder="1" applyAlignment="1" applyProtection="1">
      <alignment horizontal="center" vertical="center" wrapText="1"/>
      <protection/>
    </xf>
    <xf numFmtId="192" fontId="25" fillId="0" borderId="56" xfId="0" applyNumberFormat="1" applyFont="1" applyFill="1" applyBorder="1" applyAlignment="1" applyProtection="1">
      <alignment horizontal="center" vertical="center" wrapText="1"/>
      <protection/>
    </xf>
    <xf numFmtId="0" fontId="10" fillId="0" borderId="0" xfId="0" applyFont="1" applyBorder="1" applyAlignment="1">
      <alignment horizontal="right" vertical="center" wrapText="1"/>
    </xf>
    <xf numFmtId="0" fontId="7" fillId="41" borderId="41" xfId="0" applyFont="1" applyFill="1" applyBorder="1" applyAlignment="1">
      <alignment horizontal="center" vertical="center" wrapText="1"/>
    </xf>
    <xf numFmtId="0" fontId="15" fillId="33" borderId="42" xfId="0" applyFont="1" applyFill="1" applyBorder="1" applyAlignment="1">
      <alignment horizontal="center" vertical="center"/>
    </xf>
    <xf numFmtId="0" fontId="15" fillId="33" borderId="21" xfId="0" applyFont="1" applyFill="1" applyBorder="1" applyAlignment="1">
      <alignment horizontal="center" vertical="center"/>
    </xf>
    <xf numFmtId="0" fontId="39" fillId="33" borderId="42" xfId="0" applyFont="1" applyFill="1" applyBorder="1" applyAlignment="1">
      <alignment horizontal="center" vertical="center"/>
    </xf>
    <xf numFmtId="0" fontId="39" fillId="33" borderId="21" xfId="0" applyFont="1" applyFill="1" applyBorder="1" applyAlignment="1">
      <alignment horizontal="center" vertical="center"/>
    </xf>
    <xf numFmtId="0" fontId="0" fillId="0" borderId="0" xfId="0" applyBorder="1" applyAlignment="1">
      <alignment horizontal="right" vertical="center" wrapText="1"/>
    </xf>
    <xf numFmtId="0" fontId="10" fillId="0" borderId="0" xfId="0" applyFont="1" applyBorder="1" applyAlignment="1">
      <alignment horizontal="right" vertical="center" wrapText="1"/>
    </xf>
    <xf numFmtId="0" fontId="0" fillId="0" borderId="0" xfId="0" applyBorder="1" applyAlignment="1">
      <alignment vertical="center" wrapText="1"/>
    </xf>
    <xf numFmtId="0" fontId="8" fillId="41" borderId="0" xfId="0" applyFont="1" applyFill="1" applyBorder="1" applyAlignment="1">
      <alignment horizontal="center" vertical="center" wrapText="1"/>
    </xf>
    <xf numFmtId="0" fontId="33" fillId="41" borderId="0" xfId="0" applyFont="1" applyFill="1" applyAlignment="1">
      <alignment vertical="center"/>
    </xf>
    <xf numFmtId="0" fontId="25" fillId="0" borderId="12" xfId="0" applyNumberFormat="1" applyFont="1" applyFill="1" applyBorder="1" applyAlignment="1">
      <alignment horizontal="center" vertical="center" wrapText="1"/>
    </xf>
    <xf numFmtId="0" fontId="25" fillId="0" borderId="29" xfId="0" applyNumberFormat="1" applyFont="1" applyFill="1" applyBorder="1" applyAlignment="1">
      <alignment horizontal="center" vertical="center" wrapText="1"/>
    </xf>
    <xf numFmtId="0" fontId="25" fillId="0" borderId="50" xfId="0" applyNumberFormat="1" applyFont="1" applyFill="1" applyBorder="1" applyAlignment="1" applyProtection="1">
      <alignment horizontal="center" vertical="center" wrapText="1"/>
      <protection/>
    </xf>
    <xf numFmtId="0" fontId="15" fillId="33" borderId="47" xfId="0" applyFont="1" applyFill="1" applyBorder="1" applyAlignment="1">
      <alignment horizontal="center" vertical="center"/>
    </xf>
    <xf numFmtId="0" fontId="37" fillId="0" borderId="22" xfId="0" applyFont="1" applyBorder="1" applyAlignment="1">
      <alignment horizontal="center" vertical="center"/>
    </xf>
    <xf numFmtId="0" fontId="31" fillId="35" borderId="41" xfId="0" applyNumberFormat="1" applyFont="1" applyFill="1" applyBorder="1" applyAlignment="1">
      <alignment horizontal="center" wrapText="1"/>
    </xf>
    <xf numFmtId="0" fontId="0" fillId="0" borderId="41" xfId="0" applyNumberFormat="1" applyBorder="1" applyAlignment="1">
      <alignment horizontal="center" wrapText="1"/>
    </xf>
    <xf numFmtId="0" fontId="43" fillId="35" borderId="41" xfId="0" applyNumberFormat="1" applyFont="1" applyFill="1" applyBorder="1" applyAlignment="1">
      <alignment horizontal="center" wrapText="1"/>
    </xf>
    <xf numFmtId="0" fontId="44" fillId="0" borderId="41" xfId="0" applyNumberFormat="1"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 Box 1"/>
        <xdr:cNvSpPr txBox="1">
          <a:spLocks noChangeArrowheads="1"/>
        </xdr:cNvSpPr>
      </xdr:nvSpPr>
      <xdr:spPr>
        <a:xfrm>
          <a:off x="19050" y="38100"/>
          <a:ext cx="13049250" cy="10572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11</xdr:col>
      <xdr:colOff>104775</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10487025" y="466725"/>
          <a:ext cx="2457450" cy="600075"/>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29
</a:t>
          </a:r>
          <a:r>
            <a:rPr lang="en-US" cap="none" sz="1600" b="0" i="0" u="none" baseline="0">
              <a:solidFill>
                <a:srgbClr val="FFFFFF"/>
              </a:solidFill>
              <a:latin typeface="Impact"/>
              <a:ea typeface="Impact"/>
              <a:cs typeface="Impact"/>
            </a:rPr>
            <a:t>13 - 19 July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31</xdr:row>
      <xdr:rowOff>66675</xdr:rowOff>
    </xdr:from>
    <xdr:to>
      <xdr:col>22</xdr:col>
      <xdr:colOff>209550</xdr:colOff>
      <xdr:row>71</xdr:row>
      <xdr:rowOff>57150</xdr:rowOff>
    </xdr:to>
    <xdr:sp>
      <xdr:nvSpPr>
        <xdr:cNvPr id="1" name="Text Box 1"/>
        <xdr:cNvSpPr txBox="1">
          <a:spLocks noChangeArrowheads="1"/>
        </xdr:cNvSpPr>
      </xdr:nvSpPr>
      <xdr:spPr>
        <a:xfrm>
          <a:off x="57150" y="5676900"/>
          <a:ext cx="10658475" cy="1076325"/>
        </a:xfrm>
        <a:prstGeom prst="rect">
          <a:avLst/>
        </a:prstGeom>
        <a:solidFill>
          <a:srgbClr val="C8E0D8"/>
        </a:solidFill>
        <a:ln w="9525" cmpd="sng">
          <a:solidFill>
            <a:srgbClr val="000000"/>
          </a:solidFill>
          <a:headEnd type="none"/>
          <a:tailEnd type="none"/>
        </a:ln>
      </xdr:spPr>
      <xdr:txBody>
        <a:bodyPr vertOverflow="clip" wrap="square" lIns="27432" tIns="22860" rIns="27432" bIns="0"/>
        <a:p>
          <a:pPr algn="ctr">
            <a:defRPr/>
          </a:pPr>
          <a:r>
            <a:rPr lang="en-US" cap="none" sz="10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a:</a:t>
          </a:r>
          <a:r>
            <a:rPr lang="en-US" cap="none" sz="1000" b="0" i="0" u="none" baseline="0">
              <a:solidFill>
                <a:srgbClr val="000000"/>
              </a:solidFill>
              <a:latin typeface="Arial"/>
              <a:ea typeface="Arial"/>
              <a:cs typeface="Arial"/>
            </a:rPr>
            <a:t> hafta numarasını, </a:t>
          </a:r>
          <a:r>
            <a:rPr lang="en-US" cap="none" sz="1000" b="1" i="0" u="sng" baseline="0">
              <a:solidFill>
                <a:srgbClr val="000000"/>
              </a:solidFill>
              <a:latin typeface="Arial"/>
              <a:ea typeface="Arial"/>
              <a:cs typeface="Arial"/>
            </a:rPr>
            <a:t>b:</a:t>
          </a:r>
          <a:r>
            <a:rPr lang="en-US" cap="none" sz="1000" b="0" i="0" u="none" baseline="0">
              <a:solidFill>
                <a:srgbClr val="000000"/>
              </a:solidFill>
              <a:latin typeface="Arial"/>
              <a:ea typeface="Arial"/>
              <a:cs typeface="Arial"/>
            </a:rPr>
            <a:t> tarih aralığını,</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c:</a:t>
          </a:r>
          <a:r>
            <a:rPr lang="en-US" cap="none" sz="1000" b="0" i="0" u="none" baseline="0">
              <a:solidFill>
                <a:srgbClr val="000000"/>
              </a:solidFill>
              <a:latin typeface="Arial"/>
              <a:ea typeface="Arial"/>
              <a:cs typeface="Arial"/>
            </a:rPr>
            <a:t> ayı, </a:t>
          </a:r>
          <a:r>
            <a:rPr lang="en-US" cap="none" sz="1000" b="1" i="0" u="sng" baseline="0">
              <a:solidFill>
                <a:srgbClr val="000000"/>
              </a:solidFill>
              <a:latin typeface="Arial"/>
              <a:ea typeface="Arial"/>
              <a:cs typeface="Arial"/>
            </a:rPr>
            <a:t>d:</a:t>
          </a:r>
          <a:r>
            <a:rPr lang="en-US" cap="none" sz="1000" b="0" i="0" u="none" baseline="0">
              <a:solidFill>
                <a:srgbClr val="000000"/>
              </a:solidFill>
              <a:latin typeface="Arial"/>
              <a:ea typeface="Arial"/>
              <a:cs typeface="Arial"/>
            </a:rPr>
            <a:t> o hafta dağıtım yapan firma sayısını, </a:t>
          </a:r>
          <a:r>
            <a:rPr lang="en-US" cap="none" sz="1000" b="1" i="0" u="sng" baseline="0">
              <a:solidFill>
                <a:srgbClr val="000000"/>
              </a:solidFill>
              <a:latin typeface="Arial"/>
              <a:ea typeface="Arial"/>
              <a:cs typeface="Arial"/>
            </a:rPr>
            <a:t>e:</a:t>
          </a:r>
          <a:r>
            <a:rPr lang="en-US" cap="none" sz="1000" b="0" i="0" u="none" baseline="0">
              <a:solidFill>
                <a:srgbClr val="000000"/>
              </a:solidFill>
              <a:latin typeface="Arial"/>
              <a:ea typeface="Arial"/>
              <a:cs typeface="Arial"/>
            </a:rPr>
            <a:t> o hafta dağıtım yapmayan firma sayısını, </a:t>
          </a:r>
          <a:r>
            <a:rPr lang="en-US" cap="none" sz="1000" b="1" i="0" u="sng" baseline="0">
              <a:solidFill>
                <a:srgbClr val="000000"/>
              </a:solidFill>
              <a:latin typeface="Arial"/>
              <a:ea typeface="Arial"/>
              <a:cs typeface="Arial"/>
            </a:rPr>
            <a:t>f:</a:t>
          </a:r>
          <a:r>
            <a:rPr lang="en-US" cap="none" sz="1000" b="0" i="0" u="none" baseline="0">
              <a:solidFill>
                <a:srgbClr val="000000"/>
              </a:solidFill>
              <a:latin typeface="Arial"/>
              <a:ea typeface="Arial"/>
              <a:cs typeface="Arial"/>
            </a:rPr>
            <a:t> o hafta sinemalarda gösterilen film sayısını, </a:t>
          </a:r>
          <a:r>
            <a:rPr lang="en-US" cap="none" sz="1000" b="1" i="0" u="sng" baseline="0">
              <a:solidFill>
                <a:srgbClr val="000000"/>
              </a:solidFill>
              <a:latin typeface="Arial"/>
              <a:ea typeface="Arial"/>
              <a:cs typeface="Arial"/>
            </a:rPr>
            <a:t>g:</a:t>
          </a:r>
          <a:r>
            <a:rPr lang="en-US" cap="none" sz="1000" b="0" i="0" u="none" baseline="0">
              <a:solidFill>
                <a:srgbClr val="000000"/>
              </a:solidFill>
              <a:latin typeface="Arial"/>
              <a:ea typeface="Arial"/>
              <a:cs typeface="Arial"/>
            </a:rPr>
            <a:t> toplam hasılatı, </a:t>
          </a:r>
          <a:r>
            <a:rPr lang="en-US" cap="none" sz="1000" b="1" i="0" u="sng" baseline="0">
              <a:solidFill>
                <a:srgbClr val="000000"/>
              </a:solidFill>
              <a:latin typeface="Arial"/>
              <a:ea typeface="Arial"/>
              <a:cs typeface="Arial"/>
            </a:rPr>
            <a:t>h:</a:t>
          </a:r>
          <a:r>
            <a:rPr lang="en-US" cap="none" sz="1000" b="0" i="0" u="none" baseline="0">
              <a:solidFill>
                <a:srgbClr val="000000"/>
              </a:solidFill>
              <a:latin typeface="Arial"/>
              <a:ea typeface="Arial"/>
              <a:cs typeface="Arial"/>
            </a:rPr>
            <a:t> toplam seyirci sayısını, </a:t>
          </a:r>
          <a:r>
            <a:rPr lang="en-US" cap="none" sz="1000" b="1" i="0" u="none" baseline="0">
              <a:solidFill>
                <a:srgbClr val="000000"/>
              </a:solidFill>
              <a:latin typeface="Arial"/>
              <a:ea typeface="Arial"/>
              <a:cs typeface="Arial"/>
            </a:rPr>
            <a:t>ı:</a:t>
          </a:r>
          <a:r>
            <a:rPr lang="en-US" cap="none" sz="1000" b="0" i="0" u="none" baseline="0">
              <a:solidFill>
                <a:srgbClr val="000000"/>
              </a:solidFill>
              <a:latin typeface="Arial"/>
              <a:ea typeface="Arial"/>
              <a:cs typeface="Arial"/>
            </a:rPr>
            <a:t> en fazla hasılat yapan dağıtımcı firmayı,</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j:</a:t>
          </a:r>
          <a:r>
            <a:rPr lang="en-US" cap="none" sz="1000" b="0" i="0" u="none" baseline="0">
              <a:solidFill>
                <a:srgbClr val="000000"/>
              </a:solidFill>
              <a:latin typeface="Arial"/>
              <a:ea typeface="Arial"/>
              <a:cs typeface="Arial"/>
            </a:rPr>
            <a:t> hafta birincisi firmanın toplam hasılatını, </a:t>
          </a:r>
          <a:r>
            <a:rPr lang="en-US" cap="none" sz="1000" b="1" i="0" u="sng" baseline="0">
              <a:solidFill>
                <a:srgbClr val="000000"/>
              </a:solidFill>
              <a:latin typeface="Arial"/>
              <a:ea typeface="Arial"/>
              <a:cs typeface="Arial"/>
            </a:rPr>
            <a:t>k:</a:t>
          </a:r>
          <a:r>
            <a:rPr lang="en-US" cap="none" sz="1000" b="0" i="0" u="none" baseline="0">
              <a:solidFill>
                <a:srgbClr val="000000"/>
              </a:solidFill>
              <a:latin typeface="Arial"/>
              <a:ea typeface="Arial"/>
              <a:cs typeface="Arial"/>
            </a:rPr>
            <a:t> aynı firmanın toplam ulaştığı seyirci sayısını, </a:t>
          </a:r>
          <a:r>
            <a:rPr lang="en-US" cap="none" sz="1000" b="1" i="0" u="sng" baseline="0">
              <a:solidFill>
                <a:srgbClr val="000000"/>
              </a:solidFill>
              <a:latin typeface="Arial"/>
              <a:ea typeface="Arial"/>
              <a:cs typeface="Arial"/>
            </a:rPr>
            <a:t>l:</a:t>
          </a:r>
          <a:r>
            <a:rPr lang="en-US" cap="none" sz="1000" b="0" i="0" u="none" baseline="0">
              <a:solidFill>
                <a:srgbClr val="000000"/>
              </a:solidFill>
              <a:latin typeface="Arial"/>
              <a:ea typeface="Arial"/>
              <a:cs typeface="Arial"/>
            </a:rPr>
            <a:t> birinci firmanın toplam seyirci üzerindeki yüzdesini, </a:t>
          </a:r>
          <a:r>
            <a:rPr lang="en-US" cap="none" sz="1000" b="1" i="0" u="sng" baseline="0">
              <a:solidFill>
                <a:srgbClr val="000000"/>
              </a:solidFill>
              <a:latin typeface="Arial"/>
              <a:ea typeface="Arial"/>
              <a:cs typeface="Arial"/>
            </a:rPr>
            <a:t>m:</a:t>
          </a:r>
          <a:r>
            <a:rPr lang="en-US" cap="none" sz="1000" b="0" i="0" u="none" baseline="0">
              <a:solidFill>
                <a:srgbClr val="000000"/>
              </a:solidFill>
              <a:latin typeface="Arial"/>
              <a:ea typeface="Arial"/>
              <a:cs typeface="Arial"/>
            </a:rPr>
            <a:t> o hafta ilk kez gösterilen film sayısını, </a:t>
          </a:r>
          <a:r>
            <a:rPr lang="en-US" cap="none" sz="1000" b="1" i="0" u="sng" baseline="0">
              <a:solidFill>
                <a:srgbClr val="000000"/>
              </a:solidFill>
              <a:latin typeface="Arial"/>
              <a:ea typeface="Arial"/>
              <a:cs typeface="Arial"/>
            </a:rPr>
            <a:t>n:</a:t>
          </a:r>
          <a:r>
            <a:rPr lang="en-US" cap="none" sz="1000" b="0" i="0" u="none" baseline="0">
              <a:solidFill>
                <a:srgbClr val="000000"/>
              </a:solidFill>
              <a:latin typeface="Arial"/>
              <a:ea typeface="Arial"/>
              <a:cs typeface="Arial"/>
            </a:rPr>
            <a:t> bu yeni filmlerin toplam hasılatını, </a:t>
          </a:r>
          <a:r>
            <a:rPr lang="en-US" cap="none" sz="1000" b="1" i="0" u="sng" baseline="0">
              <a:solidFill>
                <a:srgbClr val="000000"/>
              </a:solidFill>
              <a:latin typeface="Arial"/>
              <a:ea typeface="Arial"/>
              <a:cs typeface="Arial"/>
            </a:rPr>
            <a:t>o:</a:t>
          </a:r>
          <a:r>
            <a:rPr lang="en-US" cap="none" sz="1000" b="0" i="0" u="none" baseline="0">
              <a:solidFill>
                <a:srgbClr val="000000"/>
              </a:solidFill>
              <a:latin typeface="Arial"/>
              <a:ea typeface="Arial"/>
              <a:cs typeface="Arial"/>
            </a:rPr>
            <a:t> aynı filmlerin seyirci sayısını, </a:t>
          </a:r>
          <a:r>
            <a:rPr lang="en-US" cap="none" sz="1000" b="1" i="0" u="sng" baseline="0">
              <a:solidFill>
                <a:srgbClr val="000000"/>
              </a:solidFill>
              <a:latin typeface="Arial"/>
              <a:ea typeface="Arial"/>
              <a:cs typeface="Arial"/>
            </a:rPr>
            <a:t>p:</a:t>
          </a:r>
          <a:r>
            <a:rPr lang="en-US" cap="none" sz="1000" b="0" i="0" u="none" baseline="0">
              <a:solidFill>
                <a:srgbClr val="000000"/>
              </a:solidFill>
              <a:latin typeface="Arial"/>
              <a:ea typeface="Arial"/>
              <a:cs typeface="Arial"/>
            </a:rPr>
            <a:t> yeni filmlerin toplam seyirci sayısı üzerindeki yüzdesini, </a:t>
          </a:r>
          <a:r>
            <a:rPr lang="en-US" cap="none" sz="1000" b="1" i="0" u="sng" baseline="0">
              <a:solidFill>
                <a:srgbClr val="000000"/>
              </a:solidFill>
              <a:latin typeface="Arial"/>
              <a:ea typeface="Arial"/>
              <a:cs typeface="Arial"/>
            </a:rPr>
            <a:t>q:</a:t>
          </a:r>
          <a:r>
            <a:rPr lang="en-US" cap="none" sz="1000" b="0" i="0" u="none" baseline="0">
              <a:solidFill>
                <a:srgbClr val="000000"/>
              </a:solidFill>
              <a:latin typeface="Arial"/>
              <a:ea typeface="Arial"/>
              <a:cs typeface="Arial"/>
            </a:rPr>
            <a:t> o hafta gösterilen yerli film sayısını, </a:t>
          </a:r>
          <a:r>
            <a:rPr lang="en-US" cap="none" sz="1000" b="1" i="0" u="sng" baseline="0">
              <a:solidFill>
                <a:srgbClr val="000000"/>
              </a:solidFill>
              <a:latin typeface="Arial"/>
              <a:ea typeface="Arial"/>
              <a:cs typeface="Arial"/>
            </a:rPr>
            <a:t>r:</a:t>
          </a:r>
          <a:r>
            <a:rPr lang="en-US" cap="none" sz="1000" b="0" i="0" u="none" baseline="0">
              <a:solidFill>
                <a:srgbClr val="000000"/>
              </a:solidFill>
              <a:latin typeface="Arial"/>
              <a:ea typeface="Arial"/>
              <a:cs typeface="Arial"/>
            </a:rPr>
            <a:t> bu filmlerin toplam hasılatını, </a:t>
          </a:r>
          <a:r>
            <a:rPr lang="en-US" cap="none" sz="1000" b="1" i="0" u="sng" baseline="0">
              <a:solidFill>
                <a:srgbClr val="000000"/>
              </a:solidFill>
              <a:latin typeface="Arial"/>
              <a:ea typeface="Arial"/>
              <a:cs typeface="Arial"/>
            </a:rPr>
            <a:t>s:</a:t>
          </a:r>
          <a:r>
            <a:rPr lang="en-US" cap="none" sz="1000" b="0" i="0" u="none" baseline="0">
              <a:solidFill>
                <a:srgbClr val="000000"/>
              </a:solidFill>
              <a:latin typeface="Arial"/>
              <a:ea typeface="Arial"/>
              <a:cs typeface="Arial"/>
            </a:rPr>
            <a:t> aynı filmlerin toplam seyirci sayısını, </a:t>
          </a:r>
          <a:r>
            <a:rPr lang="en-US" cap="none" sz="1000" b="1" i="0" u="sng" baseline="0">
              <a:solidFill>
                <a:srgbClr val="000000"/>
              </a:solidFill>
              <a:latin typeface="Arial"/>
              <a:ea typeface="Arial"/>
              <a:cs typeface="Arial"/>
            </a:rPr>
            <a:t>t:</a:t>
          </a:r>
          <a:r>
            <a:rPr lang="en-US" cap="none" sz="1000" b="0" i="0" u="none" baseline="0">
              <a:solidFill>
                <a:srgbClr val="000000"/>
              </a:solidFill>
              <a:latin typeface="Arial"/>
              <a:ea typeface="Arial"/>
              <a:cs typeface="Arial"/>
            </a:rPr>
            <a:t> yerli filmlerin toplam seyirci sayısı üzerindeki yüzdesini, </a:t>
          </a:r>
          <a:r>
            <a:rPr lang="en-US" cap="none" sz="1000" b="1" i="0" u="sng" baseline="0">
              <a:solidFill>
                <a:srgbClr val="000000"/>
              </a:solidFill>
              <a:latin typeface="Arial"/>
              <a:ea typeface="Arial"/>
              <a:cs typeface="Arial"/>
            </a:rPr>
            <a:t>u:</a:t>
          </a:r>
          <a:r>
            <a:rPr lang="en-US" cap="none" sz="1000" b="0" i="0" u="none" baseline="0">
              <a:solidFill>
                <a:srgbClr val="000000"/>
              </a:solidFill>
              <a:latin typeface="Arial"/>
              <a:ea typeface="Arial"/>
              <a:cs typeface="Arial"/>
            </a:rPr>
            <a:t> o hafta en fazla seyircinin izlediği filmi, </a:t>
          </a:r>
          <a:r>
            <a:rPr lang="en-US" cap="none" sz="1000" b="1" i="0" u="sng" baseline="0">
              <a:solidFill>
                <a:srgbClr val="000000"/>
              </a:solidFill>
              <a:latin typeface="Arial"/>
              <a:ea typeface="Arial"/>
              <a:cs typeface="Arial"/>
            </a:rPr>
            <a:t>v:</a:t>
          </a:r>
          <a:r>
            <a:rPr lang="en-US" cap="none" sz="1000" b="0" i="0" u="none" baseline="0">
              <a:solidFill>
                <a:srgbClr val="000000"/>
              </a:solidFill>
              <a:latin typeface="Arial"/>
              <a:ea typeface="Arial"/>
              <a:cs typeface="Arial"/>
            </a:rPr>
            <a:t> bu filmin ulaştığı seyirci sayısını ve </a:t>
          </a:r>
          <a:r>
            <a:rPr lang="en-US" cap="none" sz="1000" b="1" i="0" u="sng" baseline="0">
              <a:solidFill>
                <a:srgbClr val="000000"/>
              </a:solidFill>
              <a:latin typeface="Arial"/>
              <a:ea typeface="Arial"/>
              <a:cs typeface="Arial"/>
            </a:rPr>
            <a:t>w:</a:t>
          </a:r>
          <a:r>
            <a:rPr lang="en-US" cap="none" sz="1000" b="0" i="0" u="none" baseline="0">
              <a:solidFill>
                <a:srgbClr val="000000"/>
              </a:solidFill>
              <a:latin typeface="Arial"/>
              <a:ea typeface="Arial"/>
              <a:cs typeface="Arial"/>
            </a:rPr>
            <a:t> aynı filmin toplam seyirci sayısı üzerindeki yüzdesini göstermektedir.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43"/>
  <sheetViews>
    <sheetView showGridLines="0" tabSelected="1"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3.140625" style="51" bestFit="1" customWidth="1"/>
    <col min="2" max="2" width="42.421875" style="4" bestFit="1" customWidth="1"/>
    <col min="3" max="3" width="13.140625" style="12" bestFit="1" customWidth="1"/>
    <col min="4" max="4" width="17.140625" style="16" bestFit="1" customWidth="1"/>
    <col min="5" max="5" width="16.421875" style="16" bestFit="1" customWidth="1"/>
    <col min="6" max="6" width="11.00390625" style="6" bestFit="1" customWidth="1"/>
    <col min="7" max="7" width="8.57421875" style="6" bestFit="1" customWidth="1"/>
    <col min="8" max="8" width="10.8515625" style="6" customWidth="1"/>
    <col min="9" max="9" width="15.00390625" style="47" bestFit="1" customWidth="1"/>
    <col min="10" max="10" width="9.28125" style="93" bestFit="1" customWidth="1"/>
    <col min="11" max="11" width="8.7109375" style="36" customWidth="1"/>
    <col min="12" max="12" width="7.140625" style="24" bestFit="1" customWidth="1"/>
    <col min="13" max="13" width="14.7109375" style="18" bestFit="1" customWidth="1"/>
    <col min="14" max="14" width="10.57421875" style="36" bestFit="1" customWidth="1"/>
    <col min="15" max="15" width="7.8515625" style="43" bestFit="1" customWidth="1"/>
    <col min="16" max="16" width="3.00390625" style="235" bestFit="1" customWidth="1"/>
    <col min="17" max="16384" width="9.140625" style="4" customWidth="1"/>
  </cols>
  <sheetData>
    <row r="1" spans="1:16" s="2" customFormat="1" ht="90.75" customHeight="1">
      <c r="A1" s="50"/>
      <c r="B1" s="1"/>
      <c r="C1" s="10"/>
      <c r="D1" s="14"/>
      <c r="E1" s="14"/>
      <c r="F1" s="5"/>
      <c r="G1" s="5"/>
      <c r="H1" s="5"/>
      <c r="I1" s="44"/>
      <c r="J1" s="91"/>
      <c r="K1" s="34"/>
      <c r="L1" s="23"/>
      <c r="M1" s="17"/>
      <c r="N1" s="19"/>
      <c r="O1" s="40"/>
      <c r="P1" s="235"/>
    </row>
    <row r="2" spans="1:16" s="9" customFormat="1" ht="27.75" thickBot="1">
      <c r="A2" s="493" t="s">
        <v>72</v>
      </c>
      <c r="B2" s="494"/>
      <c r="C2" s="494"/>
      <c r="D2" s="494"/>
      <c r="E2" s="494"/>
      <c r="F2" s="494"/>
      <c r="G2" s="494"/>
      <c r="H2" s="494"/>
      <c r="I2" s="494"/>
      <c r="J2" s="494"/>
      <c r="K2" s="494"/>
      <c r="L2" s="494"/>
      <c r="M2" s="494"/>
      <c r="N2" s="494"/>
      <c r="O2" s="494"/>
      <c r="P2" s="235"/>
    </row>
    <row r="3" spans="1:16" s="37" customFormat="1" ht="16.5">
      <c r="A3" s="74"/>
      <c r="B3" s="499" t="s">
        <v>1</v>
      </c>
      <c r="C3" s="504" t="s">
        <v>2</v>
      </c>
      <c r="D3" s="500" t="s">
        <v>54</v>
      </c>
      <c r="E3" s="500" t="s">
        <v>53</v>
      </c>
      <c r="F3" s="497" t="s">
        <v>3</v>
      </c>
      <c r="G3" s="497" t="s">
        <v>10</v>
      </c>
      <c r="H3" s="501" t="s">
        <v>18</v>
      </c>
      <c r="I3" s="503" t="s">
        <v>4</v>
      </c>
      <c r="J3" s="503"/>
      <c r="K3" s="503"/>
      <c r="L3" s="503"/>
      <c r="M3" s="495" t="s">
        <v>5</v>
      </c>
      <c r="N3" s="495"/>
      <c r="O3" s="496"/>
      <c r="P3" s="236"/>
    </row>
    <row r="4" spans="1:16" s="37" customFormat="1" ht="43.5" thickBot="1">
      <c r="A4" s="75"/>
      <c r="B4" s="498"/>
      <c r="C4" s="505"/>
      <c r="D4" s="498"/>
      <c r="E4" s="498"/>
      <c r="F4" s="498"/>
      <c r="G4" s="498"/>
      <c r="H4" s="502"/>
      <c r="I4" s="289" t="s">
        <v>6</v>
      </c>
      <c r="J4" s="290" t="s">
        <v>7</v>
      </c>
      <c r="K4" s="290" t="s">
        <v>106</v>
      </c>
      <c r="L4" s="291" t="s">
        <v>8</v>
      </c>
      <c r="M4" s="289" t="s">
        <v>6</v>
      </c>
      <c r="N4" s="290" t="s">
        <v>7</v>
      </c>
      <c r="O4" s="292" t="s">
        <v>9</v>
      </c>
      <c r="P4" s="236"/>
    </row>
    <row r="5" spans="1:16" s="3" customFormat="1" ht="15">
      <c r="A5" s="262">
        <v>1</v>
      </c>
      <c r="B5" s="399" t="s">
        <v>495</v>
      </c>
      <c r="C5" s="178">
        <v>39269</v>
      </c>
      <c r="D5" s="338" t="s">
        <v>57</v>
      </c>
      <c r="E5" s="338" t="s">
        <v>65</v>
      </c>
      <c r="F5" s="339">
        <v>156</v>
      </c>
      <c r="G5" s="339">
        <v>161</v>
      </c>
      <c r="H5" s="339">
        <v>2</v>
      </c>
      <c r="I5" s="246">
        <v>765190</v>
      </c>
      <c r="J5" s="363">
        <v>95387</v>
      </c>
      <c r="K5" s="391">
        <f>J5/G5</f>
        <v>592.4658385093168</v>
      </c>
      <c r="L5" s="470">
        <f>I5/J5</f>
        <v>8.021952676989526</v>
      </c>
      <c r="M5" s="392">
        <v>2186120</v>
      </c>
      <c r="N5" s="391">
        <v>267159</v>
      </c>
      <c r="O5" s="438">
        <f>+M5/N5</f>
        <v>8.18284242716884</v>
      </c>
      <c r="P5" s="235"/>
    </row>
    <row r="6" spans="1:16" s="3" customFormat="1" ht="15">
      <c r="A6" s="101">
        <v>2</v>
      </c>
      <c r="B6" s="240" t="s">
        <v>460</v>
      </c>
      <c r="C6" s="115">
        <v>39248</v>
      </c>
      <c r="D6" s="126" t="s">
        <v>57</v>
      </c>
      <c r="E6" s="126" t="s">
        <v>65</v>
      </c>
      <c r="F6" s="116">
        <v>160</v>
      </c>
      <c r="G6" s="116">
        <v>155</v>
      </c>
      <c r="H6" s="116">
        <v>5</v>
      </c>
      <c r="I6" s="243">
        <v>320258</v>
      </c>
      <c r="J6" s="365">
        <v>44607</v>
      </c>
      <c r="K6" s="352">
        <f>J6/G6</f>
        <v>287.78709677419357</v>
      </c>
      <c r="L6" s="466">
        <f>I6/J6</f>
        <v>7.179545811195553</v>
      </c>
      <c r="M6" s="341">
        <v>4447459</v>
      </c>
      <c r="N6" s="352">
        <v>590063</v>
      </c>
      <c r="O6" s="288">
        <f>+M6/N6</f>
        <v>7.5372612754909225</v>
      </c>
      <c r="P6" s="235"/>
    </row>
    <row r="7" spans="1:16" s="3" customFormat="1" ht="15">
      <c r="A7" s="263">
        <v>3</v>
      </c>
      <c r="B7" s="400" t="s">
        <v>483</v>
      </c>
      <c r="C7" s="382">
        <v>39262</v>
      </c>
      <c r="D7" s="396" t="s">
        <v>58</v>
      </c>
      <c r="E7" s="396" t="s">
        <v>59</v>
      </c>
      <c r="F7" s="397">
        <v>78</v>
      </c>
      <c r="G7" s="397">
        <v>78</v>
      </c>
      <c r="H7" s="397">
        <v>3</v>
      </c>
      <c r="I7" s="383">
        <v>263605</v>
      </c>
      <c r="J7" s="384">
        <v>31866</v>
      </c>
      <c r="K7" s="458">
        <f>J7/G7</f>
        <v>408.53846153846155</v>
      </c>
      <c r="L7" s="486">
        <f>I7/J7</f>
        <v>8.2722964915584</v>
      </c>
      <c r="M7" s="457">
        <f>739051+347868+263605</f>
        <v>1350524</v>
      </c>
      <c r="N7" s="458">
        <f>88667+41947+31866</f>
        <v>162480</v>
      </c>
      <c r="O7" s="440">
        <f>+M7/N7</f>
        <v>8.311939931068439</v>
      </c>
      <c r="P7" s="235"/>
    </row>
    <row r="8" spans="1:16" s="3" customFormat="1" ht="15">
      <c r="A8" s="262">
        <v>4</v>
      </c>
      <c r="B8" s="477" t="s">
        <v>511</v>
      </c>
      <c r="C8" s="478">
        <v>39276</v>
      </c>
      <c r="D8" s="479" t="s">
        <v>58</v>
      </c>
      <c r="E8" s="479" t="s">
        <v>59</v>
      </c>
      <c r="F8" s="480">
        <v>40</v>
      </c>
      <c r="G8" s="480">
        <v>40</v>
      </c>
      <c r="H8" s="480">
        <v>1</v>
      </c>
      <c r="I8" s="481">
        <v>242653.5</v>
      </c>
      <c r="J8" s="482">
        <v>27897</v>
      </c>
      <c r="K8" s="483">
        <f>J8/G8</f>
        <v>697.425</v>
      </c>
      <c r="L8" s="484">
        <f>I8/J8</f>
        <v>8.698193354124099</v>
      </c>
      <c r="M8" s="485">
        <f>242653.5</f>
        <v>242653.5</v>
      </c>
      <c r="N8" s="483">
        <f>27897</f>
        <v>27897</v>
      </c>
      <c r="O8" s="346">
        <f>+M8/N8</f>
        <v>8.698193354124099</v>
      </c>
      <c r="P8" s="235"/>
    </row>
    <row r="9" spans="1:16" s="7" customFormat="1" ht="15">
      <c r="A9" s="101">
        <v>5</v>
      </c>
      <c r="B9" s="242" t="s">
        <v>512</v>
      </c>
      <c r="C9" s="114">
        <v>39276</v>
      </c>
      <c r="D9" s="127" t="s">
        <v>73</v>
      </c>
      <c r="E9" s="127" t="s">
        <v>135</v>
      </c>
      <c r="F9" s="337" t="s">
        <v>399</v>
      </c>
      <c r="G9" s="337" t="s">
        <v>399</v>
      </c>
      <c r="H9" s="337" t="s">
        <v>20</v>
      </c>
      <c r="I9" s="244">
        <v>165357.5</v>
      </c>
      <c r="J9" s="364">
        <v>19328</v>
      </c>
      <c r="K9" s="352">
        <f>J9/G9</f>
        <v>394.44897959183675</v>
      </c>
      <c r="L9" s="466">
        <f>I9/J9</f>
        <v>8.55533423013245</v>
      </c>
      <c r="M9" s="342">
        <v>165357.5</v>
      </c>
      <c r="N9" s="353">
        <v>19328</v>
      </c>
      <c r="O9" s="288">
        <f>+M9/N9</f>
        <v>8.55533423013245</v>
      </c>
      <c r="P9" s="235"/>
    </row>
    <row r="10" spans="1:16" s="7" customFormat="1" ht="15">
      <c r="A10" s="101">
        <v>6</v>
      </c>
      <c r="B10" s="119" t="s">
        <v>513</v>
      </c>
      <c r="C10" s="117">
        <v>39276</v>
      </c>
      <c r="D10" s="128" t="s">
        <v>64</v>
      </c>
      <c r="E10" s="128" t="s">
        <v>27</v>
      </c>
      <c r="F10" s="357">
        <v>26</v>
      </c>
      <c r="G10" s="357">
        <v>26</v>
      </c>
      <c r="H10" s="357">
        <v>1</v>
      </c>
      <c r="I10" s="251">
        <v>131877</v>
      </c>
      <c r="J10" s="367">
        <v>11861</v>
      </c>
      <c r="K10" s="388">
        <f>+J10/G10</f>
        <v>456.1923076923077</v>
      </c>
      <c r="L10" s="389">
        <f>+I10/J10</f>
        <v>11.118539752128825</v>
      </c>
      <c r="M10" s="343">
        <f>I10</f>
        <v>131877</v>
      </c>
      <c r="N10" s="356">
        <f>J10</f>
        <v>11861</v>
      </c>
      <c r="O10" s="334">
        <f>M10/N10</f>
        <v>11.118539752128825</v>
      </c>
      <c r="P10" s="235"/>
    </row>
    <row r="11" spans="1:16" s="7" customFormat="1" ht="15">
      <c r="A11" s="101">
        <v>7</v>
      </c>
      <c r="B11" s="239" t="s">
        <v>496</v>
      </c>
      <c r="C11" s="114">
        <v>39269</v>
      </c>
      <c r="D11" s="125" t="s">
        <v>56</v>
      </c>
      <c r="E11" s="124" t="s">
        <v>71</v>
      </c>
      <c r="F11" s="336">
        <v>56</v>
      </c>
      <c r="G11" s="336">
        <v>56</v>
      </c>
      <c r="H11" s="336">
        <v>2</v>
      </c>
      <c r="I11" s="244">
        <v>97635</v>
      </c>
      <c r="J11" s="364">
        <v>11892</v>
      </c>
      <c r="K11" s="358">
        <f aca="true" t="shared" si="0" ref="K11:K52">J11/G11</f>
        <v>212.35714285714286</v>
      </c>
      <c r="L11" s="344">
        <f aca="true" t="shared" si="1" ref="L11:L52">I11/J11</f>
        <v>8.210141271442987</v>
      </c>
      <c r="M11" s="342">
        <f>134837+97635</f>
        <v>232472</v>
      </c>
      <c r="N11" s="353">
        <f>16076+11892</f>
        <v>27968</v>
      </c>
      <c r="O11" s="288">
        <f aca="true" t="shared" si="2" ref="O11:O25">+M11/N11</f>
        <v>8.312070938215102</v>
      </c>
      <c r="P11" s="235"/>
    </row>
    <row r="12" spans="1:16" s="7" customFormat="1" ht="15">
      <c r="A12" s="101">
        <v>8</v>
      </c>
      <c r="B12" s="239" t="s">
        <v>456</v>
      </c>
      <c r="C12" s="114">
        <v>39241</v>
      </c>
      <c r="D12" s="125" t="s">
        <v>56</v>
      </c>
      <c r="E12" s="124" t="s">
        <v>11</v>
      </c>
      <c r="F12" s="336">
        <v>114</v>
      </c>
      <c r="G12" s="336">
        <v>66</v>
      </c>
      <c r="H12" s="336">
        <v>6</v>
      </c>
      <c r="I12" s="244">
        <v>55281</v>
      </c>
      <c r="J12" s="364">
        <v>9202</v>
      </c>
      <c r="K12" s="358">
        <f t="shared" si="0"/>
        <v>139.42424242424244</v>
      </c>
      <c r="L12" s="344">
        <f t="shared" si="1"/>
        <v>6.007498369919583</v>
      </c>
      <c r="M12" s="342">
        <f>1424760+644906+381265+231148+102150+55281</f>
        <v>2839510</v>
      </c>
      <c r="N12" s="353">
        <f>161361+74014+43430+27827+13281+9202</f>
        <v>329115</v>
      </c>
      <c r="O12" s="288">
        <f t="shared" si="2"/>
        <v>8.62771371708977</v>
      </c>
      <c r="P12" s="235"/>
    </row>
    <row r="13" spans="1:16" s="7" customFormat="1" ht="15">
      <c r="A13" s="101">
        <v>9</v>
      </c>
      <c r="B13" s="240" t="s">
        <v>514</v>
      </c>
      <c r="C13" s="115">
        <v>39276</v>
      </c>
      <c r="D13" s="126" t="s">
        <v>57</v>
      </c>
      <c r="E13" s="126" t="s">
        <v>63</v>
      </c>
      <c r="F13" s="116">
        <v>20</v>
      </c>
      <c r="G13" s="116">
        <v>20</v>
      </c>
      <c r="H13" s="116">
        <v>1</v>
      </c>
      <c r="I13" s="243">
        <v>36874</v>
      </c>
      <c r="J13" s="365">
        <v>3559</v>
      </c>
      <c r="K13" s="352">
        <f t="shared" si="0"/>
        <v>177.95</v>
      </c>
      <c r="L13" s="466">
        <f t="shared" si="1"/>
        <v>10.3607754987356</v>
      </c>
      <c r="M13" s="341">
        <v>36874</v>
      </c>
      <c r="N13" s="352">
        <v>3559</v>
      </c>
      <c r="O13" s="288">
        <f t="shared" si="2"/>
        <v>10.3607754987356</v>
      </c>
      <c r="P13" s="235"/>
    </row>
    <row r="14" spans="1:16" s="7" customFormat="1" ht="15">
      <c r="A14" s="101">
        <v>10</v>
      </c>
      <c r="B14" s="240" t="s">
        <v>415</v>
      </c>
      <c r="C14" s="115">
        <v>39227</v>
      </c>
      <c r="D14" s="126" t="s">
        <v>57</v>
      </c>
      <c r="E14" s="126" t="s">
        <v>60</v>
      </c>
      <c r="F14" s="116">
        <v>216</v>
      </c>
      <c r="G14" s="116">
        <v>42</v>
      </c>
      <c r="H14" s="116">
        <v>8</v>
      </c>
      <c r="I14" s="243">
        <v>31098</v>
      </c>
      <c r="J14" s="365">
        <v>4936</v>
      </c>
      <c r="K14" s="352">
        <f t="shared" si="0"/>
        <v>117.52380952380952</v>
      </c>
      <c r="L14" s="466">
        <f t="shared" si="1"/>
        <v>6.300243111831443</v>
      </c>
      <c r="M14" s="341">
        <v>7341497</v>
      </c>
      <c r="N14" s="352">
        <v>957895</v>
      </c>
      <c r="O14" s="288">
        <f t="shared" si="2"/>
        <v>7.664198059286248</v>
      </c>
      <c r="P14" s="235"/>
    </row>
    <row r="15" spans="1:16" s="7" customFormat="1" ht="15">
      <c r="A15" s="101">
        <v>11</v>
      </c>
      <c r="B15" s="239" t="s">
        <v>467</v>
      </c>
      <c r="C15" s="114">
        <v>39255</v>
      </c>
      <c r="D15" s="125" t="s">
        <v>56</v>
      </c>
      <c r="E15" s="124" t="s">
        <v>61</v>
      </c>
      <c r="F15" s="336">
        <v>55</v>
      </c>
      <c r="G15" s="336">
        <v>27</v>
      </c>
      <c r="H15" s="336">
        <v>4</v>
      </c>
      <c r="I15" s="244">
        <v>30948</v>
      </c>
      <c r="J15" s="364">
        <v>5233</v>
      </c>
      <c r="K15" s="358">
        <f t="shared" si="0"/>
        <v>193.8148148148148</v>
      </c>
      <c r="L15" s="344">
        <f t="shared" si="1"/>
        <v>5.91400726160902</v>
      </c>
      <c r="M15" s="342">
        <f>260034+143561+70552+30948</f>
        <v>505095</v>
      </c>
      <c r="N15" s="353">
        <f>29412+16993+8626+5233</f>
        <v>60264</v>
      </c>
      <c r="O15" s="288">
        <f t="shared" si="2"/>
        <v>8.381371963361211</v>
      </c>
      <c r="P15" s="235"/>
    </row>
    <row r="16" spans="1:16" s="7" customFormat="1" ht="15">
      <c r="A16" s="101">
        <v>12</v>
      </c>
      <c r="B16" s="240" t="s">
        <v>468</v>
      </c>
      <c r="C16" s="115">
        <v>39255</v>
      </c>
      <c r="D16" s="126" t="s">
        <v>57</v>
      </c>
      <c r="E16" s="126" t="s">
        <v>71</v>
      </c>
      <c r="F16" s="116">
        <v>66</v>
      </c>
      <c r="G16" s="116">
        <v>43</v>
      </c>
      <c r="H16" s="116">
        <v>4</v>
      </c>
      <c r="I16" s="243">
        <v>26377</v>
      </c>
      <c r="J16" s="365">
        <v>4290</v>
      </c>
      <c r="K16" s="352">
        <f t="shared" si="0"/>
        <v>99.76744186046511</v>
      </c>
      <c r="L16" s="466">
        <f t="shared" si="1"/>
        <v>6.148484848484848</v>
      </c>
      <c r="M16" s="341">
        <v>369936</v>
      </c>
      <c r="N16" s="352">
        <v>41576</v>
      </c>
      <c r="O16" s="288">
        <f t="shared" si="2"/>
        <v>8.897825668654994</v>
      </c>
      <c r="P16" s="235"/>
    </row>
    <row r="17" spans="1:16" s="7" customFormat="1" ht="15">
      <c r="A17" s="101">
        <v>13</v>
      </c>
      <c r="B17" s="239" t="s">
        <v>461</v>
      </c>
      <c r="C17" s="114">
        <v>39248</v>
      </c>
      <c r="D17" s="125" t="s">
        <v>56</v>
      </c>
      <c r="E17" s="124" t="s">
        <v>144</v>
      </c>
      <c r="F17" s="336">
        <v>40</v>
      </c>
      <c r="G17" s="336">
        <v>34</v>
      </c>
      <c r="H17" s="336">
        <v>5</v>
      </c>
      <c r="I17" s="244">
        <v>25870</v>
      </c>
      <c r="J17" s="364">
        <v>4428</v>
      </c>
      <c r="K17" s="358">
        <f t="shared" si="0"/>
        <v>130.23529411764707</v>
      </c>
      <c r="L17" s="344">
        <f t="shared" si="1"/>
        <v>5.842366757000903</v>
      </c>
      <c r="M17" s="342">
        <f>212978+130834+73437+13970+25870</f>
        <v>457089</v>
      </c>
      <c r="N17" s="353">
        <f>23206+14008+7879+2315+4428</f>
        <v>51836</v>
      </c>
      <c r="O17" s="288">
        <f t="shared" si="2"/>
        <v>8.817983640713019</v>
      </c>
      <c r="P17" s="235"/>
    </row>
    <row r="18" spans="1:16" s="7" customFormat="1" ht="15">
      <c r="A18" s="101">
        <v>14</v>
      </c>
      <c r="B18" s="240" t="s">
        <v>469</v>
      </c>
      <c r="C18" s="115">
        <v>39255</v>
      </c>
      <c r="D18" s="126" t="s">
        <v>66</v>
      </c>
      <c r="E18" s="126" t="s">
        <v>66</v>
      </c>
      <c r="F18" s="116">
        <v>39</v>
      </c>
      <c r="G18" s="116">
        <v>39</v>
      </c>
      <c r="H18" s="116">
        <v>4</v>
      </c>
      <c r="I18" s="243">
        <v>20071</v>
      </c>
      <c r="J18" s="365">
        <v>3680</v>
      </c>
      <c r="K18" s="352">
        <f t="shared" si="0"/>
        <v>94.35897435897436</v>
      </c>
      <c r="L18" s="466">
        <f t="shared" si="1"/>
        <v>5.454076086956522</v>
      </c>
      <c r="M18" s="341">
        <f>81018+54551+29525+20071</f>
        <v>185165</v>
      </c>
      <c r="N18" s="352">
        <f>9778+6732+4213+3680</f>
        <v>24403</v>
      </c>
      <c r="O18" s="288">
        <f t="shared" si="2"/>
        <v>7.587796582387411</v>
      </c>
      <c r="P18" s="235"/>
    </row>
    <row r="19" spans="1:16" s="7" customFormat="1" ht="15">
      <c r="A19" s="101">
        <v>15</v>
      </c>
      <c r="B19" s="241" t="s">
        <v>486</v>
      </c>
      <c r="C19" s="115">
        <v>39262</v>
      </c>
      <c r="D19" s="130" t="s">
        <v>23</v>
      </c>
      <c r="E19" s="129" t="s">
        <v>487</v>
      </c>
      <c r="F19" s="118">
        <v>21</v>
      </c>
      <c r="G19" s="118">
        <v>21</v>
      </c>
      <c r="H19" s="118">
        <v>3</v>
      </c>
      <c r="I19" s="243">
        <v>17578.5</v>
      </c>
      <c r="J19" s="365">
        <v>3088</v>
      </c>
      <c r="K19" s="352">
        <f t="shared" si="0"/>
        <v>147.04761904761904</v>
      </c>
      <c r="L19" s="466">
        <f t="shared" si="1"/>
        <v>5.692519430051814</v>
      </c>
      <c r="M19" s="341">
        <f>45987.5+25413.5+17578.5</f>
        <v>88979.5</v>
      </c>
      <c r="N19" s="352">
        <f>5050+3112+3088</f>
        <v>11250</v>
      </c>
      <c r="O19" s="288">
        <f t="shared" si="2"/>
        <v>7.909288888888889</v>
      </c>
      <c r="P19" s="235"/>
    </row>
    <row r="20" spans="1:16" s="7" customFormat="1" ht="15">
      <c r="A20" s="101">
        <v>16</v>
      </c>
      <c r="B20" s="242" t="s">
        <v>497</v>
      </c>
      <c r="C20" s="114">
        <v>39269</v>
      </c>
      <c r="D20" s="127" t="s">
        <v>73</v>
      </c>
      <c r="E20" s="127" t="s">
        <v>73</v>
      </c>
      <c r="F20" s="337" t="s">
        <v>316</v>
      </c>
      <c r="G20" s="337" t="s">
        <v>316</v>
      </c>
      <c r="H20" s="337" t="s">
        <v>37</v>
      </c>
      <c r="I20" s="244">
        <v>15691</v>
      </c>
      <c r="J20" s="364">
        <v>1913</v>
      </c>
      <c r="K20" s="352">
        <f t="shared" si="0"/>
        <v>191.3</v>
      </c>
      <c r="L20" s="466">
        <f t="shared" si="1"/>
        <v>8.202300052273916</v>
      </c>
      <c r="M20" s="342">
        <v>47423</v>
      </c>
      <c r="N20" s="353">
        <v>5166</v>
      </c>
      <c r="O20" s="288">
        <f t="shared" si="2"/>
        <v>9.179829655439411</v>
      </c>
      <c r="P20" s="235"/>
    </row>
    <row r="21" spans="1:16" s="7" customFormat="1" ht="15">
      <c r="A21" s="101">
        <v>17</v>
      </c>
      <c r="B21" s="241" t="s">
        <v>484</v>
      </c>
      <c r="C21" s="115">
        <v>39262</v>
      </c>
      <c r="D21" s="130" t="s">
        <v>23</v>
      </c>
      <c r="E21" s="129" t="s">
        <v>485</v>
      </c>
      <c r="F21" s="118">
        <v>15</v>
      </c>
      <c r="G21" s="118">
        <v>15</v>
      </c>
      <c r="H21" s="118">
        <v>3</v>
      </c>
      <c r="I21" s="243">
        <v>11247</v>
      </c>
      <c r="J21" s="365">
        <v>1325</v>
      </c>
      <c r="K21" s="352">
        <f t="shared" si="0"/>
        <v>88.33333333333333</v>
      </c>
      <c r="L21" s="466">
        <f t="shared" si="1"/>
        <v>8.488301886792453</v>
      </c>
      <c r="M21" s="341">
        <f>1072+50406+28763.5+11247</f>
        <v>91488.5</v>
      </c>
      <c r="N21" s="352">
        <f>148+4453+2639+1325</f>
        <v>8565</v>
      </c>
      <c r="O21" s="288">
        <f t="shared" si="2"/>
        <v>10.681669585522474</v>
      </c>
      <c r="P21" s="235"/>
    </row>
    <row r="22" spans="1:16" s="7" customFormat="1" ht="15">
      <c r="A22" s="101">
        <v>18</v>
      </c>
      <c r="B22" s="241" t="s">
        <v>434</v>
      </c>
      <c r="C22" s="115">
        <v>39241</v>
      </c>
      <c r="D22" s="130" t="s">
        <v>23</v>
      </c>
      <c r="E22" s="129" t="s">
        <v>148</v>
      </c>
      <c r="F22" s="118">
        <v>20</v>
      </c>
      <c r="G22" s="118">
        <v>20</v>
      </c>
      <c r="H22" s="118">
        <v>6</v>
      </c>
      <c r="I22" s="243">
        <v>6941</v>
      </c>
      <c r="J22" s="365">
        <v>1282</v>
      </c>
      <c r="K22" s="352">
        <f t="shared" si="0"/>
        <v>64.1</v>
      </c>
      <c r="L22" s="466">
        <f t="shared" si="1"/>
        <v>5.414196567862715</v>
      </c>
      <c r="M22" s="341">
        <f>56566+21711.5+6770+7786.5+8048+6941</f>
        <v>107823</v>
      </c>
      <c r="N22" s="352">
        <f>5960+2542+1094+1304+1726+1282</f>
        <v>13908</v>
      </c>
      <c r="O22" s="288">
        <f t="shared" si="2"/>
        <v>7.752588438308887</v>
      </c>
      <c r="P22" s="235"/>
    </row>
    <row r="23" spans="1:16" s="7" customFormat="1" ht="15">
      <c r="A23" s="101">
        <v>19</v>
      </c>
      <c r="B23" s="240" t="s">
        <v>179</v>
      </c>
      <c r="C23" s="115">
        <v>39101</v>
      </c>
      <c r="D23" s="126" t="s">
        <v>58</v>
      </c>
      <c r="E23" s="126" t="s">
        <v>58</v>
      </c>
      <c r="F23" s="116">
        <v>160</v>
      </c>
      <c r="G23" s="116">
        <v>2</v>
      </c>
      <c r="H23" s="116">
        <v>25</v>
      </c>
      <c r="I23" s="243">
        <v>6041</v>
      </c>
      <c r="J23" s="365">
        <v>1510</v>
      </c>
      <c r="K23" s="352">
        <f t="shared" si="0"/>
        <v>755</v>
      </c>
      <c r="L23" s="466">
        <f t="shared" si="1"/>
        <v>4.000662251655629</v>
      </c>
      <c r="M23" s="341">
        <f>3815016+1300103.5+871510+26.5+643328.5+285+427492+144808.5-4582.5+117687.5+159.5+78376+20328+17217+7297+945+2840.5+34810+328+1337+17151+158+30+3021+2014+152+6041</f>
        <v>7507880</v>
      </c>
      <c r="N23" s="352">
        <f>302979+231870+176034+121748+3+91906+35+60830+21133-764+16236+14+11431-4+2924+3552+1459+120+1210+2+11600+81+437+5713+17+6+604+503+25+1510</f>
        <v>1063214</v>
      </c>
      <c r="O23" s="288">
        <f t="shared" si="2"/>
        <v>7.061494675578012</v>
      </c>
      <c r="P23" s="235"/>
    </row>
    <row r="24" spans="1:16" s="7" customFormat="1" ht="15">
      <c r="A24" s="101">
        <v>20</v>
      </c>
      <c r="B24" s="241" t="s">
        <v>416</v>
      </c>
      <c r="C24" s="115">
        <v>39227</v>
      </c>
      <c r="D24" s="130" t="s">
        <v>23</v>
      </c>
      <c r="E24" s="129" t="s">
        <v>343</v>
      </c>
      <c r="F24" s="118">
        <v>5</v>
      </c>
      <c r="G24" s="118">
        <v>5</v>
      </c>
      <c r="H24" s="118">
        <v>8</v>
      </c>
      <c r="I24" s="243">
        <v>5718</v>
      </c>
      <c r="J24" s="365">
        <v>775</v>
      </c>
      <c r="K24" s="352">
        <f t="shared" si="0"/>
        <v>155</v>
      </c>
      <c r="L24" s="466">
        <f t="shared" si="1"/>
        <v>7.378064516129032</v>
      </c>
      <c r="M24" s="341">
        <f>18794+5525.5+3600+3074+7613+5767.5+3269+5718</f>
        <v>53361</v>
      </c>
      <c r="N24" s="352">
        <f>1711+728+514+497+915+744+533+775</f>
        <v>6417</v>
      </c>
      <c r="O24" s="288">
        <f t="shared" si="2"/>
        <v>8.315568022440393</v>
      </c>
      <c r="P24" s="235"/>
    </row>
    <row r="25" spans="1:16" s="7" customFormat="1" ht="15">
      <c r="A25" s="101">
        <v>21</v>
      </c>
      <c r="B25" s="242" t="s">
        <v>498</v>
      </c>
      <c r="C25" s="114">
        <v>39269</v>
      </c>
      <c r="D25" s="127" t="s">
        <v>73</v>
      </c>
      <c r="E25" s="127" t="s">
        <v>135</v>
      </c>
      <c r="F25" s="337" t="s">
        <v>20</v>
      </c>
      <c r="G25" s="337" t="s">
        <v>20</v>
      </c>
      <c r="H25" s="337" t="s">
        <v>37</v>
      </c>
      <c r="I25" s="244">
        <v>5631.44</v>
      </c>
      <c r="J25" s="364">
        <v>1075</v>
      </c>
      <c r="K25" s="352">
        <f t="shared" si="0"/>
        <v>1075</v>
      </c>
      <c r="L25" s="466">
        <f t="shared" si="1"/>
        <v>5.238548837209302</v>
      </c>
      <c r="M25" s="342">
        <v>9858.44</v>
      </c>
      <c r="N25" s="353">
        <v>1395</v>
      </c>
      <c r="O25" s="288">
        <f t="shared" si="2"/>
        <v>7.066982078853047</v>
      </c>
      <c r="P25" s="235"/>
    </row>
    <row r="26" spans="1:16" s="7" customFormat="1" ht="15">
      <c r="A26" s="101">
        <v>22</v>
      </c>
      <c r="B26" s="119" t="s">
        <v>445</v>
      </c>
      <c r="C26" s="117">
        <v>39234</v>
      </c>
      <c r="D26" s="128" t="s">
        <v>64</v>
      </c>
      <c r="E26" s="128" t="s">
        <v>273</v>
      </c>
      <c r="F26" s="357">
        <v>50</v>
      </c>
      <c r="G26" s="357">
        <v>21</v>
      </c>
      <c r="H26" s="357">
        <v>7</v>
      </c>
      <c r="I26" s="251">
        <v>4771</v>
      </c>
      <c r="J26" s="367">
        <v>894</v>
      </c>
      <c r="K26" s="352">
        <f t="shared" si="0"/>
        <v>42.57142857142857</v>
      </c>
      <c r="L26" s="466">
        <f t="shared" si="1"/>
        <v>5.33668903803132</v>
      </c>
      <c r="M26" s="343">
        <v>395864</v>
      </c>
      <c r="N26" s="352">
        <v>51973</v>
      </c>
      <c r="O26" s="334">
        <f>M26/N26</f>
        <v>7.616724068266215</v>
      </c>
      <c r="P26" s="235"/>
    </row>
    <row r="27" spans="1:16" s="7" customFormat="1" ht="15">
      <c r="A27" s="101">
        <v>23</v>
      </c>
      <c r="B27" s="239" t="s">
        <v>381</v>
      </c>
      <c r="C27" s="114">
        <v>39206</v>
      </c>
      <c r="D27" s="125" t="s">
        <v>56</v>
      </c>
      <c r="E27" s="124" t="s">
        <v>61</v>
      </c>
      <c r="F27" s="336">
        <v>163</v>
      </c>
      <c r="G27" s="336">
        <v>10</v>
      </c>
      <c r="H27" s="336">
        <v>11</v>
      </c>
      <c r="I27" s="244">
        <v>3792</v>
      </c>
      <c r="J27" s="364">
        <v>709</v>
      </c>
      <c r="K27" s="358">
        <f t="shared" si="0"/>
        <v>70.9</v>
      </c>
      <c r="L27" s="344">
        <f t="shared" si="1"/>
        <v>5.348377997179125</v>
      </c>
      <c r="M27" s="342">
        <f>2739132+1415220+863921+292563+163748+73051+52236+22471+12322+7793+3792</f>
        <v>5646249</v>
      </c>
      <c r="N27" s="353">
        <f>347281+180161+109405+38153+22549+13412+12422+3817+2194+1661+709</f>
        <v>731764</v>
      </c>
      <c r="O27" s="288">
        <f aca="true" t="shared" si="3" ref="O27:O35">+M27/N27</f>
        <v>7.715942571648783</v>
      </c>
      <c r="P27" s="235"/>
    </row>
    <row r="28" spans="1:16" s="7" customFormat="1" ht="15">
      <c r="A28" s="101">
        <v>24</v>
      </c>
      <c r="B28" s="240" t="s">
        <v>75</v>
      </c>
      <c r="C28" s="115">
        <v>39045</v>
      </c>
      <c r="D28" s="126" t="s">
        <v>58</v>
      </c>
      <c r="E28" s="126" t="s">
        <v>76</v>
      </c>
      <c r="F28" s="116">
        <v>59</v>
      </c>
      <c r="G28" s="116">
        <v>1</v>
      </c>
      <c r="H28" s="116">
        <v>22</v>
      </c>
      <c r="I28" s="243">
        <v>3564</v>
      </c>
      <c r="J28" s="365">
        <v>891</v>
      </c>
      <c r="K28" s="352">
        <f t="shared" si="0"/>
        <v>891</v>
      </c>
      <c r="L28" s="466">
        <f t="shared" si="1"/>
        <v>4</v>
      </c>
      <c r="M28" s="341">
        <f>923228.5+937012.5+950194+628448.5+336851+386155+185586+7528+78557+38487.5+19951.5+79+2267.5-1008+9203+2435+1210+836+3795.5+1284+1033+2376+108+8910+3564</f>
        <v>4528092.5</v>
      </c>
      <c r="N28" s="352">
        <f>117837+123027+120667+81172+47916+61261+32646+795+14471+9345+4644+35+561-336+1591+487+300+161+1018+303+241+475+13+2228+891</f>
        <v>621749</v>
      </c>
      <c r="O28" s="288">
        <f t="shared" si="3"/>
        <v>7.282830370454959</v>
      </c>
      <c r="P28" s="235"/>
    </row>
    <row r="29" spans="1:16" s="7" customFormat="1" ht="15">
      <c r="A29" s="101">
        <v>25</v>
      </c>
      <c r="B29" s="240" t="s">
        <v>433</v>
      </c>
      <c r="C29" s="115">
        <v>39241</v>
      </c>
      <c r="D29" s="126" t="s">
        <v>66</v>
      </c>
      <c r="E29" s="126" t="s">
        <v>66</v>
      </c>
      <c r="F29" s="116">
        <v>50</v>
      </c>
      <c r="G29" s="116">
        <v>12</v>
      </c>
      <c r="H29" s="116">
        <v>6</v>
      </c>
      <c r="I29" s="243">
        <v>3366</v>
      </c>
      <c r="J29" s="365">
        <v>643</v>
      </c>
      <c r="K29" s="352">
        <f t="shared" si="0"/>
        <v>53.583333333333336</v>
      </c>
      <c r="L29" s="466">
        <f t="shared" si="1"/>
        <v>5.234836702954899</v>
      </c>
      <c r="M29" s="341">
        <f>129364.5+92376+23571+24305+14210+3366</f>
        <v>287192.5</v>
      </c>
      <c r="N29" s="352">
        <f>16515+11732+3415+4308+2607+643</f>
        <v>39220</v>
      </c>
      <c r="O29" s="288">
        <f t="shared" si="3"/>
        <v>7.322603263641</v>
      </c>
      <c r="P29" s="235"/>
    </row>
    <row r="30" spans="1:16" s="7" customFormat="1" ht="15">
      <c r="A30" s="101">
        <v>26</v>
      </c>
      <c r="B30" s="240" t="s">
        <v>430</v>
      </c>
      <c r="C30" s="115">
        <v>39094</v>
      </c>
      <c r="D30" s="126" t="s">
        <v>58</v>
      </c>
      <c r="E30" s="126" t="s">
        <v>333</v>
      </c>
      <c r="F30" s="116">
        <v>226</v>
      </c>
      <c r="G30" s="116">
        <v>4</v>
      </c>
      <c r="H30" s="116">
        <v>25</v>
      </c>
      <c r="I30" s="243">
        <v>3296.5</v>
      </c>
      <c r="J30" s="365">
        <v>819</v>
      </c>
      <c r="K30" s="352">
        <f t="shared" si="0"/>
        <v>204.75</v>
      </c>
      <c r="L30" s="466">
        <f t="shared" si="1"/>
        <v>4.025030525030525</v>
      </c>
      <c r="M30" s="341">
        <f>3142328+2138928+1454143+1085018.5-637+512497+119516+49072.5+21975.5+19023+9522+7521+6716.5+973+245+20+90+85+70+947+133+2189+149+3296.5</f>
        <v>8573821.5</v>
      </c>
      <c r="N30" s="352">
        <f>453903+300559+202455+152725+101+73889+22414+10560+4196+3829+2908+1791+1716+233+42+4+18+17+14+309+15+538+24+819</f>
        <v>1233079</v>
      </c>
      <c r="O30" s="288">
        <f t="shared" si="3"/>
        <v>6.953181020842947</v>
      </c>
      <c r="P30" s="235"/>
    </row>
    <row r="31" spans="1:16" s="7" customFormat="1" ht="15">
      <c r="A31" s="101">
        <v>27</v>
      </c>
      <c r="B31" s="241" t="s">
        <v>401</v>
      </c>
      <c r="C31" s="115">
        <v>39220</v>
      </c>
      <c r="D31" s="130" t="s">
        <v>23</v>
      </c>
      <c r="E31" s="129" t="s">
        <v>69</v>
      </c>
      <c r="F31" s="118">
        <v>88</v>
      </c>
      <c r="G31" s="118">
        <v>8</v>
      </c>
      <c r="H31" s="118">
        <v>9</v>
      </c>
      <c r="I31" s="243">
        <v>3061.5</v>
      </c>
      <c r="J31" s="365">
        <v>665</v>
      </c>
      <c r="K31" s="352">
        <f t="shared" si="0"/>
        <v>83.125</v>
      </c>
      <c r="L31" s="466">
        <f t="shared" si="1"/>
        <v>4.603759398496241</v>
      </c>
      <c r="M31" s="341">
        <f>243956.5+117427+73654+72685+18159+15476.5+4523.5+4430.5+3061.5</f>
        <v>553373.5</v>
      </c>
      <c r="N31" s="352">
        <f>30030+15614+11438+12738+3793+3129+868+1018+665</f>
        <v>79293</v>
      </c>
      <c r="O31" s="288">
        <f t="shared" si="3"/>
        <v>6.978844286380891</v>
      </c>
      <c r="P31" s="235"/>
    </row>
    <row r="32" spans="1:16" s="7" customFormat="1" ht="15">
      <c r="A32" s="101">
        <v>28</v>
      </c>
      <c r="B32" s="239" t="s">
        <v>462</v>
      </c>
      <c r="C32" s="114">
        <v>39248</v>
      </c>
      <c r="D32" s="125" t="s">
        <v>56</v>
      </c>
      <c r="E32" s="124" t="s">
        <v>71</v>
      </c>
      <c r="F32" s="336">
        <v>43</v>
      </c>
      <c r="G32" s="336">
        <v>14</v>
      </c>
      <c r="H32" s="336">
        <v>5</v>
      </c>
      <c r="I32" s="244">
        <v>2860</v>
      </c>
      <c r="J32" s="364">
        <v>570</v>
      </c>
      <c r="K32" s="358">
        <f t="shared" si="0"/>
        <v>40.714285714285715</v>
      </c>
      <c r="L32" s="344">
        <f t="shared" si="1"/>
        <v>5.017543859649122</v>
      </c>
      <c r="M32" s="342">
        <f>42123+14013+3348+3474+2860</f>
        <v>65818</v>
      </c>
      <c r="N32" s="353">
        <f>5045+1702+479+644+570</f>
        <v>8440</v>
      </c>
      <c r="O32" s="288">
        <f t="shared" si="3"/>
        <v>7.7983412322274885</v>
      </c>
      <c r="P32" s="235"/>
    </row>
    <row r="33" spans="1:16" s="7" customFormat="1" ht="15">
      <c r="A33" s="101">
        <v>29</v>
      </c>
      <c r="B33" s="240" t="s">
        <v>391</v>
      </c>
      <c r="C33" s="115">
        <v>39213</v>
      </c>
      <c r="D33" s="126" t="s">
        <v>58</v>
      </c>
      <c r="E33" s="126" t="s">
        <v>59</v>
      </c>
      <c r="F33" s="116">
        <v>5</v>
      </c>
      <c r="G33" s="116">
        <v>4</v>
      </c>
      <c r="H33" s="116">
        <v>10</v>
      </c>
      <c r="I33" s="243">
        <v>2745</v>
      </c>
      <c r="J33" s="365">
        <v>405</v>
      </c>
      <c r="K33" s="352">
        <f t="shared" si="0"/>
        <v>101.25</v>
      </c>
      <c r="L33" s="466">
        <f t="shared" si="1"/>
        <v>6.777777777777778</v>
      </c>
      <c r="M33" s="341">
        <f>25052+11949.5+3201+4494+4686.5+1784.5+1964.5+1245.5+867+2745</f>
        <v>57989.5</v>
      </c>
      <c r="N33" s="352">
        <f>2528+1205+383+567+687+312+364+233+144+405</f>
        <v>6828</v>
      </c>
      <c r="O33" s="288">
        <f t="shared" si="3"/>
        <v>8.492896895137669</v>
      </c>
      <c r="P33" s="235"/>
    </row>
    <row r="34" spans="1:16" s="7" customFormat="1" ht="15">
      <c r="A34" s="101">
        <v>30</v>
      </c>
      <c r="B34" s="242" t="s">
        <v>463</v>
      </c>
      <c r="C34" s="114">
        <v>39248</v>
      </c>
      <c r="D34" s="127" t="s">
        <v>73</v>
      </c>
      <c r="E34" s="127" t="s">
        <v>135</v>
      </c>
      <c r="F34" s="337" t="s">
        <v>464</v>
      </c>
      <c r="G34" s="337" t="s">
        <v>503</v>
      </c>
      <c r="H34" s="337" t="s">
        <v>313</v>
      </c>
      <c r="I34" s="244">
        <v>2683</v>
      </c>
      <c r="J34" s="364">
        <v>444</v>
      </c>
      <c r="K34" s="352">
        <f t="shared" si="0"/>
        <v>31.714285714285715</v>
      </c>
      <c r="L34" s="466">
        <f t="shared" si="1"/>
        <v>6.042792792792793</v>
      </c>
      <c r="M34" s="342">
        <v>44380</v>
      </c>
      <c r="N34" s="353">
        <v>5391</v>
      </c>
      <c r="O34" s="288">
        <f t="shared" si="3"/>
        <v>8.23223891671304</v>
      </c>
      <c r="P34" s="235"/>
    </row>
    <row r="35" spans="1:16" s="7" customFormat="1" ht="15">
      <c r="A35" s="101">
        <v>31</v>
      </c>
      <c r="B35" s="240" t="s">
        <v>400</v>
      </c>
      <c r="C35" s="115">
        <v>39220</v>
      </c>
      <c r="D35" s="126" t="s">
        <v>57</v>
      </c>
      <c r="E35" s="126" t="s">
        <v>63</v>
      </c>
      <c r="F35" s="116">
        <v>55</v>
      </c>
      <c r="G35" s="116">
        <v>4</v>
      </c>
      <c r="H35" s="116">
        <v>9</v>
      </c>
      <c r="I35" s="243">
        <v>2471</v>
      </c>
      <c r="J35" s="365">
        <v>347</v>
      </c>
      <c r="K35" s="352">
        <f t="shared" si="0"/>
        <v>86.75</v>
      </c>
      <c r="L35" s="466">
        <f t="shared" si="1"/>
        <v>7.121037463976945</v>
      </c>
      <c r="M35" s="341">
        <v>561281</v>
      </c>
      <c r="N35" s="352">
        <v>67222</v>
      </c>
      <c r="O35" s="288">
        <f t="shared" si="3"/>
        <v>8.349662312933265</v>
      </c>
      <c r="P35" s="235"/>
    </row>
    <row r="36" spans="1:16" s="7" customFormat="1" ht="15">
      <c r="A36" s="101">
        <v>32</v>
      </c>
      <c r="B36" s="119" t="s">
        <v>373</v>
      </c>
      <c r="C36" s="117">
        <v>39199</v>
      </c>
      <c r="D36" s="128" t="s">
        <v>64</v>
      </c>
      <c r="E36" s="128" t="s">
        <v>65</v>
      </c>
      <c r="F36" s="357">
        <v>82</v>
      </c>
      <c r="G36" s="357">
        <v>2</v>
      </c>
      <c r="H36" s="357">
        <v>12</v>
      </c>
      <c r="I36" s="243">
        <v>2104</v>
      </c>
      <c r="J36" s="365">
        <v>329</v>
      </c>
      <c r="K36" s="352">
        <f t="shared" si="0"/>
        <v>164.5</v>
      </c>
      <c r="L36" s="466">
        <f t="shared" si="1"/>
        <v>6.395136778115502</v>
      </c>
      <c r="M36" s="341">
        <v>1333949</v>
      </c>
      <c r="N36" s="352">
        <v>162191</v>
      </c>
      <c r="O36" s="334">
        <f>M36/N36</f>
        <v>8.224556233083216</v>
      </c>
      <c r="P36" s="235"/>
    </row>
    <row r="37" spans="1:16" s="7" customFormat="1" ht="15">
      <c r="A37" s="101">
        <v>33</v>
      </c>
      <c r="B37" s="239" t="s">
        <v>424</v>
      </c>
      <c r="C37" s="114">
        <v>39234</v>
      </c>
      <c r="D37" s="125" t="s">
        <v>56</v>
      </c>
      <c r="E37" s="124" t="s">
        <v>71</v>
      </c>
      <c r="F37" s="336">
        <v>86</v>
      </c>
      <c r="G37" s="336">
        <v>4</v>
      </c>
      <c r="H37" s="336">
        <v>7</v>
      </c>
      <c r="I37" s="244">
        <v>2079</v>
      </c>
      <c r="J37" s="364">
        <v>435</v>
      </c>
      <c r="K37" s="358">
        <f t="shared" si="0"/>
        <v>108.75</v>
      </c>
      <c r="L37" s="344">
        <f t="shared" si="1"/>
        <v>4.779310344827586</v>
      </c>
      <c r="M37" s="342">
        <f>152831+86024+27725+9491+9432+2744+2079</f>
        <v>290326</v>
      </c>
      <c r="N37" s="353">
        <f>19661+11888+4225+1693+1759+500+435</f>
        <v>40161</v>
      </c>
      <c r="O37" s="288">
        <f aca="true" t="shared" si="4" ref="O37:O44">+M37/N37</f>
        <v>7.229053061427753</v>
      </c>
      <c r="P37" s="235"/>
    </row>
    <row r="38" spans="1:16" s="7" customFormat="1" ht="15">
      <c r="A38" s="101">
        <v>34</v>
      </c>
      <c r="B38" s="239" t="s">
        <v>402</v>
      </c>
      <c r="C38" s="114">
        <v>39220</v>
      </c>
      <c r="D38" s="125" t="s">
        <v>56</v>
      </c>
      <c r="E38" s="124" t="s">
        <v>11</v>
      </c>
      <c r="F38" s="336">
        <v>28</v>
      </c>
      <c r="G38" s="336">
        <v>4</v>
      </c>
      <c r="H38" s="336">
        <v>9</v>
      </c>
      <c r="I38" s="244">
        <v>2014</v>
      </c>
      <c r="J38" s="364">
        <v>469</v>
      </c>
      <c r="K38" s="358">
        <f t="shared" si="0"/>
        <v>117.25</v>
      </c>
      <c r="L38" s="344">
        <f t="shared" si="1"/>
        <v>4.294243070362473</v>
      </c>
      <c r="M38" s="342">
        <f>224258+97645+43916+21186+15004+5922+10170+4031+2014</f>
        <v>424146</v>
      </c>
      <c r="N38" s="353">
        <f>21977+9749+4484+3258+2503+1123+1870+694+469</f>
        <v>46127</v>
      </c>
      <c r="O38" s="288">
        <f t="shared" si="4"/>
        <v>9.195178528844277</v>
      </c>
      <c r="P38" s="235"/>
    </row>
    <row r="39" spans="1:16" s="7" customFormat="1" ht="15">
      <c r="A39" s="101">
        <v>35</v>
      </c>
      <c r="B39" s="240" t="s">
        <v>82</v>
      </c>
      <c r="C39" s="115">
        <v>39010</v>
      </c>
      <c r="D39" s="126" t="s">
        <v>58</v>
      </c>
      <c r="E39" s="126" t="s">
        <v>71</v>
      </c>
      <c r="F39" s="116">
        <v>249</v>
      </c>
      <c r="G39" s="116">
        <v>1</v>
      </c>
      <c r="H39" s="116">
        <v>24</v>
      </c>
      <c r="I39" s="243">
        <v>2013.5</v>
      </c>
      <c r="J39" s="365">
        <v>503</v>
      </c>
      <c r="K39" s="352">
        <f t="shared" si="0"/>
        <v>503</v>
      </c>
      <c r="L39" s="466">
        <f t="shared" si="1"/>
        <v>4.002982107355865</v>
      </c>
      <c r="M39" s="341">
        <f>2091324+1603944+1186300.5+991717.5+717901+573177.5+337639.5+220215+96901+28369.5+13340+3471+3453+2097+5274.5+130+2629+49+347+318+369+3021+100+180+2013.5-3</f>
        <v>7884278.5</v>
      </c>
      <c r="N39" s="352">
        <f>295082+234355+172754+142027+106368+86447+53316+35787+14919+3959+1914+491+674+307+1016+18+519+7+123+128+113+604+12+60+503-1</f>
        <v>1151502</v>
      </c>
      <c r="O39" s="288">
        <f t="shared" si="4"/>
        <v>6.846951633605499</v>
      </c>
      <c r="P39" s="235"/>
    </row>
    <row r="40" spans="1:16" s="7" customFormat="1" ht="15">
      <c r="A40" s="101">
        <v>36</v>
      </c>
      <c r="B40" s="240" t="s">
        <v>244</v>
      </c>
      <c r="C40" s="115">
        <v>38674</v>
      </c>
      <c r="D40" s="126" t="s">
        <v>58</v>
      </c>
      <c r="E40" s="126" t="s">
        <v>245</v>
      </c>
      <c r="F40" s="116">
        <v>135</v>
      </c>
      <c r="G40" s="116">
        <v>1</v>
      </c>
      <c r="H40" s="116">
        <v>56</v>
      </c>
      <c r="I40" s="243">
        <v>2013.5</v>
      </c>
      <c r="J40" s="365">
        <v>503</v>
      </c>
      <c r="K40" s="352">
        <f t="shared" si="0"/>
        <v>503</v>
      </c>
      <c r="L40" s="466">
        <f t="shared" si="1"/>
        <v>4.002982107355865</v>
      </c>
      <c r="M40" s="341">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f>
        <v>25421260</v>
      </c>
      <c r="N40" s="352">
        <f>74406+182802+367017+453161+369242+239307+216443+244832+235512+212084+230729+167361+134787+155924+132040+97910+71996+60438+31787+16691+9973+5959+2986+3569+5752+1319+6383+116+74+2435+21718+7677+8998+2322+3842+5954+1789+5799+2025+141+20137+7199+1304+37+1142+84+717+103+476+105+238+96+1007+806+357+503</f>
        <v>3827611</v>
      </c>
      <c r="O40" s="288">
        <f t="shared" si="4"/>
        <v>6.641547429976558</v>
      </c>
      <c r="P40" s="235"/>
    </row>
    <row r="41" spans="1:16" s="7" customFormat="1" ht="15">
      <c r="A41" s="101">
        <v>37</v>
      </c>
      <c r="B41" s="241" t="s">
        <v>395</v>
      </c>
      <c r="C41" s="115">
        <v>39213</v>
      </c>
      <c r="D41" s="130" t="s">
        <v>23</v>
      </c>
      <c r="E41" s="129" t="s">
        <v>192</v>
      </c>
      <c r="F41" s="118">
        <v>4</v>
      </c>
      <c r="G41" s="118">
        <v>3</v>
      </c>
      <c r="H41" s="118">
        <v>10</v>
      </c>
      <c r="I41" s="243">
        <v>1998.5</v>
      </c>
      <c r="J41" s="365">
        <v>402</v>
      </c>
      <c r="K41" s="352">
        <f t="shared" si="0"/>
        <v>134</v>
      </c>
      <c r="L41" s="466">
        <f t="shared" si="1"/>
        <v>4.971393034825871</v>
      </c>
      <c r="M41" s="341">
        <f>4023.5+5558+2672.5+449+52+4724+1387+416+126+1449+1998.5</f>
        <v>22855.5</v>
      </c>
      <c r="N41" s="352">
        <f>664+522+392+59+6+830+205+77+22+258+402</f>
        <v>3437</v>
      </c>
      <c r="O41" s="288">
        <f t="shared" si="4"/>
        <v>6.649839976723887</v>
      </c>
      <c r="P41" s="235"/>
    </row>
    <row r="42" spans="1:16" s="7" customFormat="1" ht="15">
      <c r="A42" s="101">
        <v>38</v>
      </c>
      <c r="B42" s="241" t="s">
        <v>515</v>
      </c>
      <c r="C42" s="115">
        <v>39115</v>
      </c>
      <c r="D42" s="130" t="s">
        <v>23</v>
      </c>
      <c r="E42" s="129" t="s">
        <v>33</v>
      </c>
      <c r="F42" s="118">
        <v>7</v>
      </c>
      <c r="G42" s="118">
        <v>22</v>
      </c>
      <c r="H42" s="118">
        <v>2</v>
      </c>
      <c r="I42" s="243">
        <v>1941</v>
      </c>
      <c r="J42" s="365">
        <v>241</v>
      </c>
      <c r="K42" s="352">
        <f t="shared" si="0"/>
        <v>10.954545454545455</v>
      </c>
      <c r="L42" s="466">
        <f t="shared" si="1"/>
        <v>8.053941908713693</v>
      </c>
      <c r="M42" s="341">
        <f>17653+2664+2547+3149.5+1301+782+4139+3319+2916+1353+211+25+1358+2067.5+4037+800+2506+138+5334+824.5+3551+1941</f>
        <v>62616.5</v>
      </c>
      <c r="N42" s="352">
        <f>1861+315+483+453+199+125+780+688+532+250+58+10+324+278+530+160+491+30+1031+128+555+241</f>
        <v>9522</v>
      </c>
      <c r="O42" s="288">
        <f t="shared" si="4"/>
        <v>6.575981936567948</v>
      </c>
      <c r="P42" s="235"/>
    </row>
    <row r="43" spans="1:16" s="7" customFormat="1" ht="15">
      <c r="A43" s="101">
        <v>39</v>
      </c>
      <c r="B43" s="241" t="s">
        <v>442</v>
      </c>
      <c r="C43" s="115">
        <v>39178</v>
      </c>
      <c r="D43" s="130" t="s">
        <v>23</v>
      </c>
      <c r="E43" s="129" t="s">
        <v>27</v>
      </c>
      <c r="F43" s="118">
        <v>43</v>
      </c>
      <c r="G43" s="118">
        <v>3</v>
      </c>
      <c r="H43" s="118">
        <v>15</v>
      </c>
      <c r="I43" s="243">
        <v>1821</v>
      </c>
      <c r="J43" s="365">
        <v>307</v>
      </c>
      <c r="K43" s="352">
        <f t="shared" si="0"/>
        <v>102.33333333333333</v>
      </c>
      <c r="L43" s="466">
        <f t="shared" si="1"/>
        <v>5.931596091205212</v>
      </c>
      <c r="M43" s="341">
        <f>334660+186251+75988+40440+17431+27188+25044.5+6929.5+5845+11212.5+1107+3955+605.6+1230+1821</f>
        <v>739708.1</v>
      </c>
      <c r="N43" s="352">
        <f>37459+21078+10255+6270+3694+4932+4892+1464+1250+2033+178+878+159+197+307</f>
        <v>95046</v>
      </c>
      <c r="O43" s="288">
        <f t="shared" si="4"/>
        <v>7.782632619994529</v>
      </c>
      <c r="P43" s="235"/>
    </row>
    <row r="44" spans="1:16" s="7" customFormat="1" ht="15">
      <c r="A44" s="101">
        <v>40</v>
      </c>
      <c r="B44" s="239" t="s">
        <v>425</v>
      </c>
      <c r="C44" s="114">
        <v>39234</v>
      </c>
      <c r="D44" s="124" t="s">
        <v>48</v>
      </c>
      <c r="E44" s="124" t="s">
        <v>150</v>
      </c>
      <c r="F44" s="336">
        <v>27</v>
      </c>
      <c r="G44" s="336">
        <v>6</v>
      </c>
      <c r="H44" s="336">
        <v>7</v>
      </c>
      <c r="I44" s="245">
        <v>1710</v>
      </c>
      <c r="J44" s="390">
        <v>286</v>
      </c>
      <c r="K44" s="352">
        <f t="shared" si="0"/>
        <v>47.666666666666664</v>
      </c>
      <c r="L44" s="466">
        <f t="shared" si="1"/>
        <v>5.979020979020979</v>
      </c>
      <c r="M44" s="345">
        <f>27092.5+18038+5217+3320.5+3937+2784+1710</f>
        <v>62099</v>
      </c>
      <c r="N44" s="352">
        <f>3028+2165+821+570+765+513+286</f>
        <v>8148</v>
      </c>
      <c r="O44" s="288">
        <f t="shared" si="4"/>
        <v>7.621379479626902</v>
      </c>
      <c r="P44" s="235"/>
    </row>
    <row r="45" spans="1:16" s="7" customFormat="1" ht="15">
      <c r="A45" s="101">
        <v>41</v>
      </c>
      <c r="B45" s="119" t="s">
        <v>447</v>
      </c>
      <c r="C45" s="117">
        <v>39150</v>
      </c>
      <c r="D45" s="128" t="s">
        <v>64</v>
      </c>
      <c r="E45" s="128" t="s">
        <v>305</v>
      </c>
      <c r="F45" s="357">
        <v>10</v>
      </c>
      <c r="G45" s="357">
        <v>2</v>
      </c>
      <c r="H45" s="357">
        <v>17</v>
      </c>
      <c r="I45" s="244">
        <v>1478</v>
      </c>
      <c r="J45" s="364">
        <v>168</v>
      </c>
      <c r="K45" s="352">
        <f t="shared" si="0"/>
        <v>84</v>
      </c>
      <c r="L45" s="466">
        <f t="shared" si="1"/>
        <v>8.797619047619047</v>
      </c>
      <c r="M45" s="342">
        <v>212472</v>
      </c>
      <c r="N45" s="353">
        <v>23446</v>
      </c>
      <c r="O45" s="334">
        <f>M45/N45</f>
        <v>9.062185447411073</v>
      </c>
      <c r="P45" s="235"/>
    </row>
    <row r="46" spans="1:16" s="7" customFormat="1" ht="15">
      <c r="A46" s="101">
        <v>42</v>
      </c>
      <c r="B46" s="240" t="s">
        <v>441</v>
      </c>
      <c r="C46" s="115">
        <v>39192</v>
      </c>
      <c r="D46" s="126" t="s">
        <v>66</v>
      </c>
      <c r="E46" s="126" t="s">
        <v>66</v>
      </c>
      <c r="F46" s="116">
        <v>79</v>
      </c>
      <c r="G46" s="116">
        <v>2</v>
      </c>
      <c r="H46" s="116">
        <v>12</v>
      </c>
      <c r="I46" s="243">
        <v>1464</v>
      </c>
      <c r="J46" s="365">
        <v>325</v>
      </c>
      <c r="K46" s="352">
        <f t="shared" si="0"/>
        <v>162.5</v>
      </c>
      <c r="L46" s="466">
        <f t="shared" si="1"/>
        <v>4.504615384615384</v>
      </c>
      <c r="M46" s="341">
        <f>407730+156171.5+87089+48964+29084+13173.5+8330+7579.5+805.5+1100+1464</f>
        <v>761491</v>
      </c>
      <c r="N46" s="352">
        <f>48903+19527+11239+7709+5693+3389+1770+1751+250+248+325</f>
        <v>100804</v>
      </c>
      <c r="O46" s="288">
        <f aca="true" t="shared" si="5" ref="O46:O58">+M46/N46</f>
        <v>7.55417443752232</v>
      </c>
      <c r="P46" s="235"/>
    </row>
    <row r="47" spans="1:18" s="7" customFormat="1" ht="15">
      <c r="A47" s="101">
        <v>43</v>
      </c>
      <c r="B47" s="242" t="s">
        <v>501</v>
      </c>
      <c r="C47" s="114">
        <v>39262</v>
      </c>
      <c r="D47" s="125" t="s">
        <v>291</v>
      </c>
      <c r="E47" s="127" t="s">
        <v>489</v>
      </c>
      <c r="F47" s="337" t="s">
        <v>37</v>
      </c>
      <c r="G47" s="337" t="s">
        <v>37</v>
      </c>
      <c r="H47" s="337" t="s">
        <v>365</v>
      </c>
      <c r="I47" s="244">
        <v>1412</v>
      </c>
      <c r="J47" s="364">
        <v>160</v>
      </c>
      <c r="K47" s="352">
        <f t="shared" si="0"/>
        <v>80</v>
      </c>
      <c r="L47" s="466">
        <f t="shared" si="1"/>
        <v>8.825</v>
      </c>
      <c r="M47" s="342">
        <v>4952</v>
      </c>
      <c r="N47" s="353">
        <v>517</v>
      </c>
      <c r="O47" s="288">
        <f t="shared" si="5"/>
        <v>9.578336557059961</v>
      </c>
      <c r="P47" s="235"/>
      <c r="Q47" s="464"/>
      <c r="R47" s="465"/>
    </row>
    <row r="48" spans="1:16" s="7" customFormat="1" ht="15">
      <c r="A48" s="101">
        <v>44</v>
      </c>
      <c r="B48" s="241" t="s">
        <v>145</v>
      </c>
      <c r="C48" s="115">
        <v>39087</v>
      </c>
      <c r="D48" s="127" t="s">
        <v>516</v>
      </c>
      <c r="E48" s="127" t="s">
        <v>516</v>
      </c>
      <c r="F48" s="116">
        <v>11</v>
      </c>
      <c r="G48" s="118">
        <v>2</v>
      </c>
      <c r="H48" s="270">
        <v>10</v>
      </c>
      <c r="I48" s="244">
        <v>1318</v>
      </c>
      <c r="J48" s="364">
        <v>170</v>
      </c>
      <c r="K48" s="352">
        <f t="shared" si="0"/>
        <v>85</v>
      </c>
      <c r="L48" s="466">
        <f t="shared" si="1"/>
        <v>7.752941176470588</v>
      </c>
      <c r="M48" s="342">
        <v>107510.29</v>
      </c>
      <c r="N48" s="353">
        <v>11209</v>
      </c>
      <c r="O48" s="288">
        <f t="shared" si="5"/>
        <v>9.591425640110625</v>
      </c>
      <c r="P48" s="235"/>
    </row>
    <row r="49" spans="1:16" s="7" customFormat="1" ht="15">
      <c r="A49" s="101">
        <v>45</v>
      </c>
      <c r="B49" s="242" t="s">
        <v>377</v>
      </c>
      <c r="C49" s="114">
        <v>39199</v>
      </c>
      <c r="D49" s="127" t="s">
        <v>73</v>
      </c>
      <c r="E49" s="127" t="s">
        <v>135</v>
      </c>
      <c r="F49" s="337" t="s">
        <v>313</v>
      </c>
      <c r="G49" s="337" t="s">
        <v>20</v>
      </c>
      <c r="H49" s="337" t="s">
        <v>499</v>
      </c>
      <c r="I49" s="244">
        <v>1284</v>
      </c>
      <c r="J49" s="364">
        <v>169</v>
      </c>
      <c r="K49" s="352">
        <f t="shared" si="0"/>
        <v>169</v>
      </c>
      <c r="L49" s="466">
        <f t="shared" si="1"/>
        <v>7.597633136094674</v>
      </c>
      <c r="M49" s="342">
        <v>170249.5</v>
      </c>
      <c r="N49" s="353">
        <v>17053</v>
      </c>
      <c r="O49" s="288">
        <f t="shared" si="5"/>
        <v>9.983551281299478</v>
      </c>
      <c r="P49" s="235"/>
    </row>
    <row r="50" spans="1:16" s="7" customFormat="1" ht="15">
      <c r="A50" s="101">
        <v>46</v>
      </c>
      <c r="B50" s="239" t="s">
        <v>314</v>
      </c>
      <c r="C50" s="114">
        <v>39164</v>
      </c>
      <c r="D50" s="124" t="s">
        <v>48</v>
      </c>
      <c r="E50" s="124" t="s">
        <v>70</v>
      </c>
      <c r="F50" s="336">
        <v>119</v>
      </c>
      <c r="G50" s="336">
        <v>2</v>
      </c>
      <c r="H50" s="336">
        <v>17</v>
      </c>
      <c r="I50" s="245">
        <v>1281</v>
      </c>
      <c r="J50" s="390">
        <v>252</v>
      </c>
      <c r="K50" s="352">
        <f t="shared" si="0"/>
        <v>126</v>
      </c>
      <c r="L50" s="466">
        <f t="shared" si="1"/>
        <v>5.083333333333333</v>
      </c>
      <c r="M50" s="345">
        <f>1463503.5+1774+208+20289+1136+123+3728+1281</f>
        <v>1492042.5</v>
      </c>
      <c r="N50" s="352">
        <f>193429+337+32+3321+216+18+619+252</f>
        <v>198224</v>
      </c>
      <c r="O50" s="288">
        <f t="shared" si="5"/>
        <v>7.527052728226653</v>
      </c>
      <c r="P50" s="235"/>
    </row>
    <row r="51" spans="1:16" s="7" customFormat="1" ht="15">
      <c r="A51" s="101">
        <v>47</v>
      </c>
      <c r="B51" s="240" t="s">
        <v>517</v>
      </c>
      <c r="C51" s="115">
        <v>38968</v>
      </c>
      <c r="D51" s="126" t="s">
        <v>58</v>
      </c>
      <c r="E51" s="126" t="s">
        <v>59</v>
      </c>
      <c r="F51" s="116">
        <v>40</v>
      </c>
      <c r="G51" s="116">
        <v>2</v>
      </c>
      <c r="H51" s="116">
        <v>14</v>
      </c>
      <c r="I51" s="243">
        <v>1209</v>
      </c>
      <c r="J51" s="365">
        <v>300</v>
      </c>
      <c r="K51" s="352">
        <f t="shared" si="0"/>
        <v>150</v>
      </c>
      <c r="L51" s="466">
        <f t="shared" si="1"/>
        <v>4.03</v>
      </c>
      <c r="M51" s="341">
        <f>226818.5+158792+76218+22580+24396.5+21459.5+3022+85+536+2376+1255+1098+1209</f>
        <v>539845.5</v>
      </c>
      <c r="N51" s="352">
        <f>27238+18865+9176+3401+4846+3890+609+10+99+594+295+216+300</f>
        <v>69539</v>
      </c>
      <c r="O51" s="288">
        <f t="shared" si="5"/>
        <v>7.763204820316657</v>
      </c>
      <c r="P51" s="235"/>
    </row>
    <row r="52" spans="1:16" s="7" customFormat="1" ht="15">
      <c r="A52" s="101">
        <v>48</v>
      </c>
      <c r="B52" s="239" t="s">
        <v>250</v>
      </c>
      <c r="C52" s="114">
        <v>39129</v>
      </c>
      <c r="D52" s="124" t="s">
        <v>48</v>
      </c>
      <c r="E52" s="124" t="s">
        <v>188</v>
      </c>
      <c r="F52" s="336">
        <v>113</v>
      </c>
      <c r="G52" s="336">
        <v>1</v>
      </c>
      <c r="H52" s="336">
        <v>16</v>
      </c>
      <c r="I52" s="245">
        <v>1188</v>
      </c>
      <c r="J52" s="390">
        <v>238</v>
      </c>
      <c r="K52" s="352">
        <f t="shared" si="0"/>
        <v>238</v>
      </c>
      <c r="L52" s="466">
        <f t="shared" si="1"/>
        <v>4.991596638655462</v>
      </c>
      <c r="M52" s="345">
        <f>1548913+0+1188</f>
        <v>1550101</v>
      </c>
      <c r="N52" s="352">
        <f>206886+238</f>
        <v>207124</v>
      </c>
      <c r="O52" s="288">
        <f t="shared" si="5"/>
        <v>7.483927502365733</v>
      </c>
      <c r="P52" s="235"/>
    </row>
    <row r="53" spans="1:16" s="7" customFormat="1" ht="15">
      <c r="A53" s="101">
        <v>49</v>
      </c>
      <c r="B53" s="240" t="s">
        <v>403</v>
      </c>
      <c r="C53" s="115">
        <v>39220</v>
      </c>
      <c r="D53" s="126" t="s">
        <v>58</v>
      </c>
      <c r="E53" s="126" t="s">
        <v>59</v>
      </c>
      <c r="F53" s="116">
        <v>40</v>
      </c>
      <c r="G53" s="116">
        <v>7</v>
      </c>
      <c r="H53" s="116">
        <v>9</v>
      </c>
      <c r="I53" s="243">
        <v>1169</v>
      </c>
      <c r="J53" s="365">
        <v>214</v>
      </c>
      <c r="K53" s="388">
        <f>+J53/G53</f>
        <v>30.571428571428573</v>
      </c>
      <c r="L53" s="389">
        <f>+I53/J53</f>
        <v>5.462616822429907</v>
      </c>
      <c r="M53" s="341">
        <f>217267.5+100292+49077.5+44685+35150+18710.5+12899+5642+272+1169</f>
        <v>485164.5</v>
      </c>
      <c r="N53" s="352">
        <f>28138+13039+7060+8163+6959+3799+2408+1118+91+214</f>
        <v>70989</v>
      </c>
      <c r="O53" s="288">
        <f t="shared" si="5"/>
        <v>6.834361661665892</v>
      </c>
      <c r="P53" s="235"/>
    </row>
    <row r="54" spans="1:16" s="7" customFormat="1" ht="15">
      <c r="A54" s="101">
        <v>50</v>
      </c>
      <c r="B54" s="242" t="s">
        <v>398</v>
      </c>
      <c r="C54" s="114">
        <v>39220</v>
      </c>
      <c r="D54" s="127" t="s">
        <v>73</v>
      </c>
      <c r="E54" s="127" t="s">
        <v>135</v>
      </c>
      <c r="F54" s="337" t="s">
        <v>399</v>
      </c>
      <c r="G54" s="337" t="s">
        <v>491</v>
      </c>
      <c r="H54" s="337" t="s">
        <v>471</v>
      </c>
      <c r="I54" s="244">
        <v>1052</v>
      </c>
      <c r="J54" s="364">
        <v>246</v>
      </c>
      <c r="K54" s="352">
        <f aca="true" t="shared" si="6" ref="K54:K73">J54/G54</f>
        <v>61.5</v>
      </c>
      <c r="L54" s="466">
        <f aca="true" t="shared" si="7" ref="L54:L73">I54/J54</f>
        <v>4.276422764227642</v>
      </c>
      <c r="M54" s="342">
        <v>695243</v>
      </c>
      <c r="N54" s="353">
        <v>82564</v>
      </c>
      <c r="O54" s="288">
        <f t="shared" si="5"/>
        <v>8.420655491497506</v>
      </c>
      <c r="P54" s="235"/>
    </row>
    <row r="55" spans="1:16" s="7" customFormat="1" ht="15">
      <c r="A55" s="101">
        <v>51</v>
      </c>
      <c r="B55" s="242" t="s">
        <v>341</v>
      </c>
      <c r="C55" s="114">
        <v>39143</v>
      </c>
      <c r="D55" s="127" t="s">
        <v>73</v>
      </c>
      <c r="E55" s="127" t="s">
        <v>135</v>
      </c>
      <c r="F55" s="337" t="s">
        <v>280</v>
      </c>
      <c r="G55" s="337" t="s">
        <v>20</v>
      </c>
      <c r="H55" s="337" t="s">
        <v>466</v>
      </c>
      <c r="I55" s="244">
        <v>1028</v>
      </c>
      <c r="J55" s="364">
        <v>165</v>
      </c>
      <c r="K55" s="352">
        <f t="shared" si="6"/>
        <v>165</v>
      </c>
      <c r="L55" s="466">
        <f t="shared" si="7"/>
        <v>6.2303030303030305</v>
      </c>
      <c r="M55" s="342">
        <v>956195.5</v>
      </c>
      <c r="N55" s="353">
        <v>130354</v>
      </c>
      <c r="O55" s="288">
        <f t="shared" si="5"/>
        <v>7.335375209046136</v>
      </c>
      <c r="P55" s="235"/>
    </row>
    <row r="56" spans="1:16" s="7" customFormat="1" ht="15">
      <c r="A56" s="101">
        <v>52</v>
      </c>
      <c r="B56" s="241" t="s">
        <v>345</v>
      </c>
      <c r="C56" s="115">
        <v>39178</v>
      </c>
      <c r="D56" s="130" t="s">
        <v>23</v>
      </c>
      <c r="E56" s="129" t="s">
        <v>346</v>
      </c>
      <c r="F56" s="118">
        <v>2</v>
      </c>
      <c r="G56" s="118">
        <v>1</v>
      </c>
      <c r="H56" s="118">
        <v>15</v>
      </c>
      <c r="I56" s="243">
        <v>970</v>
      </c>
      <c r="J56" s="365">
        <v>123</v>
      </c>
      <c r="K56" s="352">
        <f t="shared" si="6"/>
        <v>123</v>
      </c>
      <c r="L56" s="466">
        <f t="shared" si="7"/>
        <v>7.8861788617886175</v>
      </c>
      <c r="M56" s="341">
        <f>3994+2334+454+1412+330+1004+1550+988+2020+2401+126+1742+272+133+970</f>
        <v>19730</v>
      </c>
      <c r="N56" s="352">
        <f>445+262+47+219+66+135+226+149+505+642+21+199+43+19+123</f>
        <v>3101</v>
      </c>
      <c r="O56" s="288">
        <f t="shared" si="5"/>
        <v>6.3624637213802</v>
      </c>
      <c r="P56" s="235"/>
    </row>
    <row r="57" spans="1:16" s="7" customFormat="1" ht="15">
      <c r="A57" s="101">
        <v>53</v>
      </c>
      <c r="B57" s="239" t="s">
        <v>236</v>
      </c>
      <c r="C57" s="114">
        <v>39108</v>
      </c>
      <c r="D57" s="125" t="s">
        <v>56</v>
      </c>
      <c r="E57" s="124" t="s">
        <v>256</v>
      </c>
      <c r="F57" s="336">
        <v>148</v>
      </c>
      <c r="G57" s="336">
        <v>4</v>
      </c>
      <c r="H57" s="336">
        <v>25</v>
      </c>
      <c r="I57" s="244">
        <v>916</v>
      </c>
      <c r="J57" s="364">
        <v>186</v>
      </c>
      <c r="K57" s="358">
        <f t="shared" si="6"/>
        <v>46.5</v>
      </c>
      <c r="L57" s="344">
        <f t="shared" si="7"/>
        <v>4.924731182795699</v>
      </c>
      <c r="M57" s="342">
        <f>1992651+1728920+984064+346169+182382+106480+57466+19982+14948+10164+6290+4742+2342+225+140+1108+175+60+115+165+40+40+10+764+916</f>
        <v>5460358</v>
      </c>
      <c r="N57" s="353">
        <f>274655+238848+139396+51021+30073+21220+12561+3942+2123+3415+1857+1264+1187+706+45+28+267+35+12+23+33+8+8+2+167+186</f>
        <v>783082</v>
      </c>
      <c r="O57" s="288">
        <f t="shared" si="5"/>
        <v>6.972907051879624</v>
      </c>
      <c r="P57" s="235"/>
    </row>
    <row r="58" spans="1:16" s="7" customFormat="1" ht="15">
      <c r="A58" s="101">
        <v>54</v>
      </c>
      <c r="B58" s="239" t="s">
        <v>518</v>
      </c>
      <c r="C58" s="114">
        <v>39143</v>
      </c>
      <c r="D58" s="125" t="s">
        <v>56</v>
      </c>
      <c r="E58" s="124" t="s">
        <v>61</v>
      </c>
      <c r="F58" s="336">
        <v>54</v>
      </c>
      <c r="G58" s="336">
        <v>1</v>
      </c>
      <c r="H58" s="336">
        <v>12</v>
      </c>
      <c r="I58" s="244">
        <v>908</v>
      </c>
      <c r="J58" s="364">
        <v>177</v>
      </c>
      <c r="K58" s="358">
        <f t="shared" si="6"/>
        <v>177</v>
      </c>
      <c r="L58" s="344">
        <f t="shared" si="7"/>
        <v>5.129943502824859</v>
      </c>
      <c r="M58" s="342">
        <f>1045+424606+314397+136527+14322+9753+11781+12715+3934+5401+154+340+234+908</f>
        <v>936117</v>
      </c>
      <c r="N58" s="353">
        <f>101+45441+34072+15020+1890+1720+2914+2615+1258+764+31+68+177</f>
        <v>106071</v>
      </c>
      <c r="O58" s="288">
        <f t="shared" si="5"/>
        <v>8.82538111265096</v>
      </c>
      <c r="P58" s="235"/>
    </row>
    <row r="59" spans="1:16" s="7" customFormat="1" ht="15">
      <c r="A59" s="101">
        <v>55</v>
      </c>
      <c r="B59" s="119" t="s">
        <v>450</v>
      </c>
      <c r="C59" s="117">
        <v>39178</v>
      </c>
      <c r="D59" s="128" t="s">
        <v>64</v>
      </c>
      <c r="E59" s="128" t="s">
        <v>273</v>
      </c>
      <c r="F59" s="357">
        <v>20</v>
      </c>
      <c r="G59" s="357">
        <v>4</v>
      </c>
      <c r="H59" s="357">
        <v>14</v>
      </c>
      <c r="I59" s="244">
        <v>906</v>
      </c>
      <c r="J59" s="364">
        <v>120</v>
      </c>
      <c r="K59" s="352">
        <f t="shared" si="6"/>
        <v>30</v>
      </c>
      <c r="L59" s="466">
        <f t="shared" si="7"/>
        <v>7.55</v>
      </c>
      <c r="M59" s="342">
        <v>59527</v>
      </c>
      <c r="N59" s="353">
        <v>7598</v>
      </c>
      <c r="O59" s="334">
        <f>M59/N59</f>
        <v>7.834561726770203</v>
      </c>
      <c r="P59" s="235"/>
    </row>
    <row r="60" spans="1:16" s="7" customFormat="1" ht="15">
      <c r="A60" s="101">
        <v>56</v>
      </c>
      <c r="B60" s="242" t="s">
        <v>449</v>
      </c>
      <c r="C60" s="114">
        <v>39213</v>
      </c>
      <c r="D60" s="127" t="s">
        <v>73</v>
      </c>
      <c r="E60" s="127" t="s">
        <v>73</v>
      </c>
      <c r="F60" s="337" t="s">
        <v>385</v>
      </c>
      <c r="G60" s="337" t="s">
        <v>387</v>
      </c>
      <c r="H60" s="337" t="s">
        <v>316</v>
      </c>
      <c r="I60" s="244">
        <v>901</v>
      </c>
      <c r="J60" s="364">
        <v>217</v>
      </c>
      <c r="K60" s="352">
        <f t="shared" si="6"/>
        <v>36.166666666666664</v>
      </c>
      <c r="L60" s="466">
        <f t="shared" si="7"/>
        <v>4.152073732718894</v>
      </c>
      <c r="M60" s="342">
        <v>117092.5</v>
      </c>
      <c r="N60" s="353">
        <v>17015</v>
      </c>
      <c r="O60" s="288">
        <f aca="true" t="shared" si="8" ref="O60:O100">+M60/N60</f>
        <v>6.881722009991185</v>
      </c>
      <c r="P60" s="235"/>
    </row>
    <row r="61" spans="1:16" s="7" customFormat="1" ht="15">
      <c r="A61" s="101">
        <v>57</v>
      </c>
      <c r="B61" s="240" t="s">
        <v>252</v>
      </c>
      <c r="C61" s="115">
        <v>39129</v>
      </c>
      <c r="D61" s="126" t="s">
        <v>66</v>
      </c>
      <c r="E61" s="126" t="s">
        <v>66</v>
      </c>
      <c r="F61" s="116">
        <v>43</v>
      </c>
      <c r="G61" s="116">
        <v>3</v>
      </c>
      <c r="H61" s="116">
        <v>21</v>
      </c>
      <c r="I61" s="243">
        <v>839</v>
      </c>
      <c r="J61" s="365">
        <v>173</v>
      </c>
      <c r="K61" s="352">
        <f t="shared" si="6"/>
        <v>57.666666666666664</v>
      </c>
      <c r="L61" s="466">
        <f t="shared" si="7"/>
        <v>4.8497109826589595</v>
      </c>
      <c r="M61" s="341">
        <f>384662.5+356262.5+212054+113636.5+58120+27335.5+24431+10836.5+5+6679.5+256+268+626+1136+6120+2414+331+435+2376+87+320+839</f>
        <v>1209231</v>
      </c>
      <c r="N61" s="352">
        <f>44623+40340+24564+15320+9563+4723+4295+2247+1249+49+49+137+101+1023+439+51+87+594+18+64+173</f>
        <v>149709</v>
      </c>
      <c r="O61" s="288">
        <f t="shared" si="8"/>
        <v>8.077209786986755</v>
      </c>
      <c r="P61" s="235"/>
    </row>
    <row r="62" spans="1:16" s="7" customFormat="1" ht="15">
      <c r="A62" s="101">
        <v>58</v>
      </c>
      <c r="B62" s="241" t="s">
        <v>83</v>
      </c>
      <c r="C62" s="115">
        <v>38877</v>
      </c>
      <c r="D62" s="130" t="s">
        <v>23</v>
      </c>
      <c r="E62" s="129" t="s">
        <v>27</v>
      </c>
      <c r="F62" s="118">
        <v>64</v>
      </c>
      <c r="G62" s="118">
        <v>1</v>
      </c>
      <c r="H62" s="118">
        <v>43</v>
      </c>
      <c r="I62" s="243">
        <v>832</v>
      </c>
      <c r="J62" s="365">
        <v>208</v>
      </c>
      <c r="K62" s="352">
        <f t="shared" si="6"/>
        <v>208</v>
      </c>
      <c r="L62" s="466">
        <f t="shared" si="7"/>
        <v>4</v>
      </c>
      <c r="M62" s="341">
        <f>94169.5+63426.5+19841+16453.5+12618.5+9991+4741+3516+3356+2065.5+678+1792.5+320+299+194+83+215+3730+139+814+787+999+514+709+2925+1298+249+160+755+1105+914+5364.5+789.5+1580.5+6416+3636.5+158+1086+725+81+1075+864+832</f>
        <v>271466</v>
      </c>
      <c r="N62" s="352">
        <f>14426+9567+3182+3017+2315+1729+923+616+640+472+129+528+43+81+47+20+45+1220+34+161+225+329+168+228+966+413+62+16+140+285+239+1324+177+370+1604+885+37+267+145+18+265+108+208</f>
        <v>47674</v>
      </c>
      <c r="O62" s="288">
        <f t="shared" si="8"/>
        <v>5.694214876033058</v>
      </c>
      <c r="P62" s="235"/>
    </row>
    <row r="63" spans="1:16" s="7" customFormat="1" ht="15">
      <c r="A63" s="101">
        <v>59</v>
      </c>
      <c r="B63" s="242" t="s">
        <v>298</v>
      </c>
      <c r="C63" s="114">
        <v>39157</v>
      </c>
      <c r="D63" s="127" t="s">
        <v>45</v>
      </c>
      <c r="E63" s="127" t="s">
        <v>299</v>
      </c>
      <c r="F63" s="337" t="s">
        <v>336</v>
      </c>
      <c r="G63" s="337" t="s">
        <v>37</v>
      </c>
      <c r="H63" s="337" t="s">
        <v>464</v>
      </c>
      <c r="I63" s="244">
        <v>781</v>
      </c>
      <c r="J63" s="364">
        <v>119</v>
      </c>
      <c r="K63" s="352">
        <f t="shared" si="6"/>
        <v>59.5</v>
      </c>
      <c r="L63" s="466">
        <f t="shared" si="7"/>
        <v>6.563025210084033</v>
      </c>
      <c r="M63" s="342">
        <v>4163629.5</v>
      </c>
      <c r="N63" s="353">
        <v>539539</v>
      </c>
      <c r="O63" s="288">
        <f t="shared" si="8"/>
        <v>7.717013042616011</v>
      </c>
      <c r="P63" s="235"/>
    </row>
    <row r="64" spans="1:16" s="7" customFormat="1" ht="15">
      <c r="A64" s="101">
        <v>60</v>
      </c>
      <c r="B64" s="239" t="s">
        <v>375</v>
      </c>
      <c r="C64" s="114">
        <v>39185</v>
      </c>
      <c r="D64" s="124" t="s">
        <v>48</v>
      </c>
      <c r="E64" s="124" t="s">
        <v>351</v>
      </c>
      <c r="F64" s="336">
        <v>111</v>
      </c>
      <c r="G64" s="336">
        <v>1</v>
      </c>
      <c r="H64" s="336">
        <v>14</v>
      </c>
      <c r="I64" s="245">
        <v>760</v>
      </c>
      <c r="J64" s="390">
        <v>152</v>
      </c>
      <c r="K64" s="352">
        <f t="shared" si="6"/>
        <v>152</v>
      </c>
      <c r="L64" s="466">
        <f t="shared" si="7"/>
        <v>5</v>
      </c>
      <c r="M64" s="345">
        <f>1078169+4196+4107+4935+1650+1777+1545+760</f>
        <v>1097139</v>
      </c>
      <c r="N64" s="352">
        <f>143739+594+858+729+279+509+311+152</f>
        <v>147171</v>
      </c>
      <c r="O64" s="288">
        <f t="shared" si="8"/>
        <v>7.454858633834111</v>
      </c>
      <c r="P64" s="235"/>
    </row>
    <row r="65" spans="1:16" s="7" customFormat="1" ht="15">
      <c r="A65" s="101">
        <v>61</v>
      </c>
      <c r="B65" s="323" t="s">
        <v>382</v>
      </c>
      <c r="C65" s="317">
        <v>39206</v>
      </c>
      <c r="D65" s="316" t="s">
        <v>404</v>
      </c>
      <c r="E65" s="316" t="s">
        <v>405</v>
      </c>
      <c r="F65" s="318">
        <v>80</v>
      </c>
      <c r="G65" s="318">
        <v>2</v>
      </c>
      <c r="H65" s="318">
        <v>11</v>
      </c>
      <c r="I65" s="328">
        <v>755</v>
      </c>
      <c r="J65" s="366">
        <v>143</v>
      </c>
      <c r="K65" s="352">
        <f t="shared" si="6"/>
        <v>71.5</v>
      </c>
      <c r="L65" s="466">
        <f t="shared" si="7"/>
        <v>5.27972027972028</v>
      </c>
      <c r="M65" s="354">
        <v>289064.5</v>
      </c>
      <c r="N65" s="355">
        <v>46199</v>
      </c>
      <c r="O65" s="288">
        <f t="shared" si="8"/>
        <v>6.256942790969502</v>
      </c>
      <c r="P65" s="235"/>
    </row>
    <row r="66" spans="1:16" s="7" customFormat="1" ht="15">
      <c r="A66" s="101">
        <v>62</v>
      </c>
      <c r="B66" s="241" t="s">
        <v>470</v>
      </c>
      <c r="C66" s="115">
        <v>39255</v>
      </c>
      <c r="D66" s="130" t="s">
        <v>23</v>
      </c>
      <c r="E66" s="129" t="s">
        <v>27</v>
      </c>
      <c r="F66" s="118">
        <v>1</v>
      </c>
      <c r="G66" s="118">
        <v>1</v>
      </c>
      <c r="H66" s="118">
        <v>4</v>
      </c>
      <c r="I66" s="243">
        <v>742</v>
      </c>
      <c r="J66" s="365">
        <v>77</v>
      </c>
      <c r="K66" s="352">
        <f t="shared" si="6"/>
        <v>77</v>
      </c>
      <c r="L66" s="466">
        <f t="shared" si="7"/>
        <v>9.636363636363637</v>
      </c>
      <c r="M66" s="341">
        <f>21521.25+5392+4888+3600+742</f>
        <v>36143.25</v>
      </c>
      <c r="N66" s="352">
        <f>2941+612+556+404+77</f>
        <v>4590</v>
      </c>
      <c r="O66" s="288">
        <f t="shared" si="8"/>
        <v>7.874346405228758</v>
      </c>
      <c r="P66" s="235"/>
    </row>
    <row r="67" spans="1:16" s="7" customFormat="1" ht="15">
      <c r="A67" s="101">
        <v>63</v>
      </c>
      <c r="B67" s="239" t="s">
        <v>118</v>
      </c>
      <c r="C67" s="114">
        <v>39080</v>
      </c>
      <c r="D67" s="125" t="s">
        <v>56</v>
      </c>
      <c r="E67" s="124" t="s">
        <v>61</v>
      </c>
      <c r="F67" s="336">
        <v>80</v>
      </c>
      <c r="G67" s="336">
        <v>2</v>
      </c>
      <c r="H67" s="336">
        <v>21</v>
      </c>
      <c r="I67" s="244">
        <v>612</v>
      </c>
      <c r="J67" s="364">
        <v>85</v>
      </c>
      <c r="K67" s="358">
        <f t="shared" si="6"/>
        <v>42.5</v>
      </c>
      <c r="L67" s="344">
        <f t="shared" si="7"/>
        <v>7.2</v>
      </c>
      <c r="M67" s="342">
        <f>1367+686114+384405+247619+146119+85619+63759-1+18934+11869+10791+11315+6907+8812+6730+2628+1465+749+1063+756+276+1198+612</f>
        <v>1699106</v>
      </c>
      <c r="N67" s="353">
        <f>80773+116+46317+29887+17891+10484+7685+2801+1917+1334+1333+755+1517+932+417+307+136+369+126+23+122+85</f>
        <v>205327</v>
      </c>
      <c r="O67" s="288">
        <f t="shared" si="8"/>
        <v>8.275122122273253</v>
      </c>
      <c r="P67" s="235"/>
    </row>
    <row r="68" spans="1:16" s="7" customFormat="1" ht="15">
      <c r="A68" s="101">
        <v>64</v>
      </c>
      <c r="B68" s="239">
        <v>300</v>
      </c>
      <c r="C68" s="114">
        <v>39157</v>
      </c>
      <c r="D68" s="125" t="s">
        <v>56</v>
      </c>
      <c r="E68" s="124" t="s">
        <v>11</v>
      </c>
      <c r="F68" s="336">
        <v>112</v>
      </c>
      <c r="G68" s="336">
        <v>1</v>
      </c>
      <c r="H68" s="336">
        <v>15</v>
      </c>
      <c r="I68" s="244">
        <v>610</v>
      </c>
      <c r="J68" s="364">
        <v>129</v>
      </c>
      <c r="K68" s="358">
        <f t="shared" si="6"/>
        <v>129</v>
      </c>
      <c r="L68" s="344">
        <f t="shared" si="7"/>
        <v>4.728682170542636</v>
      </c>
      <c r="M68" s="342">
        <f>3267435+1511269+807013+389417+224450+112364+52008+9245+3829+1321+540+40+97+1035+245+610</f>
        <v>6380918</v>
      </c>
      <c r="N68" s="353">
        <f>400017+186496+98693+49874+35249+20817+11882+2148+932+328+139+8+17+46+129</f>
        <v>806775</v>
      </c>
      <c r="O68" s="288">
        <f t="shared" si="8"/>
        <v>7.909166744135602</v>
      </c>
      <c r="P68" s="235"/>
    </row>
    <row r="69" spans="1:16" s="7" customFormat="1" ht="15">
      <c r="A69" s="101">
        <v>65</v>
      </c>
      <c r="B69" s="240" t="s">
        <v>436</v>
      </c>
      <c r="C69" s="115">
        <v>38261</v>
      </c>
      <c r="D69" s="127" t="s">
        <v>519</v>
      </c>
      <c r="E69" s="127" t="s">
        <v>271</v>
      </c>
      <c r="F69" s="116">
        <v>17</v>
      </c>
      <c r="G69" s="116">
        <v>1</v>
      </c>
      <c r="H69" s="116">
        <v>26</v>
      </c>
      <c r="I69" s="243">
        <v>594</v>
      </c>
      <c r="J69" s="365">
        <v>198</v>
      </c>
      <c r="K69" s="352">
        <f t="shared" si="6"/>
        <v>198</v>
      </c>
      <c r="L69" s="466">
        <f t="shared" si="7"/>
        <v>3</v>
      </c>
      <c r="M69" s="341">
        <v>198373.5</v>
      </c>
      <c r="N69" s="352">
        <v>29570</v>
      </c>
      <c r="O69" s="288">
        <f t="shared" si="8"/>
        <v>6.708606695975651</v>
      </c>
      <c r="P69" s="235"/>
    </row>
    <row r="70" spans="1:16" s="7" customFormat="1" ht="15">
      <c r="A70" s="101">
        <v>66</v>
      </c>
      <c r="B70" s="240" t="s">
        <v>251</v>
      </c>
      <c r="C70" s="115">
        <v>39129</v>
      </c>
      <c r="D70" s="126" t="s">
        <v>57</v>
      </c>
      <c r="E70" s="126" t="s">
        <v>71</v>
      </c>
      <c r="F70" s="116">
        <v>77</v>
      </c>
      <c r="G70" s="116">
        <v>1</v>
      </c>
      <c r="H70" s="116">
        <v>22</v>
      </c>
      <c r="I70" s="243">
        <v>592</v>
      </c>
      <c r="J70" s="365">
        <v>108</v>
      </c>
      <c r="K70" s="352">
        <f t="shared" si="6"/>
        <v>108</v>
      </c>
      <c r="L70" s="466">
        <f t="shared" si="7"/>
        <v>5.481481481481482</v>
      </c>
      <c r="M70" s="341">
        <v>1554074</v>
      </c>
      <c r="N70" s="352">
        <v>199197</v>
      </c>
      <c r="O70" s="288">
        <f t="shared" si="8"/>
        <v>7.8016938006094465</v>
      </c>
      <c r="P70" s="235"/>
    </row>
    <row r="71" spans="1:16" s="7" customFormat="1" ht="15">
      <c r="A71" s="101">
        <v>67</v>
      </c>
      <c r="B71" s="241" t="s">
        <v>426</v>
      </c>
      <c r="C71" s="115">
        <v>39234</v>
      </c>
      <c r="D71" s="130" t="s">
        <v>23</v>
      </c>
      <c r="E71" s="129" t="s">
        <v>520</v>
      </c>
      <c r="F71" s="118">
        <v>15</v>
      </c>
      <c r="G71" s="118">
        <v>4</v>
      </c>
      <c r="H71" s="118">
        <v>7</v>
      </c>
      <c r="I71" s="243">
        <v>558</v>
      </c>
      <c r="J71" s="365">
        <v>74</v>
      </c>
      <c r="K71" s="352">
        <f t="shared" si="6"/>
        <v>18.5</v>
      </c>
      <c r="L71" s="466">
        <f t="shared" si="7"/>
        <v>7.54054054054054</v>
      </c>
      <c r="M71" s="341">
        <f>12517.5+6692.5+1437+1063+738+218.5+558</f>
        <v>23224.5</v>
      </c>
      <c r="N71" s="352">
        <f>1293+798+220+172+132+50+74</f>
        <v>2739</v>
      </c>
      <c r="O71" s="288">
        <f t="shared" si="8"/>
        <v>8.479189485213581</v>
      </c>
      <c r="P71" s="235"/>
    </row>
    <row r="72" spans="1:16" s="7" customFormat="1" ht="15">
      <c r="A72" s="101">
        <v>68</v>
      </c>
      <c r="B72" s="239" t="s">
        <v>337</v>
      </c>
      <c r="C72" s="114">
        <v>39178</v>
      </c>
      <c r="D72" s="125" t="s">
        <v>56</v>
      </c>
      <c r="E72" s="124" t="s">
        <v>338</v>
      </c>
      <c r="F72" s="336">
        <v>34</v>
      </c>
      <c r="G72" s="336">
        <v>1</v>
      </c>
      <c r="H72" s="336">
        <v>11</v>
      </c>
      <c r="I72" s="244">
        <v>546</v>
      </c>
      <c r="J72" s="364">
        <v>118</v>
      </c>
      <c r="K72" s="358">
        <f t="shared" si="6"/>
        <v>118</v>
      </c>
      <c r="L72" s="344">
        <f t="shared" si="7"/>
        <v>4.627118644067797</v>
      </c>
      <c r="M72" s="342">
        <f>223196+134862+40207+12529+4197+8039+12995+1857+190+734+546</f>
        <v>439352</v>
      </c>
      <c r="N72" s="353">
        <f>21768+13324+4159+1744+536+1050+1869+290+19+151+118</f>
        <v>45028</v>
      </c>
      <c r="O72" s="288">
        <f t="shared" si="8"/>
        <v>9.757306564804122</v>
      </c>
      <c r="P72" s="235"/>
    </row>
    <row r="73" spans="1:16" s="7" customFormat="1" ht="15">
      <c r="A73" s="101">
        <v>69</v>
      </c>
      <c r="B73" s="240" t="s">
        <v>389</v>
      </c>
      <c r="C73" s="115">
        <v>39213</v>
      </c>
      <c r="D73" s="126" t="s">
        <v>57</v>
      </c>
      <c r="E73" s="126" t="s">
        <v>60</v>
      </c>
      <c r="F73" s="116">
        <v>55</v>
      </c>
      <c r="G73" s="116">
        <v>1</v>
      </c>
      <c r="H73" s="116">
        <v>10</v>
      </c>
      <c r="I73" s="243">
        <v>512</v>
      </c>
      <c r="J73" s="365">
        <v>198</v>
      </c>
      <c r="K73" s="352">
        <f t="shared" si="6"/>
        <v>198</v>
      </c>
      <c r="L73" s="466">
        <f t="shared" si="7"/>
        <v>2.585858585858586</v>
      </c>
      <c r="M73" s="341">
        <v>456294</v>
      </c>
      <c r="N73" s="352">
        <v>54107</v>
      </c>
      <c r="O73" s="288">
        <f t="shared" si="8"/>
        <v>8.433178701461918</v>
      </c>
      <c r="P73" s="235"/>
    </row>
    <row r="74" spans="1:16" s="7" customFormat="1" ht="15">
      <c r="A74" s="101">
        <v>70</v>
      </c>
      <c r="B74" s="240" t="s">
        <v>366</v>
      </c>
      <c r="C74" s="115">
        <v>39192</v>
      </c>
      <c r="D74" s="126" t="s">
        <v>57</v>
      </c>
      <c r="E74" s="126" t="s">
        <v>367</v>
      </c>
      <c r="F74" s="116">
        <v>173</v>
      </c>
      <c r="G74" s="116">
        <v>2</v>
      </c>
      <c r="H74" s="116">
        <v>13</v>
      </c>
      <c r="I74" s="243">
        <v>494</v>
      </c>
      <c r="J74" s="365">
        <v>96</v>
      </c>
      <c r="K74" s="388">
        <f>+J74/G74</f>
        <v>48</v>
      </c>
      <c r="L74" s="389">
        <f>+I74/J74</f>
        <v>5.145833333333333</v>
      </c>
      <c r="M74" s="341">
        <v>2720172</v>
      </c>
      <c r="N74" s="352">
        <v>379468</v>
      </c>
      <c r="O74" s="288">
        <f t="shared" si="8"/>
        <v>7.168383104767727</v>
      </c>
      <c r="P74" s="235"/>
    </row>
    <row r="75" spans="1:16" s="7" customFormat="1" ht="15">
      <c r="A75" s="101">
        <v>71</v>
      </c>
      <c r="B75" s="242" t="s">
        <v>332</v>
      </c>
      <c r="C75" s="114">
        <v>39171</v>
      </c>
      <c r="D75" s="127" t="s">
        <v>516</v>
      </c>
      <c r="E75" s="127" t="s">
        <v>516</v>
      </c>
      <c r="F75" s="270">
        <v>20</v>
      </c>
      <c r="G75" s="270">
        <v>2</v>
      </c>
      <c r="H75" s="270">
        <v>12</v>
      </c>
      <c r="I75" s="244">
        <v>433</v>
      </c>
      <c r="J75" s="364">
        <v>68</v>
      </c>
      <c r="K75" s="352">
        <f aca="true" t="shared" si="9" ref="K75:K85">J75/G75</f>
        <v>34</v>
      </c>
      <c r="L75" s="466">
        <f aca="true" t="shared" si="10" ref="L75:L85">I75/J75</f>
        <v>6.367647058823529</v>
      </c>
      <c r="M75" s="342">
        <v>241455</v>
      </c>
      <c r="N75" s="353">
        <v>25328</v>
      </c>
      <c r="O75" s="288">
        <f t="shared" si="8"/>
        <v>9.533125394819962</v>
      </c>
      <c r="P75" s="235"/>
    </row>
    <row r="76" spans="1:16" s="7" customFormat="1" ht="15">
      <c r="A76" s="101">
        <v>72</v>
      </c>
      <c r="B76" s="325" t="s">
        <v>95</v>
      </c>
      <c r="C76" s="114">
        <v>39010</v>
      </c>
      <c r="D76" s="173" t="s">
        <v>68</v>
      </c>
      <c r="E76" s="173" t="s">
        <v>40</v>
      </c>
      <c r="F76" s="270">
        <v>1</v>
      </c>
      <c r="G76" s="270">
        <v>1</v>
      </c>
      <c r="H76" s="336">
        <v>11</v>
      </c>
      <c r="I76" s="253">
        <v>405</v>
      </c>
      <c r="J76" s="435">
        <v>81</v>
      </c>
      <c r="K76" s="467">
        <f t="shared" si="9"/>
        <v>81</v>
      </c>
      <c r="L76" s="468">
        <f t="shared" si="10"/>
        <v>5</v>
      </c>
      <c r="M76" s="469">
        <v>31706</v>
      </c>
      <c r="N76" s="467">
        <v>4630</v>
      </c>
      <c r="O76" s="288">
        <f t="shared" si="8"/>
        <v>6.847948164146868</v>
      </c>
      <c r="P76" s="235"/>
    </row>
    <row r="77" spans="1:16" s="7" customFormat="1" ht="15">
      <c r="A77" s="101">
        <v>73</v>
      </c>
      <c r="B77" s="241" t="s">
        <v>157</v>
      </c>
      <c r="C77" s="115">
        <v>39045</v>
      </c>
      <c r="D77" s="130" t="s">
        <v>23</v>
      </c>
      <c r="E77" s="129" t="s">
        <v>521</v>
      </c>
      <c r="F77" s="118">
        <v>4</v>
      </c>
      <c r="G77" s="118">
        <v>1</v>
      </c>
      <c r="H77" s="118">
        <v>14</v>
      </c>
      <c r="I77" s="243">
        <v>304</v>
      </c>
      <c r="J77" s="365">
        <v>52</v>
      </c>
      <c r="K77" s="352">
        <f t="shared" si="9"/>
        <v>52</v>
      </c>
      <c r="L77" s="466">
        <f t="shared" si="10"/>
        <v>5.846153846153846</v>
      </c>
      <c r="M77" s="341">
        <f>4508+1771+883+1554+851.5+290.5+236+176+1068+372+74+259+168+304</f>
        <v>12515</v>
      </c>
      <c r="N77" s="352">
        <f>484+239+139+406+142+39+97+68+267+124+14+55+25+52</f>
        <v>2151</v>
      </c>
      <c r="O77" s="288">
        <f t="shared" si="8"/>
        <v>5.818224081822408</v>
      </c>
      <c r="P77" s="235"/>
    </row>
    <row r="78" spans="1:16" s="7" customFormat="1" ht="15">
      <c r="A78" s="101">
        <v>74</v>
      </c>
      <c r="B78" s="242" t="s">
        <v>454</v>
      </c>
      <c r="C78" s="114">
        <v>39206</v>
      </c>
      <c r="D78" s="127" t="s">
        <v>73</v>
      </c>
      <c r="E78" s="127" t="s">
        <v>522</v>
      </c>
      <c r="F78" s="337" t="s">
        <v>313</v>
      </c>
      <c r="G78" s="337" t="s">
        <v>20</v>
      </c>
      <c r="H78" s="337" t="s">
        <v>472</v>
      </c>
      <c r="I78" s="244">
        <v>300</v>
      </c>
      <c r="J78" s="364">
        <v>40</v>
      </c>
      <c r="K78" s="352">
        <f t="shared" si="9"/>
        <v>40</v>
      </c>
      <c r="L78" s="466">
        <f t="shared" si="10"/>
        <v>7.5</v>
      </c>
      <c r="M78" s="342">
        <v>24386</v>
      </c>
      <c r="N78" s="353">
        <v>3082</v>
      </c>
      <c r="O78" s="288">
        <f t="shared" si="8"/>
        <v>7.912394548994159</v>
      </c>
      <c r="P78" s="235"/>
    </row>
    <row r="79" spans="1:16" s="7" customFormat="1" ht="15">
      <c r="A79" s="101">
        <v>75</v>
      </c>
      <c r="B79" s="242" t="s">
        <v>220</v>
      </c>
      <c r="C79" s="114">
        <v>38743</v>
      </c>
      <c r="D79" s="127" t="s">
        <v>45</v>
      </c>
      <c r="E79" s="127" t="s">
        <v>221</v>
      </c>
      <c r="F79" s="337" t="s">
        <v>222</v>
      </c>
      <c r="G79" s="337" t="s">
        <v>20</v>
      </c>
      <c r="H79" s="337" t="s">
        <v>523</v>
      </c>
      <c r="I79" s="244">
        <v>297</v>
      </c>
      <c r="J79" s="364">
        <v>99</v>
      </c>
      <c r="K79" s="352">
        <f t="shared" si="9"/>
        <v>99</v>
      </c>
      <c r="L79" s="466">
        <f t="shared" si="10"/>
        <v>3</v>
      </c>
      <c r="M79" s="342">
        <v>2824188.5</v>
      </c>
      <c r="N79" s="353">
        <v>379506</v>
      </c>
      <c r="O79" s="288">
        <f t="shared" si="8"/>
        <v>7.441749274056273</v>
      </c>
      <c r="P79" s="235"/>
    </row>
    <row r="80" spans="1:16" s="7" customFormat="1" ht="15">
      <c r="A80" s="101">
        <v>76</v>
      </c>
      <c r="B80" s="242" t="s">
        <v>417</v>
      </c>
      <c r="C80" s="114">
        <v>39227</v>
      </c>
      <c r="D80" s="125" t="s">
        <v>291</v>
      </c>
      <c r="E80" s="127" t="s">
        <v>418</v>
      </c>
      <c r="F80" s="337" t="s">
        <v>37</v>
      </c>
      <c r="G80" s="337" t="s">
        <v>20</v>
      </c>
      <c r="H80" s="337" t="s">
        <v>429</v>
      </c>
      <c r="I80" s="244">
        <v>287</v>
      </c>
      <c r="J80" s="364">
        <v>41</v>
      </c>
      <c r="K80" s="352">
        <f t="shared" si="9"/>
        <v>41</v>
      </c>
      <c r="L80" s="466">
        <f t="shared" si="10"/>
        <v>7</v>
      </c>
      <c r="M80" s="342">
        <v>6608</v>
      </c>
      <c r="N80" s="353">
        <v>876</v>
      </c>
      <c r="O80" s="288">
        <f t="shared" si="8"/>
        <v>7.54337899543379</v>
      </c>
      <c r="P80" s="235"/>
    </row>
    <row r="81" spans="1:16" s="7" customFormat="1" ht="15">
      <c r="A81" s="101">
        <v>77</v>
      </c>
      <c r="B81" s="239" t="s">
        <v>439</v>
      </c>
      <c r="C81" s="114">
        <v>39199</v>
      </c>
      <c r="D81" s="125" t="s">
        <v>56</v>
      </c>
      <c r="E81" s="124" t="s">
        <v>11</v>
      </c>
      <c r="F81" s="336">
        <v>71</v>
      </c>
      <c r="G81" s="336">
        <v>1</v>
      </c>
      <c r="H81" s="336">
        <v>12</v>
      </c>
      <c r="I81" s="244">
        <v>246</v>
      </c>
      <c r="J81" s="364">
        <v>44</v>
      </c>
      <c r="K81" s="358">
        <f t="shared" si="9"/>
        <v>44</v>
      </c>
      <c r="L81" s="344">
        <f t="shared" si="10"/>
        <v>5.590909090909091</v>
      </c>
      <c r="M81" s="342">
        <f>477094+269146+191489+78805+30168+28149+13445+2594+1355+1262+573+246</f>
        <v>1094326</v>
      </c>
      <c r="N81" s="353">
        <f>58610+34281+24961+13307+6081+5387+2553+553+253+256+102+44</f>
        <v>146388</v>
      </c>
      <c r="O81" s="288">
        <f t="shared" si="8"/>
        <v>7.475517118889527</v>
      </c>
      <c r="P81" s="235"/>
    </row>
    <row r="82" spans="1:16" s="7" customFormat="1" ht="15">
      <c r="A82" s="101">
        <v>78</v>
      </c>
      <c r="B82" s="240" t="s">
        <v>448</v>
      </c>
      <c r="C82" s="115">
        <v>39185</v>
      </c>
      <c r="D82" s="126" t="s">
        <v>66</v>
      </c>
      <c r="E82" s="126" t="s">
        <v>66</v>
      </c>
      <c r="F82" s="116">
        <v>32</v>
      </c>
      <c r="G82" s="116">
        <v>1</v>
      </c>
      <c r="H82" s="116">
        <v>13</v>
      </c>
      <c r="I82" s="243">
        <v>244</v>
      </c>
      <c r="J82" s="365">
        <v>38</v>
      </c>
      <c r="K82" s="352">
        <f t="shared" si="9"/>
        <v>38</v>
      </c>
      <c r="L82" s="466">
        <f t="shared" si="10"/>
        <v>6.421052631578948</v>
      </c>
      <c r="M82" s="341">
        <f>108639+53175.5+20297+10110.5+6588.5+4718.5+25+932+2938+1916+223+2532+244</f>
        <v>212339</v>
      </c>
      <c r="N82" s="352">
        <f>11660+5688+2612+1694+1121+867+5+284+987+479+44+624+38</f>
        <v>26103</v>
      </c>
      <c r="O82" s="288">
        <f t="shared" si="8"/>
        <v>8.134658851473011</v>
      </c>
      <c r="P82" s="235"/>
    </row>
    <row r="83" spans="1:16" s="7" customFormat="1" ht="15">
      <c r="A83" s="101">
        <v>79</v>
      </c>
      <c r="B83" s="240" t="s">
        <v>328</v>
      </c>
      <c r="C83" s="115">
        <v>39171</v>
      </c>
      <c r="D83" s="126" t="s">
        <v>57</v>
      </c>
      <c r="E83" s="126" t="s">
        <v>60</v>
      </c>
      <c r="F83" s="116">
        <v>88</v>
      </c>
      <c r="G83" s="116">
        <v>2</v>
      </c>
      <c r="H83" s="116">
        <v>16</v>
      </c>
      <c r="I83" s="243">
        <v>237</v>
      </c>
      <c r="J83" s="365">
        <v>53</v>
      </c>
      <c r="K83" s="352">
        <f t="shared" si="9"/>
        <v>26.5</v>
      </c>
      <c r="L83" s="466">
        <f t="shared" si="10"/>
        <v>4.471698113207547</v>
      </c>
      <c r="M83" s="341">
        <v>1094157</v>
      </c>
      <c r="N83" s="352">
        <v>143031</v>
      </c>
      <c r="O83" s="288">
        <f t="shared" si="8"/>
        <v>7.6497892065356465</v>
      </c>
      <c r="P83" s="235"/>
    </row>
    <row r="84" spans="1:16" s="7" customFormat="1" ht="15">
      <c r="A84" s="101">
        <v>80</v>
      </c>
      <c r="B84" s="242" t="s">
        <v>123</v>
      </c>
      <c r="C84" s="114">
        <v>39080</v>
      </c>
      <c r="D84" s="127" t="s">
        <v>45</v>
      </c>
      <c r="E84" s="127" t="s">
        <v>97</v>
      </c>
      <c r="F84" s="337" t="s">
        <v>124</v>
      </c>
      <c r="G84" s="337" t="s">
        <v>20</v>
      </c>
      <c r="H84" s="337" t="s">
        <v>524</v>
      </c>
      <c r="I84" s="244">
        <v>234</v>
      </c>
      <c r="J84" s="364">
        <v>45</v>
      </c>
      <c r="K84" s="352">
        <f t="shared" si="9"/>
        <v>45</v>
      </c>
      <c r="L84" s="466">
        <f t="shared" si="10"/>
        <v>5.2</v>
      </c>
      <c r="M84" s="342">
        <v>3084045</v>
      </c>
      <c r="N84" s="353">
        <v>418883</v>
      </c>
      <c r="O84" s="288">
        <f t="shared" si="8"/>
        <v>7.362545149838977</v>
      </c>
      <c r="P84" s="235"/>
    </row>
    <row r="85" spans="1:16" s="7" customFormat="1" ht="15">
      <c r="A85" s="101">
        <v>81</v>
      </c>
      <c r="B85" s="240" t="s">
        <v>392</v>
      </c>
      <c r="C85" s="115">
        <v>39213</v>
      </c>
      <c r="D85" s="126" t="s">
        <v>58</v>
      </c>
      <c r="E85" s="126" t="s">
        <v>59</v>
      </c>
      <c r="F85" s="116">
        <v>1</v>
      </c>
      <c r="G85" s="116">
        <v>1</v>
      </c>
      <c r="H85" s="116">
        <v>10</v>
      </c>
      <c r="I85" s="243">
        <v>228</v>
      </c>
      <c r="J85" s="365">
        <v>44</v>
      </c>
      <c r="K85" s="352">
        <f t="shared" si="9"/>
        <v>44</v>
      </c>
      <c r="L85" s="466">
        <f t="shared" si="10"/>
        <v>5.181818181818182</v>
      </c>
      <c r="M85" s="341">
        <f>23022+3295+935+946+734+524+260+264+324+228</f>
        <v>30532</v>
      </c>
      <c r="N85" s="352">
        <f>3601+659+187+99+75+55+28+30+35+44</f>
        <v>4813</v>
      </c>
      <c r="O85" s="288">
        <f t="shared" si="8"/>
        <v>6.343652607521297</v>
      </c>
      <c r="P85" s="235"/>
    </row>
    <row r="86" spans="1:16" s="7" customFormat="1" ht="15">
      <c r="A86" s="101">
        <v>82</v>
      </c>
      <c r="B86" s="240" t="s">
        <v>116</v>
      </c>
      <c r="C86" s="115">
        <v>39073</v>
      </c>
      <c r="D86" s="126" t="s">
        <v>66</v>
      </c>
      <c r="E86" s="126" t="s">
        <v>66</v>
      </c>
      <c r="F86" s="116">
        <v>50</v>
      </c>
      <c r="G86" s="116">
        <v>1</v>
      </c>
      <c r="H86" s="116">
        <v>14</v>
      </c>
      <c r="I86" s="243">
        <v>226</v>
      </c>
      <c r="J86" s="365">
        <v>24</v>
      </c>
      <c r="K86" s="388">
        <f>+J86/G86</f>
        <v>24</v>
      </c>
      <c r="L86" s="389">
        <f>+I86/J86</f>
        <v>9.416666666666666</v>
      </c>
      <c r="M86" s="341">
        <f>145565+155630+55982+15271+7453.5+9440+11300.5+7141.5+2772.5+2945+30+431+4621+226</f>
        <v>418809</v>
      </c>
      <c r="N86" s="352">
        <f>17748+18932+7628+2641+1317+1724+2010+1184+553+655+5+131+1001+24</f>
        <v>55553</v>
      </c>
      <c r="O86" s="288">
        <f t="shared" si="8"/>
        <v>7.538908789804331</v>
      </c>
      <c r="P86" s="235"/>
    </row>
    <row r="87" spans="1:16" s="7" customFormat="1" ht="15">
      <c r="A87" s="101">
        <v>83</v>
      </c>
      <c r="B87" s="241" t="s">
        <v>102</v>
      </c>
      <c r="C87" s="115">
        <v>39059</v>
      </c>
      <c r="D87" s="130" t="s">
        <v>23</v>
      </c>
      <c r="E87" s="129" t="s">
        <v>103</v>
      </c>
      <c r="F87" s="118">
        <v>4</v>
      </c>
      <c r="G87" s="118">
        <v>1</v>
      </c>
      <c r="H87" s="118">
        <v>18</v>
      </c>
      <c r="I87" s="243">
        <v>219</v>
      </c>
      <c r="J87" s="365">
        <v>36</v>
      </c>
      <c r="K87" s="352">
        <f>J87/G87</f>
        <v>36</v>
      </c>
      <c r="L87" s="466">
        <f>I87/J87</f>
        <v>6.083333333333333</v>
      </c>
      <c r="M87" s="341">
        <f>5003+5487+2620+995+115+453+952+1068+60+117+340+2970+8402+414+2390+468+62+1544+219</f>
        <v>33679</v>
      </c>
      <c r="N87" s="352">
        <f>1000+688+315+110+14+91+238+267+24+49+68+759+1001+71+600+75+10+386+36</f>
        <v>5802</v>
      </c>
      <c r="O87" s="288">
        <f t="shared" si="8"/>
        <v>5.80472250947949</v>
      </c>
      <c r="P87" s="235"/>
    </row>
    <row r="88" spans="1:16" s="7" customFormat="1" ht="15">
      <c r="A88" s="101">
        <v>84</v>
      </c>
      <c r="B88" s="239" t="s">
        <v>121</v>
      </c>
      <c r="C88" s="114">
        <v>39073</v>
      </c>
      <c r="D88" s="124" t="s">
        <v>48</v>
      </c>
      <c r="E88" s="124" t="s">
        <v>33</v>
      </c>
      <c r="F88" s="336">
        <v>112</v>
      </c>
      <c r="G88" s="336">
        <v>1</v>
      </c>
      <c r="H88" s="336">
        <v>24</v>
      </c>
      <c r="I88" s="245">
        <v>213</v>
      </c>
      <c r="J88" s="390">
        <v>31</v>
      </c>
      <c r="K88" s="352">
        <f>J88/G88</f>
        <v>31</v>
      </c>
      <c r="L88" s="466">
        <f>I88/J88</f>
        <v>6.870967741935484</v>
      </c>
      <c r="M88" s="345">
        <f>2771335+176+213</f>
        <v>2771724</v>
      </c>
      <c r="N88" s="352">
        <f>382307+0+26+31</f>
        <v>382364</v>
      </c>
      <c r="O88" s="288">
        <f t="shared" si="8"/>
        <v>7.24891464677637</v>
      </c>
      <c r="P88" s="235"/>
    </row>
    <row r="89" spans="1:16" s="7" customFormat="1" ht="15">
      <c r="A89" s="101">
        <v>85</v>
      </c>
      <c r="B89" s="242" t="s">
        <v>275</v>
      </c>
      <c r="C89" s="114">
        <v>39143</v>
      </c>
      <c r="D89" s="127" t="s">
        <v>45</v>
      </c>
      <c r="E89" s="127" t="s">
        <v>276</v>
      </c>
      <c r="F89" s="337" t="s">
        <v>277</v>
      </c>
      <c r="G89" s="337" t="s">
        <v>20</v>
      </c>
      <c r="H89" s="337" t="s">
        <v>473</v>
      </c>
      <c r="I89" s="244">
        <v>212</v>
      </c>
      <c r="J89" s="364">
        <v>42</v>
      </c>
      <c r="K89" s="388">
        <f>+J89/G89</f>
        <v>42</v>
      </c>
      <c r="L89" s="389">
        <f>+I89/J89</f>
        <v>5.0476190476190474</v>
      </c>
      <c r="M89" s="342">
        <v>993083</v>
      </c>
      <c r="N89" s="353">
        <v>162028</v>
      </c>
      <c r="O89" s="288">
        <f t="shared" si="8"/>
        <v>6.129082627693979</v>
      </c>
      <c r="P89" s="235"/>
    </row>
    <row r="90" spans="1:16" s="7" customFormat="1" ht="15">
      <c r="A90" s="101">
        <v>86</v>
      </c>
      <c r="B90" s="240" t="s">
        <v>329</v>
      </c>
      <c r="C90" s="115">
        <v>39164</v>
      </c>
      <c r="D90" s="126" t="s">
        <v>58</v>
      </c>
      <c r="E90" s="126" t="s">
        <v>245</v>
      </c>
      <c r="F90" s="116">
        <v>40</v>
      </c>
      <c r="G90" s="116">
        <v>1</v>
      </c>
      <c r="H90" s="116">
        <v>17</v>
      </c>
      <c r="I90" s="243">
        <v>209</v>
      </c>
      <c r="J90" s="365">
        <v>59</v>
      </c>
      <c r="K90" s="352">
        <f aca="true" t="shared" si="11" ref="K90:K99">J90/G90</f>
        <v>59</v>
      </c>
      <c r="L90" s="466">
        <f aca="true" t="shared" si="12" ref="L90:L99">I90/J90</f>
        <v>3.542372881355932</v>
      </c>
      <c r="M90" s="341">
        <f>452783.5+369193.5-156.5+194527+1+121223+68185+44103+34172+22942+14917.5+8850+442+640+288+669+1240+375+209</f>
        <v>1334604</v>
      </c>
      <c r="N90" s="352">
        <f>49233+40219-14+22195+17046+12080+7513+6232+4202+2944+1792+103+141+59+129+216+75+59</f>
        <v>164224</v>
      </c>
      <c r="O90" s="288">
        <f t="shared" si="8"/>
        <v>8.12672934528449</v>
      </c>
      <c r="P90" s="235"/>
    </row>
    <row r="91" spans="1:16" s="7" customFormat="1" ht="15">
      <c r="A91" s="101">
        <v>87</v>
      </c>
      <c r="B91" s="240" t="s">
        <v>368</v>
      </c>
      <c r="C91" s="115">
        <v>39192</v>
      </c>
      <c r="D91" s="126" t="s">
        <v>58</v>
      </c>
      <c r="E91" s="126" t="s">
        <v>346</v>
      </c>
      <c r="F91" s="116">
        <v>30</v>
      </c>
      <c r="G91" s="116">
        <v>1</v>
      </c>
      <c r="H91" s="116">
        <v>13</v>
      </c>
      <c r="I91" s="243">
        <v>204</v>
      </c>
      <c r="J91" s="365">
        <v>34</v>
      </c>
      <c r="K91" s="352">
        <f t="shared" si="11"/>
        <v>34</v>
      </c>
      <c r="L91" s="466">
        <f t="shared" si="12"/>
        <v>6</v>
      </c>
      <c r="M91" s="341">
        <f>71030+32901.5+17721.5+14872+9513+2979+1242+198+150+198+140+162+204</f>
        <v>151311</v>
      </c>
      <c r="N91" s="352">
        <f>8415+4258+2684+2483+1579+589+251+33+25+33+23+27+34</f>
        <v>20434</v>
      </c>
      <c r="O91" s="288">
        <f t="shared" si="8"/>
        <v>7.404864441616913</v>
      </c>
      <c r="P91" s="235"/>
    </row>
    <row r="92" spans="1:16" s="7" customFormat="1" ht="15">
      <c r="A92" s="101">
        <v>88</v>
      </c>
      <c r="B92" s="240" t="s">
        <v>452</v>
      </c>
      <c r="C92" s="115">
        <v>39115</v>
      </c>
      <c r="D92" s="126" t="s">
        <v>58</v>
      </c>
      <c r="E92" s="126" t="s">
        <v>38</v>
      </c>
      <c r="F92" s="116">
        <v>10</v>
      </c>
      <c r="G92" s="116">
        <v>1</v>
      </c>
      <c r="H92" s="116">
        <v>8</v>
      </c>
      <c r="I92" s="243">
        <v>186</v>
      </c>
      <c r="J92" s="365">
        <v>29</v>
      </c>
      <c r="K92" s="352">
        <f t="shared" si="11"/>
        <v>29</v>
      </c>
      <c r="L92" s="466">
        <f t="shared" si="12"/>
        <v>6.413793103448276</v>
      </c>
      <c r="M92" s="341">
        <f>17496+3884+1469+240+311+404+472+286</f>
        <v>24562</v>
      </c>
      <c r="N92" s="352">
        <f>1763+417+239+30+72+92+105+29</f>
        <v>2747</v>
      </c>
      <c r="O92" s="288">
        <f t="shared" si="8"/>
        <v>8.94139060793593</v>
      </c>
      <c r="P92" s="235"/>
    </row>
    <row r="93" spans="1:16" s="7" customFormat="1" ht="15">
      <c r="A93" s="101">
        <v>89</v>
      </c>
      <c r="B93" s="240" t="s">
        <v>376</v>
      </c>
      <c r="C93" s="115">
        <v>39199</v>
      </c>
      <c r="D93" s="126" t="s">
        <v>58</v>
      </c>
      <c r="E93" s="126" t="s">
        <v>59</v>
      </c>
      <c r="F93" s="116">
        <v>12</v>
      </c>
      <c r="G93" s="116">
        <v>1</v>
      </c>
      <c r="H93" s="116">
        <v>12</v>
      </c>
      <c r="I93" s="243">
        <v>185</v>
      </c>
      <c r="J93" s="365">
        <v>37</v>
      </c>
      <c r="K93" s="352">
        <f t="shared" si="11"/>
        <v>37</v>
      </c>
      <c r="L93" s="466">
        <f t="shared" si="12"/>
        <v>5</v>
      </c>
      <c r="M93" s="341">
        <f>65278+43624+18025+11913.5+8482+5984+2783+1516+591+802+176+51+185</f>
        <v>159410.5</v>
      </c>
      <c r="N93" s="352">
        <f>6781+4516+2043+1620+1413+932+527+294+132+80+21+9+37</f>
        <v>18405</v>
      </c>
      <c r="O93" s="288">
        <f t="shared" si="8"/>
        <v>8.661260527030699</v>
      </c>
      <c r="P93" s="235"/>
    </row>
    <row r="94" spans="1:16" s="7" customFormat="1" ht="15">
      <c r="A94" s="101">
        <v>90</v>
      </c>
      <c r="B94" s="241" t="s">
        <v>307</v>
      </c>
      <c r="C94" s="115">
        <v>39157</v>
      </c>
      <c r="D94" s="130" t="s">
        <v>23</v>
      </c>
      <c r="E94" s="129" t="s">
        <v>521</v>
      </c>
      <c r="F94" s="118">
        <v>1</v>
      </c>
      <c r="G94" s="118">
        <v>1</v>
      </c>
      <c r="H94" s="118">
        <v>13</v>
      </c>
      <c r="I94" s="243">
        <v>175</v>
      </c>
      <c r="J94" s="365">
        <v>35</v>
      </c>
      <c r="K94" s="352">
        <f t="shared" si="11"/>
        <v>35</v>
      </c>
      <c r="L94" s="466">
        <f t="shared" si="12"/>
        <v>5</v>
      </c>
      <c r="M94" s="341">
        <f>4040+3088+878+292+795+865+1900+1068+1000+398+492+110+175</f>
        <v>15101</v>
      </c>
      <c r="N94" s="352">
        <f>578+442+162+25+159+173+475+267+133+54+68+22+35</f>
        <v>2593</v>
      </c>
      <c r="O94" s="288">
        <f t="shared" si="8"/>
        <v>5.823756266872349</v>
      </c>
      <c r="P94" s="235"/>
    </row>
    <row r="95" spans="1:16" s="7" customFormat="1" ht="15">
      <c r="A95" s="101">
        <v>91</v>
      </c>
      <c r="B95" s="242" t="s">
        <v>422</v>
      </c>
      <c r="C95" s="114">
        <v>39234</v>
      </c>
      <c r="D95" s="127" t="s">
        <v>55</v>
      </c>
      <c r="E95" s="127" t="s">
        <v>423</v>
      </c>
      <c r="F95" s="270">
        <v>77</v>
      </c>
      <c r="G95" s="270">
        <v>2</v>
      </c>
      <c r="H95" s="270">
        <v>7</v>
      </c>
      <c r="I95" s="244">
        <v>173</v>
      </c>
      <c r="J95" s="364">
        <v>32</v>
      </c>
      <c r="K95" s="352">
        <f t="shared" si="11"/>
        <v>16</v>
      </c>
      <c r="L95" s="466">
        <f t="shared" si="12"/>
        <v>5.40625</v>
      </c>
      <c r="M95" s="342">
        <v>673909</v>
      </c>
      <c r="N95" s="353">
        <v>76234</v>
      </c>
      <c r="O95" s="288">
        <f t="shared" si="8"/>
        <v>8.840005771702915</v>
      </c>
      <c r="P95" s="235"/>
    </row>
    <row r="96" spans="1:16" s="7" customFormat="1" ht="15">
      <c r="A96" s="101">
        <v>92</v>
      </c>
      <c r="B96" s="241" t="s">
        <v>525</v>
      </c>
      <c r="C96" s="115">
        <v>39164</v>
      </c>
      <c r="D96" s="130" t="s">
        <v>23</v>
      </c>
      <c r="E96" s="129" t="s">
        <v>69</v>
      </c>
      <c r="F96" s="118">
        <v>40</v>
      </c>
      <c r="G96" s="118">
        <v>2</v>
      </c>
      <c r="H96" s="118">
        <v>15</v>
      </c>
      <c r="I96" s="243">
        <v>157</v>
      </c>
      <c r="J96" s="365">
        <v>28</v>
      </c>
      <c r="K96" s="352">
        <f t="shared" si="11"/>
        <v>14</v>
      </c>
      <c r="L96" s="466">
        <f t="shared" si="12"/>
        <v>5.607142857142857</v>
      </c>
      <c r="M96" s="341">
        <f>136863.5+71331.5+20806.5+12476.9+2838+4712+1523+1430+843.5+195+279+570+808+965+157</f>
        <v>255798.9</v>
      </c>
      <c r="N96" s="352">
        <f>15270+7788+3293+2489+585+1026+358+293+157+44+46+87+169+238+28</f>
        <v>31871</v>
      </c>
      <c r="O96" s="288">
        <f t="shared" si="8"/>
        <v>8.026070722600483</v>
      </c>
      <c r="P96" s="235"/>
    </row>
    <row r="97" spans="1:16" s="7" customFormat="1" ht="15">
      <c r="A97" s="101">
        <v>93</v>
      </c>
      <c r="B97" s="240" t="s">
        <v>239</v>
      </c>
      <c r="C97" s="115">
        <v>39122</v>
      </c>
      <c r="D97" s="126" t="s">
        <v>66</v>
      </c>
      <c r="E97" s="126" t="s">
        <v>66</v>
      </c>
      <c r="F97" s="116">
        <v>27</v>
      </c>
      <c r="G97" s="116">
        <v>1</v>
      </c>
      <c r="H97" s="116">
        <v>9</v>
      </c>
      <c r="I97" s="243">
        <v>139</v>
      </c>
      <c r="J97" s="365">
        <v>21</v>
      </c>
      <c r="K97" s="352">
        <f t="shared" si="11"/>
        <v>21</v>
      </c>
      <c r="L97" s="466">
        <f t="shared" si="12"/>
        <v>6.619047619047619</v>
      </c>
      <c r="M97" s="341">
        <f>119870.5+70279+18401+10562+5558+801+365+35+139</f>
        <v>226010.5</v>
      </c>
      <c r="N97" s="352">
        <f>12204+6994+1908+1977+1125+173+73+5+21</f>
        <v>24480</v>
      </c>
      <c r="O97" s="288">
        <f t="shared" si="8"/>
        <v>9.232455065359478</v>
      </c>
      <c r="P97" s="235"/>
    </row>
    <row r="98" spans="1:16" s="7" customFormat="1" ht="15">
      <c r="A98" s="101">
        <v>94</v>
      </c>
      <c r="B98" s="240" t="s">
        <v>393</v>
      </c>
      <c r="C98" s="115">
        <v>39187</v>
      </c>
      <c r="D98" s="126" t="s">
        <v>58</v>
      </c>
      <c r="E98" s="126" t="s">
        <v>59</v>
      </c>
      <c r="F98" s="116">
        <v>1</v>
      </c>
      <c r="G98" s="116">
        <v>1</v>
      </c>
      <c r="H98" s="116">
        <v>8</v>
      </c>
      <c r="I98" s="243">
        <v>120</v>
      </c>
      <c r="J98" s="365">
        <v>13</v>
      </c>
      <c r="K98" s="352">
        <f t="shared" si="11"/>
        <v>13</v>
      </c>
      <c r="L98" s="466">
        <f t="shared" si="12"/>
        <v>9.23076923076923</v>
      </c>
      <c r="M98" s="341">
        <f>11158+1340+625+166+94+174+151+140+120</f>
        <v>13968</v>
      </c>
      <c r="N98" s="352">
        <f>1408+268+125+19+11+20+28+15+13</f>
        <v>1907</v>
      </c>
      <c r="O98" s="288">
        <f t="shared" si="8"/>
        <v>7.324593602517043</v>
      </c>
      <c r="P98" s="235"/>
    </row>
    <row r="99" spans="1:16" s="7" customFormat="1" ht="15">
      <c r="A99" s="101">
        <v>95</v>
      </c>
      <c r="B99" s="240" t="s">
        <v>379</v>
      </c>
      <c r="C99" s="115">
        <v>39199</v>
      </c>
      <c r="D99" s="126" t="s">
        <v>58</v>
      </c>
      <c r="E99" s="126" t="s">
        <v>59</v>
      </c>
      <c r="F99" s="116">
        <v>1</v>
      </c>
      <c r="G99" s="116">
        <v>1</v>
      </c>
      <c r="H99" s="116">
        <v>8</v>
      </c>
      <c r="I99" s="243">
        <v>71</v>
      </c>
      <c r="J99" s="365">
        <v>11</v>
      </c>
      <c r="K99" s="352">
        <f t="shared" si="11"/>
        <v>11</v>
      </c>
      <c r="L99" s="466">
        <f t="shared" si="12"/>
        <v>6.454545454545454</v>
      </c>
      <c r="M99" s="341">
        <f>7483+988+550+332+134+125+150+50+71</f>
        <v>9883</v>
      </c>
      <c r="N99" s="352">
        <f>956+111+62+33+15+31+22+10+11</f>
        <v>1251</v>
      </c>
      <c r="O99" s="288">
        <f t="shared" si="8"/>
        <v>7.900079936051159</v>
      </c>
      <c r="P99" s="235"/>
    </row>
    <row r="100" spans="1:16" s="7" customFormat="1" ht="15.75" thickBot="1">
      <c r="A100" s="101">
        <v>96</v>
      </c>
      <c r="B100" s="471" t="s">
        <v>335</v>
      </c>
      <c r="C100" s="362">
        <v>39178</v>
      </c>
      <c r="D100" s="460" t="s">
        <v>55</v>
      </c>
      <c r="E100" s="460" t="s">
        <v>490</v>
      </c>
      <c r="F100" s="472">
        <v>55</v>
      </c>
      <c r="G100" s="472">
        <v>1</v>
      </c>
      <c r="H100" s="472">
        <v>14</v>
      </c>
      <c r="I100" s="462">
        <v>25</v>
      </c>
      <c r="J100" s="463">
        <v>5</v>
      </c>
      <c r="K100" s="473">
        <f>+J100/G100</f>
        <v>5</v>
      </c>
      <c r="L100" s="474">
        <f>+I100/J100</f>
        <v>5</v>
      </c>
      <c r="M100" s="475">
        <v>1359102</v>
      </c>
      <c r="N100" s="476">
        <v>158968</v>
      </c>
      <c r="O100" s="439">
        <f t="shared" si="8"/>
        <v>8.549531981279252</v>
      </c>
      <c r="P100" s="235"/>
    </row>
    <row r="101" spans="1:16" s="113" customFormat="1" ht="15">
      <c r="A101" s="509" t="s">
        <v>50</v>
      </c>
      <c r="B101" s="510"/>
      <c r="C101" s="103"/>
      <c r="D101" s="104" t="s">
        <v>508</v>
      </c>
      <c r="E101" s="105"/>
      <c r="F101" s="104"/>
      <c r="G101" s="106">
        <f>SUM(G5:G100)</f>
        <v>1048</v>
      </c>
      <c r="H101" s="104"/>
      <c r="I101" s="107">
        <f>SUM(I5:I100)</f>
        <v>2365687.44</v>
      </c>
      <c r="J101" s="108">
        <f>SUM(J5:J100)</f>
        <v>305146</v>
      </c>
      <c r="K101" s="109">
        <f>J101/G101</f>
        <v>291.16984732824426</v>
      </c>
      <c r="L101" s="110">
        <f>I101/J101</f>
        <v>7.752641161935598</v>
      </c>
      <c r="M101" s="111"/>
      <c r="N101" s="109"/>
      <c r="O101" s="112"/>
      <c r="P101" s="237"/>
    </row>
    <row r="102" spans="1:16" s="13" customFormat="1" ht="15">
      <c r="A102" s="511" t="s">
        <v>49</v>
      </c>
      <c r="B102" s="512"/>
      <c r="C102" s="28"/>
      <c r="D102" s="29" t="s">
        <v>494</v>
      </c>
      <c r="E102" s="27"/>
      <c r="F102" s="29"/>
      <c r="G102" s="30">
        <v>978</v>
      </c>
      <c r="H102" s="29"/>
      <c r="I102" s="45">
        <v>2795670.5</v>
      </c>
      <c r="J102" s="92">
        <v>356425</v>
      </c>
      <c r="K102" s="109">
        <f>J102/G102</f>
        <v>364.44274028629854</v>
      </c>
      <c r="L102" s="31">
        <f>I102/J102</f>
        <v>7.84364312267658</v>
      </c>
      <c r="M102" s="38"/>
      <c r="N102" s="35"/>
      <c r="O102" s="41"/>
      <c r="P102" s="235"/>
    </row>
    <row r="103" spans="1:16" s="7" customFormat="1" ht="13.5">
      <c r="A103" s="51"/>
      <c r="C103" s="11"/>
      <c r="D103" s="15"/>
      <c r="E103" s="15"/>
      <c r="F103" s="8"/>
      <c r="G103" s="8"/>
      <c r="H103" s="8"/>
      <c r="I103" s="46"/>
      <c r="J103" s="32"/>
      <c r="K103" s="33"/>
      <c r="L103" s="20"/>
      <c r="M103" s="39"/>
      <c r="N103" s="33"/>
      <c r="O103" s="42"/>
      <c r="P103" s="235"/>
    </row>
    <row r="104" spans="1:16" s="7" customFormat="1" ht="15">
      <c r="A104" s="51"/>
      <c r="B104" s="517"/>
      <c r="C104" s="517"/>
      <c r="D104" s="520"/>
      <c r="E104" s="520"/>
      <c r="F104" s="520"/>
      <c r="G104" s="21"/>
      <c r="H104" s="8"/>
      <c r="I104" s="46"/>
      <c r="J104" s="32"/>
      <c r="K104" s="518" t="s">
        <v>47</v>
      </c>
      <c r="L104" s="519"/>
      <c r="M104" s="519"/>
      <c r="N104" s="519"/>
      <c r="O104" s="519"/>
      <c r="P104" s="235"/>
    </row>
    <row r="105" spans="1:16" s="7" customFormat="1" ht="15.75" thickBot="1">
      <c r="A105" s="51"/>
      <c r="B105" s="517"/>
      <c r="C105" s="517"/>
      <c r="D105" s="170"/>
      <c r="E105" s="171"/>
      <c r="F105" s="171"/>
      <c r="G105" s="8"/>
      <c r="H105" s="22"/>
      <c r="I105" s="46"/>
      <c r="J105" s="32"/>
      <c r="K105" s="519"/>
      <c r="L105" s="519"/>
      <c r="M105" s="519"/>
      <c r="N105" s="519"/>
      <c r="O105" s="519"/>
      <c r="P105" s="235"/>
    </row>
    <row r="106" spans="1:16" s="7" customFormat="1" ht="15">
      <c r="A106" s="60"/>
      <c r="B106" s="57" t="s">
        <v>51</v>
      </c>
      <c r="C106" s="513" t="s">
        <v>88</v>
      </c>
      <c r="D106" s="514"/>
      <c r="E106" s="514"/>
      <c r="F106" s="515"/>
      <c r="G106" s="8"/>
      <c r="H106" s="22"/>
      <c r="I106" s="46"/>
      <c r="J106" s="32"/>
      <c r="K106" s="519"/>
      <c r="L106" s="519"/>
      <c r="M106" s="519"/>
      <c r="N106" s="519"/>
      <c r="O106" s="519"/>
      <c r="P106" s="235"/>
    </row>
    <row r="107" spans="1:16" s="7" customFormat="1" ht="15">
      <c r="A107" s="67"/>
      <c r="B107" s="68"/>
      <c r="C107" s="69" t="s">
        <v>89</v>
      </c>
      <c r="D107" s="70" t="s">
        <v>6</v>
      </c>
      <c r="E107" s="70" t="s">
        <v>90</v>
      </c>
      <c r="F107" s="71" t="s">
        <v>0</v>
      </c>
      <c r="G107" s="8"/>
      <c r="H107" s="22"/>
      <c r="I107" s="46"/>
      <c r="J107" s="32"/>
      <c r="K107" s="516" t="s">
        <v>506</v>
      </c>
      <c r="L107" s="516"/>
      <c r="M107" s="516"/>
      <c r="N107" s="516"/>
      <c r="O107" s="516"/>
      <c r="P107" s="235"/>
    </row>
    <row r="108" spans="1:16" s="7" customFormat="1" ht="15">
      <c r="A108" s="63">
        <v>1</v>
      </c>
      <c r="B108" s="64" t="s">
        <v>44</v>
      </c>
      <c r="C108" s="148" t="s">
        <v>316</v>
      </c>
      <c r="D108" s="65">
        <v>1184103</v>
      </c>
      <c r="E108" s="66">
        <v>153581</v>
      </c>
      <c r="F108" s="238">
        <f aca="true" t="shared" si="13" ref="F108:F120">D108/E108</f>
        <v>7.709957611944186</v>
      </c>
      <c r="G108" s="8"/>
      <c r="H108" s="22"/>
      <c r="I108" s="46"/>
      <c r="J108" s="32"/>
      <c r="K108" s="516"/>
      <c r="L108" s="516"/>
      <c r="M108" s="516"/>
      <c r="N108" s="516"/>
      <c r="O108" s="516"/>
      <c r="P108" s="235"/>
    </row>
    <row r="109" spans="1:16" s="7" customFormat="1" ht="15">
      <c r="A109" s="61">
        <v>2</v>
      </c>
      <c r="B109" s="58" t="s">
        <v>12</v>
      </c>
      <c r="C109" s="149" t="s">
        <v>502</v>
      </c>
      <c r="D109" s="53">
        <v>555862</v>
      </c>
      <c r="E109" s="54">
        <v>70039</v>
      </c>
      <c r="F109" s="238">
        <f t="shared" si="13"/>
        <v>7.936463970073816</v>
      </c>
      <c r="G109" s="8"/>
      <c r="H109" s="22"/>
      <c r="I109" s="46"/>
      <c r="J109" s="32"/>
      <c r="K109" s="516"/>
      <c r="L109" s="516"/>
      <c r="M109" s="516"/>
      <c r="N109" s="516"/>
      <c r="O109" s="516"/>
      <c r="P109" s="235"/>
    </row>
    <row r="110" spans="1:16" s="7" customFormat="1" ht="15">
      <c r="A110" s="61">
        <v>3</v>
      </c>
      <c r="B110" s="58" t="s">
        <v>11</v>
      </c>
      <c r="C110" s="149" t="s">
        <v>503</v>
      </c>
      <c r="D110" s="53">
        <v>224317</v>
      </c>
      <c r="E110" s="54">
        <v>33677</v>
      </c>
      <c r="F110" s="238">
        <f t="shared" si="13"/>
        <v>6.660836772871693</v>
      </c>
      <c r="G110" s="8"/>
      <c r="H110" s="22"/>
      <c r="I110" s="46"/>
      <c r="J110" s="32"/>
      <c r="K110" s="516" t="s">
        <v>507</v>
      </c>
      <c r="L110" s="516"/>
      <c r="M110" s="516"/>
      <c r="N110" s="516"/>
      <c r="O110" s="516"/>
      <c r="P110" s="235"/>
    </row>
    <row r="111" spans="1:16" s="7" customFormat="1" ht="15">
      <c r="A111" s="61">
        <v>4</v>
      </c>
      <c r="B111" s="58" t="s">
        <v>73</v>
      </c>
      <c r="C111" s="149" t="s">
        <v>471</v>
      </c>
      <c r="D111" s="53">
        <v>193927</v>
      </c>
      <c r="E111" s="54">
        <v>23597</v>
      </c>
      <c r="F111" s="238">
        <f t="shared" si="13"/>
        <v>8.218290460651778</v>
      </c>
      <c r="G111" s="8"/>
      <c r="H111" s="22"/>
      <c r="I111" s="46"/>
      <c r="J111" s="32"/>
      <c r="K111" s="516"/>
      <c r="L111" s="516"/>
      <c r="M111" s="516"/>
      <c r="N111" s="516"/>
      <c r="O111" s="516"/>
      <c r="P111" s="235"/>
    </row>
    <row r="112" spans="1:16" s="7" customFormat="1" ht="15">
      <c r="A112" s="61">
        <v>5</v>
      </c>
      <c r="B112" s="58" t="s">
        <v>64</v>
      </c>
      <c r="C112" s="149" t="s">
        <v>313</v>
      </c>
      <c r="D112" s="53">
        <v>141136</v>
      </c>
      <c r="E112" s="54">
        <v>13372</v>
      </c>
      <c r="F112" s="238">
        <f t="shared" si="13"/>
        <v>10.554591684116064</v>
      </c>
      <c r="G112" s="8"/>
      <c r="H112" s="22"/>
      <c r="I112" s="46"/>
      <c r="J112" s="32"/>
      <c r="K112" s="516"/>
      <c r="L112" s="516"/>
      <c r="M112" s="516"/>
      <c r="N112" s="516"/>
      <c r="O112" s="516"/>
      <c r="P112" s="235"/>
    </row>
    <row r="113" spans="1:16" s="7" customFormat="1" ht="15">
      <c r="A113" s="61">
        <v>6</v>
      </c>
      <c r="B113" s="58" t="s">
        <v>23</v>
      </c>
      <c r="C113" s="149" t="s">
        <v>385</v>
      </c>
      <c r="D113" s="53">
        <v>54263.5</v>
      </c>
      <c r="E113" s="54">
        <v>9664</v>
      </c>
      <c r="F113" s="238">
        <f t="shared" si="13"/>
        <v>5.6150144867549665</v>
      </c>
      <c r="G113" s="8"/>
      <c r="H113" s="506" t="s">
        <v>99</v>
      </c>
      <c r="I113" s="507"/>
      <c r="J113" s="507"/>
      <c r="K113" s="507"/>
      <c r="L113" s="507"/>
      <c r="M113" s="507"/>
      <c r="N113" s="507"/>
      <c r="O113" s="507"/>
      <c r="P113" s="235"/>
    </row>
    <row r="114" spans="1:16" s="26" customFormat="1" ht="15">
      <c r="A114" s="61">
        <v>7</v>
      </c>
      <c r="B114" s="58" t="s">
        <v>48</v>
      </c>
      <c r="C114" s="149" t="s">
        <v>313</v>
      </c>
      <c r="D114" s="53">
        <v>5152</v>
      </c>
      <c r="E114" s="54">
        <v>959</v>
      </c>
      <c r="F114" s="238">
        <f t="shared" si="13"/>
        <v>5.372262773722627</v>
      </c>
      <c r="G114" s="48"/>
      <c r="H114" s="507"/>
      <c r="I114" s="507"/>
      <c r="J114" s="507"/>
      <c r="K114" s="507"/>
      <c r="L114" s="507"/>
      <c r="M114" s="507"/>
      <c r="N114" s="507"/>
      <c r="O114" s="507"/>
      <c r="P114" s="235"/>
    </row>
    <row r="115" spans="1:16" s="26" customFormat="1" ht="15">
      <c r="A115" s="61">
        <v>8</v>
      </c>
      <c r="B115" s="58" t="s">
        <v>46</v>
      </c>
      <c r="C115" s="149" t="s">
        <v>365</v>
      </c>
      <c r="D115" s="53">
        <v>2345</v>
      </c>
      <c r="E115" s="54">
        <v>436</v>
      </c>
      <c r="F115" s="238">
        <f t="shared" si="13"/>
        <v>5.378440366972477</v>
      </c>
      <c r="G115" s="25"/>
      <c r="H115" s="507"/>
      <c r="I115" s="507"/>
      <c r="J115" s="507"/>
      <c r="K115" s="507"/>
      <c r="L115" s="507"/>
      <c r="M115" s="507"/>
      <c r="N115" s="507"/>
      <c r="O115" s="507"/>
      <c r="P115" s="235"/>
    </row>
    <row r="116" spans="1:16" s="26" customFormat="1" ht="15">
      <c r="A116" s="61">
        <v>9</v>
      </c>
      <c r="B116" s="58" t="s">
        <v>412</v>
      </c>
      <c r="C116" s="149" t="s">
        <v>37</v>
      </c>
      <c r="D116" s="53">
        <v>1699</v>
      </c>
      <c r="E116" s="54">
        <v>201</v>
      </c>
      <c r="F116" s="238">
        <f t="shared" si="13"/>
        <v>8.45273631840796</v>
      </c>
      <c r="G116" s="25"/>
      <c r="H116" s="507"/>
      <c r="I116" s="507"/>
      <c r="J116" s="507"/>
      <c r="K116" s="507"/>
      <c r="L116" s="507"/>
      <c r="M116" s="507"/>
      <c r="N116" s="507"/>
      <c r="O116" s="507"/>
      <c r="P116" s="235"/>
    </row>
    <row r="117" spans="1:16" s="26" customFormat="1" ht="15">
      <c r="A117" s="61">
        <v>10</v>
      </c>
      <c r="B117" s="58" t="s">
        <v>45</v>
      </c>
      <c r="C117" s="149" t="s">
        <v>491</v>
      </c>
      <c r="D117" s="53">
        <v>1524</v>
      </c>
      <c r="E117" s="54">
        <v>305</v>
      </c>
      <c r="F117" s="238">
        <f t="shared" si="13"/>
        <v>4.99672131147541</v>
      </c>
      <c r="G117" s="25"/>
      <c r="H117" s="507"/>
      <c r="I117" s="507"/>
      <c r="J117" s="507"/>
      <c r="K117" s="507"/>
      <c r="L117" s="507"/>
      <c r="M117" s="507"/>
      <c r="N117" s="507"/>
      <c r="O117" s="507"/>
      <c r="P117" s="235"/>
    </row>
    <row r="118" spans="1:16" s="26" customFormat="1" ht="15">
      <c r="A118" s="61">
        <v>11</v>
      </c>
      <c r="B118" s="58" t="s">
        <v>476</v>
      </c>
      <c r="C118" s="149" t="s">
        <v>20</v>
      </c>
      <c r="D118" s="53">
        <v>755</v>
      </c>
      <c r="E118" s="54">
        <v>143</v>
      </c>
      <c r="F118" s="238">
        <f t="shared" si="13"/>
        <v>5.27972027972028</v>
      </c>
      <c r="G118" s="25"/>
      <c r="H118" s="507"/>
      <c r="I118" s="507"/>
      <c r="J118" s="507"/>
      <c r="K118" s="507"/>
      <c r="L118" s="507"/>
      <c r="M118" s="507"/>
      <c r="N118" s="507"/>
      <c r="O118" s="507"/>
      <c r="P118" s="235"/>
    </row>
    <row r="119" spans="1:16" s="26" customFormat="1" ht="15">
      <c r="A119" s="61">
        <v>12</v>
      </c>
      <c r="B119" s="58" t="s">
        <v>68</v>
      </c>
      <c r="C119" s="149" t="s">
        <v>20</v>
      </c>
      <c r="D119" s="53">
        <v>405</v>
      </c>
      <c r="E119" s="54">
        <v>81</v>
      </c>
      <c r="F119" s="238">
        <f t="shared" si="13"/>
        <v>5</v>
      </c>
      <c r="G119" s="25"/>
      <c r="H119" s="508" t="s">
        <v>19</v>
      </c>
      <c r="I119" s="507"/>
      <c r="J119" s="507"/>
      <c r="K119" s="507"/>
      <c r="L119" s="507"/>
      <c r="M119" s="507"/>
      <c r="N119" s="507"/>
      <c r="O119" s="507"/>
      <c r="P119" s="235"/>
    </row>
    <row r="120" spans="1:16" s="26" customFormat="1" ht="15">
      <c r="A120" s="61">
        <v>13</v>
      </c>
      <c r="B120" s="58" t="s">
        <v>67</v>
      </c>
      <c r="C120" s="149" t="s">
        <v>37</v>
      </c>
      <c r="D120" s="53">
        <v>198</v>
      </c>
      <c r="E120" s="54">
        <v>37</v>
      </c>
      <c r="F120" s="238">
        <f t="shared" si="13"/>
        <v>5.351351351351352</v>
      </c>
      <c r="G120" s="25"/>
      <c r="H120" s="507"/>
      <c r="I120" s="507"/>
      <c r="J120" s="507"/>
      <c r="K120" s="507"/>
      <c r="L120" s="507"/>
      <c r="M120" s="507"/>
      <c r="N120" s="507"/>
      <c r="O120" s="507"/>
      <c r="P120" s="235"/>
    </row>
    <row r="121" spans="1:16" s="26" customFormat="1" ht="15.75" thickBot="1">
      <c r="A121" s="62">
        <v>14</v>
      </c>
      <c r="B121" s="59" t="s">
        <v>74</v>
      </c>
      <c r="C121" s="150" t="s">
        <v>86</v>
      </c>
      <c r="D121" s="55" t="s">
        <v>86</v>
      </c>
      <c r="E121" s="56" t="s">
        <v>86</v>
      </c>
      <c r="F121" s="293" t="s">
        <v>86</v>
      </c>
      <c r="G121" s="25"/>
      <c r="H121" s="507"/>
      <c r="I121" s="507"/>
      <c r="J121" s="507"/>
      <c r="K121" s="507"/>
      <c r="L121" s="507"/>
      <c r="M121" s="507"/>
      <c r="N121" s="507"/>
      <c r="O121" s="507"/>
      <c r="P121" s="235"/>
    </row>
    <row r="122" spans="1:16" s="26" customFormat="1" ht="18">
      <c r="A122" s="51"/>
      <c r="B122" s="4"/>
      <c r="C122" s="12"/>
      <c r="D122" s="16"/>
      <c r="E122" s="16"/>
      <c r="F122" s="6"/>
      <c r="G122" s="25"/>
      <c r="H122" s="507"/>
      <c r="I122" s="507"/>
      <c r="J122" s="507"/>
      <c r="K122" s="507"/>
      <c r="L122" s="507"/>
      <c r="M122" s="507"/>
      <c r="N122" s="507"/>
      <c r="O122" s="507"/>
      <c r="P122" s="235"/>
    </row>
    <row r="123" spans="1:16" s="26" customFormat="1" ht="18">
      <c r="A123" s="51"/>
      <c r="B123" s="4"/>
      <c r="C123" s="12"/>
      <c r="D123" s="16"/>
      <c r="E123" s="16"/>
      <c r="F123" s="6"/>
      <c r="G123" s="25"/>
      <c r="H123" s="507"/>
      <c r="I123" s="507"/>
      <c r="J123" s="507"/>
      <c r="K123" s="507"/>
      <c r="L123" s="507"/>
      <c r="M123" s="507"/>
      <c r="N123" s="507"/>
      <c r="O123" s="507"/>
      <c r="P123" s="235"/>
    </row>
    <row r="124" spans="1:16" s="26" customFormat="1" ht="15">
      <c r="A124" s="51"/>
      <c r="B124" s="72"/>
      <c r="C124" s="147"/>
      <c r="D124" s="72"/>
      <c r="E124" s="72"/>
      <c r="F124" s="72"/>
      <c r="G124" s="25"/>
      <c r="H124" s="507"/>
      <c r="I124" s="507"/>
      <c r="J124" s="507"/>
      <c r="K124" s="507"/>
      <c r="L124" s="507"/>
      <c r="M124" s="507"/>
      <c r="N124" s="507"/>
      <c r="O124" s="507"/>
      <c r="P124" s="235"/>
    </row>
    <row r="125" spans="1:16" s="26" customFormat="1" ht="15">
      <c r="A125" s="51"/>
      <c r="B125" s="72"/>
      <c r="C125" s="147"/>
      <c r="D125" s="72"/>
      <c r="E125" s="72"/>
      <c r="F125" s="72"/>
      <c r="G125" s="25"/>
      <c r="H125" s="507"/>
      <c r="I125" s="507"/>
      <c r="J125" s="507"/>
      <c r="K125" s="507"/>
      <c r="L125" s="507"/>
      <c r="M125" s="507"/>
      <c r="N125" s="507"/>
      <c r="O125" s="507"/>
      <c r="P125" s="235"/>
    </row>
    <row r="126" spans="1:16" s="26" customFormat="1" ht="15">
      <c r="A126" s="51"/>
      <c r="B126" s="72"/>
      <c r="C126" s="147"/>
      <c r="D126" s="72"/>
      <c r="E126" s="72"/>
      <c r="F126" s="72"/>
      <c r="G126" s="25"/>
      <c r="H126" s="73"/>
      <c r="I126" s="122"/>
      <c r="J126" s="122"/>
      <c r="K126" s="73"/>
      <c r="L126" s="73"/>
      <c r="M126" s="73"/>
      <c r="N126" s="73"/>
      <c r="O126" s="73"/>
      <c r="P126" s="235"/>
    </row>
    <row r="127" spans="1:16" s="26" customFormat="1" ht="15">
      <c r="A127" s="51"/>
      <c r="B127" s="72"/>
      <c r="C127" s="147"/>
      <c r="D127" s="72"/>
      <c r="E127" s="72"/>
      <c r="F127" s="72"/>
      <c r="G127" s="25"/>
      <c r="H127" s="73"/>
      <c r="I127" s="122"/>
      <c r="J127" s="122"/>
      <c r="K127" s="73"/>
      <c r="L127" s="73"/>
      <c r="M127" s="73"/>
      <c r="N127" s="73"/>
      <c r="O127" s="73"/>
      <c r="P127" s="235"/>
    </row>
    <row r="128" spans="2:6" ht="18">
      <c r="B128" s="72"/>
      <c r="C128" s="147"/>
      <c r="D128" s="72"/>
      <c r="E128" s="72"/>
      <c r="F128" s="72"/>
    </row>
    <row r="129" spans="2:6" ht="18">
      <c r="B129" s="72"/>
      <c r="C129" s="147"/>
      <c r="D129" s="72"/>
      <c r="E129" s="72"/>
      <c r="F129" s="72"/>
    </row>
    <row r="130" spans="2:15" ht="18">
      <c r="B130" s="72"/>
      <c r="C130" s="147"/>
      <c r="D130" s="72"/>
      <c r="E130" s="72"/>
      <c r="F130" s="72"/>
      <c r="G130" s="72"/>
      <c r="H130" s="72"/>
      <c r="I130" s="123"/>
      <c r="J130" s="123"/>
      <c r="K130" s="72"/>
      <c r="L130" s="72"/>
      <c r="M130" s="72"/>
      <c r="N130" s="72"/>
      <c r="O130" s="72"/>
    </row>
    <row r="131" spans="2:15" ht="18">
      <c r="B131" s="72"/>
      <c r="C131" s="147"/>
      <c r="D131" s="72"/>
      <c r="E131" s="72"/>
      <c r="F131" s="72"/>
      <c r="G131" s="72"/>
      <c r="H131" s="72"/>
      <c r="I131" s="123"/>
      <c r="J131" s="123"/>
      <c r="K131" s="72"/>
      <c r="L131" s="72"/>
      <c r="M131" s="72"/>
      <c r="N131" s="72"/>
      <c r="O131" s="72"/>
    </row>
    <row r="132" spans="2:15" ht="18">
      <c r="B132" s="72"/>
      <c r="C132" s="147"/>
      <c r="D132" s="72"/>
      <c r="E132" s="72"/>
      <c r="F132" s="72"/>
      <c r="G132" s="72"/>
      <c r="H132" s="72"/>
      <c r="I132" s="123"/>
      <c r="J132" s="123"/>
      <c r="K132" s="72"/>
      <c r="L132" s="72"/>
      <c r="M132" s="72"/>
      <c r="N132" s="72"/>
      <c r="O132" s="72"/>
    </row>
    <row r="133" spans="2:15" ht="18">
      <c r="B133" s="72"/>
      <c r="C133" s="147"/>
      <c r="D133" s="72"/>
      <c r="E133" s="72"/>
      <c r="F133" s="72"/>
      <c r="G133" s="72"/>
      <c r="H133" s="72"/>
      <c r="I133" s="123"/>
      <c r="J133" s="123"/>
      <c r="K133" s="72"/>
      <c r="L133" s="72"/>
      <c r="M133" s="72"/>
      <c r="N133" s="72"/>
      <c r="O133" s="72"/>
    </row>
    <row r="134" spans="2:15" ht="18">
      <c r="B134" s="72"/>
      <c r="C134" s="147"/>
      <c r="D134" s="72"/>
      <c r="E134" s="72"/>
      <c r="F134" s="72"/>
      <c r="G134" s="72"/>
      <c r="H134" s="72"/>
      <c r="I134" s="123"/>
      <c r="J134" s="123"/>
      <c r="K134" s="72"/>
      <c r="L134" s="72"/>
      <c r="M134" s="72"/>
      <c r="N134" s="72"/>
      <c r="O134" s="72"/>
    </row>
    <row r="135" spans="2:15" ht="18">
      <c r="B135" s="72"/>
      <c r="C135" s="147"/>
      <c r="D135" s="72"/>
      <c r="E135" s="72"/>
      <c r="F135" s="72"/>
      <c r="G135" s="72"/>
      <c r="H135" s="72"/>
      <c r="I135" s="123"/>
      <c r="J135" s="123"/>
      <c r="K135" s="72"/>
      <c r="L135" s="72"/>
      <c r="M135" s="72"/>
      <c r="N135" s="72"/>
      <c r="O135" s="72"/>
    </row>
    <row r="136" spans="2:15" ht="18">
      <c r="B136" s="72"/>
      <c r="C136" s="147"/>
      <c r="D136" s="72"/>
      <c r="E136" s="72"/>
      <c r="F136" s="72"/>
      <c r="G136" s="72"/>
      <c r="H136" s="72"/>
      <c r="I136" s="123"/>
      <c r="J136" s="123"/>
      <c r="K136" s="72"/>
      <c r="L136" s="72"/>
      <c r="M136" s="72"/>
      <c r="N136" s="72"/>
      <c r="O136" s="72"/>
    </row>
    <row r="137" spans="2:15" ht="18">
      <c r="B137" s="72"/>
      <c r="C137" s="147"/>
      <c r="D137" s="72"/>
      <c r="E137" s="72"/>
      <c r="F137" s="72"/>
      <c r="G137" s="72"/>
      <c r="H137" s="72"/>
      <c r="I137" s="123"/>
      <c r="J137" s="123"/>
      <c r="K137" s="72"/>
      <c r="L137" s="72"/>
      <c r="M137" s="72"/>
      <c r="N137" s="72"/>
      <c r="O137" s="72"/>
    </row>
    <row r="138" spans="7:15" ht="18">
      <c r="G138" s="72"/>
      <c r="H138" s="72"/>
      <c r="I138" s="123"/>
      <c r="J138" s="123"/>
      <c r="K138" s="72"/>
      <c r="L138" s="72"/>
      <c r="M138" s="72"/>
      <c r="N138" s="72"/>
      <c r="O138" s="72"/>
    </row>
    <row r="139" spans="7:15" ht="18">
      <c r="G139" s="72"/>
      <c r="H139" s="72"/>
      <c r="I139" s="123"/>
      <c r="J139" s="123"/>
      <c r="K139" s="72"/>
      <c r="L139" s="72"/>
      <c r="M139" s="72"/>
      <c r="N139" s="72"/>
      <c r="O139" s="72"/>
    </row>
    <row r="140" spans="7:15" ht="18">
      <c r="G140" s="72"/>
      <c r="H140" s="72"/>
      <c r="I140" s="123"/>
      <c r="J140" s="123"/>
      <c r="K140" s="72"/>
      <c r="L140" s="72"/>
      <c r="M140" s="72"/>
      <c r="N140" s="72"/>
      <c r="O140" s="72"/>
    </row>
    <row r="141" spans="7:15" ht="18">
      <c r="G141" s="72"/>
      <c r="H141" s="72"/>
      <c r="I141" s="123"/>
      <c r="J141" s="123"/>
      <c r="K141" s="72"/>
      <c r="L141" s="72"/>
      <c r="M141" s="72"/>
      <c r="N141" s="72"/>
      <c r="O141" s="72"/>
    </row>
    <row r="142" spans="7:15" ht="18">
      <c r="G142" s="72"/>
      <c r="H142" s="72"/>
      <c r="I142" s="123"/>
      <c r="J142" s="123"/>
      <c r="K142" s="72"/>
      <c r="L142" s="72"/>
      <c r="M142" s="72"/>
      <c r="N142" s="72"/>
      <c r="O142" s="72"/>
    </row>
    <row r="143" spans="7:15" ht="18">
      <c r="G143" s="72"/>
      <c r="H143" s="72"/>
      <c r="I143" s="123"/>
      <c r="J143" s="123"/>
      <c r="K143" s="72"/>
      <c r="L143" s="72"/>
      <c r="M143" s="72"/>
      <c r="N143" s="72"/>
      <c r="O143" s="72"/>
    </row>
  </sheetData>
  <sheetProtection insertRows="0" deleteRows="0" sort="0"/>
  <mergeCells count="20">
    <mergeCell ref="H113:O118"/>
    <mergeCell ref="H119:O125"/>
    <mergeCell ref="A101:B101"/>
    <mergeCell ref="A102:B102"/>
    <mergeCell ref="C106:F106"/>
    <mergeCell ref="K107:O109"/>
    <mergeCell ref="B104:C105"/>
    <mergeCell ref="K104:O106"/>
    <mergeCell ref="D104:F104"/>
    <mergeCell ref="K110:O112"/>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r:id="rId2"/>
  <ignoredErrors>
    <ignoredError sqref="M101:N102 O101 F108:F120 N79:N81 M91:M100" unlockedFormula="1"/>
    <ignoredError sqref="K101:L101 O10:O78 N10" formula="1"/>
    <ignoredError sqref="C108:C120 F9:J90 K9:M9" numberStoredAsText="1"/>
    <ignoredError sqref="M10 K10:L75 N11:N78 K91:L100 M82:M90 K79:L81 M79:M81 K82:L85 M11:M75 K76:L78 M76:M78 K86:L90" numberStoredAsText="1" formula="1"/>
    <ignoredError sqref="N11:N78 K91:L100" formula="1" unlockedFormula="1"/>
    <ignoredError sqref="M82:M90 K79:L81 M79:M81 K82:L85" numberStoredAsText="1" unlockedFormula="1"/>
    <ignoredError sqref="M11:M75 K76:L78 M76:M78 K86:L90" numberStoredAsText="1" formula="1" unlockedFormula="1"/>
  </ignoredErrors>
  <drawing r:id="rId1"/>
</worksheet>
</file>

<file path=xl/worksheets/sheet2.xml><?xml version="1.0" encoding="utf-8"?>
<worksheet xmlns="http://schemas.openxmlformats.org/spreadsheetml/2006/main" xmlns:r="http://schemas.openxmlformats.org/officeDocument/2006/relationships">
  <dimension ref="A1:N185"/>
  <sheetViews>
    <sheetView zoomScale="60" zoomScaleNormal="60" zoomScalePageLayoutView="0" workbookViewId="0" topLeftCell="A1">
      <selection activeCell="B2" sqref="B2:B3"/>
    </sheetView>
  </sheetViews>
  <sheetFormatPr defaultColWidth="13.28125" defaultRowHeight="12.75"/>
  <cols>
    <col min="1" max="1" width="4.57421875" style="90" bestFit="1" customWidth="1"/>
    <col min="2" max="2" width="42.57421875" style="85" bestFit="1" customWidth="1"/>
    <col min="3" max="3" width="9.421875" style="49" customWidth="1"/>
    <col min="4" max="4" width="13.421875" style="49" customWidth="1"/>
    <col min="5" max="5" width="19.8515625" style="49" bestFit="1" customWidth="1"/>
    <col min="6" max="6" width="7.421875" style="49" bestFit="1" customWidth="1"/>
    <col min="7" max="7" width="10.00390625" style="49" customWidth="1"/>
    <col min="8" max="8" width="18.7109375" style="86" bestFit="1" customWidth="1"/>
    <col min="9" max="9" width="15.140625" style="97" bestFit="1" customWidth="1"/>
    <col min="10" max="10" width="7.421875" style="87" customWidth="1"/>
    <col min="11" max="11" width="16.28125" style="416" bestFit="1" customWidth="1"/>
    <col min="12" max="12" width="10.421875" style="409" bestFit="1" customWidth="1"/>
    <col min="13" max="13" width="13.7109375" style="85" bestFit="1" customWidth="1"/>
    <col min="14" max="14" width="10.00390625" style="85" bestFit="1" customWidth="1"/>
    <col min="15" max="16" width="9.140625" style="0" customWidth="1"/>
    <col min="17" max="16384" width="13.28125" style="85" customWidth="1"/>
  </cols>
  <sheetData>
    <row r="1" spans="1:14" s="78" customFormat="1" ht="64.5" customHeight="1" thickBot="1">
      <c r="A1" s="529" t="s">
        <v>504</v>
      </c>
      <c r="B1" s="529"/>
      <c r="C1" s="529"/>
      <c r="D1" s="529"/>
      <c r="E1" s="529"/>
      <c r="F1" s="529"/>
      <c r="G1" s="529"/>
      <c r="H1" s="529"/>
      <c r="I1" s="529"/>
      <c r="J1" s="529"/>
      <c r="K1" s="433"/>
      <c r="L1" s="434"/>
      <c r="M1" s="432"/>
      <c r="N1" s="432"/>
    </row>
    <row r="2" spans="1:12" s="79" customFormat="1" ht="14.25">
      <c r="A2" s="94"/>
      <c r="B2" s="521" t="s">
        <v>1</v>
      </c>
      <c r="C2" s="521" t="s">
        <v>107</v>
      </c>
      <c r="D2" s="521" t="s">
        <v>54</v>
      </c>
      <c r="E2" s="521" t="s">
        <v>53</v>
      </c>
      <c r="F2" s="501" t="s">
        <v>3</v>
      </c>
      <c r="G2" s="501" t="s">
        <v>108</v>
      </c>
      <c r="H2" s="524" t="s">
        <v>5</v>
      </c>
      <c r="I2" s="525"/>
      <c r="J2" s="526" t="s">
        <v>109</v>
      </c>
      <c r="K2" s="410"/>
      <c r="L2" s="403"/>
    </row>
    <row r="3" spans="1:12" s="79" customFormat="1" ht="33" customHeight="1" thickBot="1">
      <c r="A3" s="179"/>
      <c r="B3" s="522"/>
      <c r="C3" s="522"/>
      <c r="D3" s="522"/>
      <c r="E3" s="522"/>
      <c r="F3" s="523"/>
      <c r="G3" s="523"/>
      <c r="H3" s="76" t="s">
        <v>110</v>
      </c>
      <c r="I3" s="77" t="s">
        <v>90</v>
      </c>
      <c r="J3" s="527"/>
      <c r="K3" s="410"/>
      <c r="L3" s="403"/>
    </row>
    <row r="4" spans="1:14" s="79" customFormat="1" ht="15">
      <c r="A4" s="186">
        <v>1</v>
      </c>
      <c r="B4" s="399" t="s">
        <v>430</v>
      </c>
      <c r="C4" s="178">
        <v>39094</v>
      </c>
      <c r="D4" s="338" t="s">
        <v>58</v>
      </c>
      <c r="E4" s="338" t="s">
        <v>333</v>
      </c>
      <c r="F4" s="339">
        <v>226</v>
      </c>
      <c r="G4" s="339">
        <v>25</v>
      </c>
      <c r="H4" s="246">
        <f>3142328+2138928+1454143+1085018.5-637+512497+119516+49072.5+21975.5+19023+9522+7521+6716.5+973+245+20+90+85+70+947+133+2189+149+3296.5</f>
        <v>8573821.5</v>
      </c>
      <c r="I4" s="363">
        <f>453903+300559+202455+152725+101+73889+22414+10560+4196+3829+2908+1791+1716+233+42+4+18+17+14+309+15+538+24+819</f>
        <v>1233079</v>
      </c>
      <c r="J4" s="438">
        <f aca="true" t="shared" si="0" ref="J4:J24">+H4/I4</f>
        <v>6.953181020842947</v>
      </c>
      <c r="K4" s="441"/>
      <c r="L4" s="421"/>
      <c r="M4" s="422"/>
      <c r="N4" s="422"/>
    </row>
    <row r="5" spans="1:14" s="79" customFormat="1" ht="15">
      <c r="A5" s="186">
        <v>2</v>
      </c>
      <c r="B5" s="240" t="s">
        <v>179</v>
      </c>
      <c r="C5" s="115">
        <v>39101</v>
      </c>
      <c r="D5" s="126" t="s">
        <v>58</v>
      </c>
      <c r="E5" s="126" t="s">
        <v>58</v>
      </c>
      <c r="F5" s="116">
        <v>160</v>
      </c>
      <c r="G5" s="116">
        <v>25</v>
      </c>
      <c r="H5" s="243">
        <f>3815016+1300103.5+871510+26.5+643328.5+285+427492+144808.5-4582.5+117687.5+159.5+78376+20328+17217+7297+945+2840.5+34810+328+1337+17151+158+30+3021+2014+152+6041</f>
        <v>7507880</v>
      </c>
      <c r="I5" s="365">
        <f>302979+231870+176034+121748+3+91906+35+60830+21133-764+16236+14+11431-4+2924+3552+1459+120+1210+2+11600+81+437+5713+17+6+604+503+25+1510</f>
        <v>1063214</v>
      </c>
      <c r="J5" s="288">
        <f t="shared" si="0"/>
        <v>7.061494675578012</v>
      </c>
      <c r="K5" s="441"/>
      <c r="L5" s="421"/>
      <c r="M5" s="422"/>
      <c r="N5" s="422"/>
    </row>
    <row r="6" spans="1:14" s="79" customFormat="1" ht="15">
      <c r="A6" s="277">
        <v>3</v>
      </c>
      <c r="B6" s="400" t="s">
        <v>415</v>
      </c>
      <c r="C6" s="382">
        <v>39227</v>
      </c>
      <c r="D6" s="396" t="s">
        <v>57</v>
      </c>
      <c r="E6" s="396" t="s">
        <v>60</v>
      </c>
      <c r="F6" s="397">
        <v>216</v>
      </c>
      <c r="G6" s="397">
        <v>8</v>
      </c>
      <c r="H6" s="383">
        <v>7341497</v>
      </c>
      <c r="I6" s="384">
        <v>957895</v>
      </c>
      <c r="J6" s="440">
        <f t="shared" si="0"/>
        <v>7.664198059286248</v>
      </c>
      <c r="K6" s="441"/>
      <c r="L6" s="421"/>
      <c r="M6" s="422"/>
      <c r="N6" s="422"/>
    </row>
    <row r="7" spans="1:14" s="79" customFormat="1" ht="15">
      <c r="A7" s="276">
        <v>4</v>
      </c>
      <c r="B7" s="398">
        <v>300</v>
      </c>
      <c r="C7" s="379">
        <v>39157</v>
      </c>
      <c r="D7" s="393" t="s">
        <v>56</v>
      </c>
      <c r="E7" s="394" t="s">
        <v>11</v>
      </c>
      <c r="F7" s="395">
        <v>112</v>
      </c>
      <c r="G7" s="395">
        <v>15</v>
      </c>
      <c r="H7" s="380">
        <f>3267435+1511269+807013+389417+224450+112364+52008+9245+3829+1321+540+40+97+1035+245+610</f>
        <v>6380918</v>
      </c>
      <c r="I7" s="381">
        <f>400017+186496+98693+49874+35249+20817+11882+2148+932+328+139+8+17+46+129</f>
        <v>806775</v>
      </c>
      <c r="J7" s="346">
        <f t="shared" si="0"/>
        <v>7.909166744135602</v>
      </c>
      <c r="K7" s="442"/>
      <c r="L7" s="423"/>
      <c r="M7" s="424"/>
      <c r="N7" s="424"/>
    </row>
    <row r="8" spans="1:14" s="79" customFormat="1" ht="15">
      <c r="A8" s="186">
        <v>5</v>
      </c>
      <c r="B8" s="239" t="s">
        <v>381</v>
      </c>
      <c r="C8" s="114">
        <v>39206</v>
      </c>
      <c r="D8" s="125" t="s">
        <v>56</v>
      </c>
      <c r="E8" s="124" t="s">
        <v>61</v>
      </c>
      <c r="F8" s="336">
        <v>163</v>
      </c>
      <c r="G8" s="336">
        <v>11</v>
      </c>
      <c r="H8" s="244">
        <f>2739132+1415220+863921+292563+163748+73051+52236+22471+12322+7793+3792</f>
        <v>5646249</v>
      </c>
      <c r="I8" s="364">
        <f>347281+180161+109405+38153+22549+13412+12422+3817+2194+1661+709</f>
        <v>731764</v>
      </c>
      <c r="J8" s="288">
        <f t="shared" si="0"/>
        <v>7.715942571648783</v>
      </c>
      <c r="K8" s="442"/>
      <c r="L8" s="423"/>
      <c r="M8" s="424"/>
      <c r="N8" s="424"/>
    </row>
    <row r="9" spans="1:14" s="79" customFormat="1" ht="15">
      <c r="A9" s="186">
        <v>6</v>
      </c>
      <c r="B9" s="239" t="s">
        <v>236</v>
      </c>
      <c r="C9" s="114">
        <v>39108</v>
      </c>
      <c r="D9" s="125" t="s">
        <v>56</v>
      </c>
      <c r="E9" s="124" t="s">
        <v>256</v>
      </c>
      <c r="F9" s="336">
        <v>148</v>
      </c>
      <c r="G9" s="336">
        <v>25</v>
      </c>
      <c r="H9" s="244">
        <f>1992651+1728920+984064+346169+182382+106480+57466+19982+14948+10164+6290+4742+2342+225+140+1108+175+60+115+165+40+40+10+764+916</f>
        <v>5460358</v>
      </c>
      <c r="I9" s="364">
        <f>274655+238848+139396+51021+30073+21220+12561+3942+2123+3415+1857+1264+1187+706+45+28+267+35+12+23+33+8+8+2+167+186</f>
        <v>783082</v>
      </c>
      <c r="J9" s="288">
        <f t="shared" si="0"/>
        <v>6.972907051879624</v>
      </c>
      <c r="K9" s="442"/>
      <c r="L9" s="423"/>
      <c r="M9" s="424"/>
      <c r="N9" s="424"/>
    </row>
    <row r="10" spans="1:14" s="79" customFormat="1" ht="15">
      <c r="A10" s="186">
        <v>7</v>
      </c>
      <c r="B10" s="240" t="s">
        <v>460</v>
      </c>
      <c r="C10" s="115">
        <v>39248</v>
      </c>
      <c r="D10" s="126" t="s">
        <v>57</v>
      </c>
      <c r="E10" s="126" t="s">
        <v>65</v>
      </c>
      <c r="F10" s="116">
        <v>160</v>
      </c>
      <c r="G10" s="116">
        <v>5</v>
      </c>
      <c r="H10" s="243">
        <v>4447459</v>
      </c>
      <c r="I10" s="365">
        <v>590063</v>
      </c>
      <c r="J10" s="288">
        <f t="shared" si="0"/>
        <v>7.5372612754909225</v>
      </c>
      <c r="K10" s="443"/>
      <c r="L10" s="423"/>
      <c r="M10" s="424"/>
      <c r="N10" s="424"/>
    </row>
    <row r="11" spans="1:14" s="79" customFormat="1" ht="15">
      <c r="A11" s="186">
        <v>8</v>
      </c>
      <c r="B11" s="242" t="s">
        <v>298</v>
      </c>
      <c r="C11" s="114">
        <v>39157</v>
      </c>
      <c r="D11" s="127" t="s">
        <v>45</v>
      </c>
      <c r="E11" s="127" t="s">
        <v>299</v>
      </c>
      <c r="F11" s="337" t="s">
        <v>336</v>
      </c>
      <c r="G11" s="337" t="s">
        <v>464</v>
      </c>
      <c r="H11" s="244">
        <v>4163629.5</v>
      </c>
      <c r="I11" s="364">
        <v>539539</v>
      </c>
      <c r="J11" s="288">
        <f t="shared" si="0"/>
        <v>7.717013042616011</v>
      </c>
      <c r="K11" s="444"/>
      <c r="L11" s="423"/>
      <c r="M11" s="424"/>
      <c r="N11" s="424"/>
    </row>
    <row r="12" spans="1:14" s="79" customFormat="1" ht="15">
      <c r="A12" s="186">
        <v>9</v>
      </c>
      <c r="B12" s="239" t="s">
        <v>185</v>
      </c>
      <c r="C12" s="114">
        <v>39108</v>
      </c>
      <c r="D12" s="125" t="s">
        <v>56</v>
      </c>
      <c r="E12" s="124" t="s">
        <v>11</v>
      </c>
      <c r="F12" s="336">
        <v>131</v>
      </c>
      <c r="G12" s="336">
        <v>21</v>
      </c>
      <c r="H12" s="244">
        <f>3063+1388108+1182918+556749+125580+97410+76666+37161+16470+15161+2005+10200+4397+3408+936+1970+7747+2376+294+1782+1782+1782</f>
        <v>3537965</v>
      </c>
      <c r="I12" s="364">
        <f>313+167433+145432+67053+17220+16427+14008+6979+4516+4288+371+2790+932+917+199+391+2126+594+81+356+356+509</f>
        <v>453291</v>
      </c>
      <c r="J12" s="288">
        <f t="shared" si="0"/>
        <v>7.805063414009985</v>
      </c>
      <c r="K12" s="442"/>
      <c r="L12" s="423"/>
      <c r="M12" s="424"/>
      <c r="N12" s="424"/>
    </row>
    <row r="13" spans="1:14" s="79" customFormat="1" ht="15">
      <c r="A13" s="186">
        <v>10</v>
      </c>
      <c r="B13" s="239" t="s">
        <v>223</v>
      </c>
      <c r="C13" s="114">
        <v>39115</v>
      </c>
      <c r="D13" s="125" t="s">
        <v>56</v>
      </c>
      <c r="E13" s="124" t="s">
        <v>11</v>
      </c>
      <c r="F13" s="336">
        <v>81</v>
      </c>
      <c r="G13" s="336">
        <v>16</v>
      </c>
      <c r="H13" s="244">
        <f>3091+1174032+810484+561094+347033+135358+88526+33166+9630+2505+2639+286+251+1782+152+910+672+1782</f>
        <v>3173393</v>
      </c>
      <c r="I13" s="364">
        <f>289+128246+92369+63358+42093+20318+16522+7468+2207+501+1112+39+34+509+36+158+509</f>
        <v>375768</v>
      </c>
      <c r="J13" s="288">
        <f t="shared" si="0"/>
        <v>8.445085797619807</v>
      </c>
      <c r="K13" s="441"/>
      <c r="L13" s="421"/>
      <c r="M13" s="422"/>
      <c r="N13" s="422"/>
    </row>
    <row r="14" spans="1:14" s="79" customFormat="1" ht="15">
      <c r="A14" s="186">
        <v>11</v>
      </c>
      <c r="B14" s="242" t="s">
        <v>123</v>
      </c>
      <c r="C14" s="114">
        <v>39080</v>
      </c>
      <c r="D14" s="127" t="s">
        <v>45</v>
      </c>
      <c r="E14" s="127" t="s">
        <v>97</v>
      </c>
      <c r="F14" s="337" t="s">
        <v>124</v>
      </c>
      <c r="G14" s="337" t="s">
        <v>524</v>
      </c>
      <c r="H14" s="244">
        <v>3084045</v>
      </c>
      <c r="I14" s="364">
        <v>418883</v>
      </c>
      <c r="J14" s="288">
        <f t="shared" si="0"/>
        <v>7.362545149838977</v>
      </c>
      <c r="K14" s="443"/>
      <c r="L14" s="423"/>
      <c r="M14" s="424"/>
      <c r="N14" s="424"/>
    </row>
    <row r="15" spans="1:14" s="79" customFormat="1" ht="15">
      <c r="A15" s="186">
        <v>12</v>
      </c>
      <c r="B15" s="326" t="s">
        <v>142</v>
      </c>
      <c r="C15" s="115">
        <v>39087</v>
      </c>
      <c r="D15" s="172" t="s">
        <v>57</v>
      </c>
      <c r="E15" s="172" t="s">
        <v>60</v>
      </c>
      <c r="F15" s="319">
        <v>90</v>
      </c>
      <c r="G15" s="319">
        <v>12</v>
      </c>
      <c r="H15" s="243">
        <v>2957559</v>
      </c>
      <c r="I15" s="365">
        <v>345479</v>
      </c>
      <c r="J15" s="288">
        <f t="shared" si="0"/>
        <v>8.56074898908472</v>
      </c>
      <c r="K15" s="445"/>
      <c r="L15" s="421"/>
      <c r="M15" s="422"/>
      <c r="N15" s="422"/>
    </row>
    <row r="16" spans="1:14" s="79" customFormat="1" ht="15">
      <c r="A16" s="186">
        <v>13</v>
      </c>
      <c r="B16" s="239" t="s">
        <v>456</v>
      </c>
      <c r="C16" s="114">
        <v>39241</v>
      </c>
      <c r="D16" s="125" t="s">
        <v>56</v>
      </c>
      <c r="E16" s="124" t="s">
        <v>11</v>
      </c>
      <c r="F16" s="336">
        <v>114</v>
      </c>
      <c r="G16" s="336">
        <v>6</v>
      </c>
      <c r="H16" s="244">
        <f>1424760+644906+381265+231148+102150+55281</f>
        <v>2839510</v>
      </c>
      <c r="I16" s="364">
        <f>161361+74014+43430+27827+13281+9202</f>
        <v>329115</v>
      </c>
      <c r="J16" s="288">
        <f t="shared" si="0"/>
        <v>8.62771371708977</v>
      </c>
      <c r="K16" s="446"/>
      <c r="L16" s="423"/>
      <c r="M16" s="424"/>
      <c r="N16" s="424"/>
    </row>
    <row r="17" spans="1:14" s="79" customFormat="1" ht="15">
      <c r="A17" s="186">
        <v>14</v>
      </c>
      <c r="B17" s="242" t="s">
        <v>220</v>
      </c>
      <c r="C17" s="114">
        <v>39108</v>
      </c>
      <c r="D17" s="127" t="s">
        <v>45</v>
      </c>
      <c r="E17" s="127" t="s">
        <v>221</v>
      </c>
      <c r="F17" s="337" t="s">
        <v>222</v>
      </c>
      <c r="G17" s="337" t="s">
        <v>464</v>
      </c>
      <c r="H17" s="244">
        <v>2823891.5</v>
      </c>
      <c r="I17" s="364">
        <v>379407</v>
      </c>
      <c r="J17" s="288">
        <f t="shared" si="0"/>
        <v>7.442908275282217</v>
      </c>
      <c r="K17" s="441"/>
      <c r="L17" s="421"/>
      <c r="M17" s="422"/>
      <c r="N17" s="422"/>
    </row>
    <row r="18" spans="1:14" s="79" customFormat="1" ht="15">
      <c r="A18" s="186">
        <v>15</v>
      </c>
      <c r="B18" s="240" t="s">
        <v>366</v>
      </c>
      <c r="C18" s="115">
        <v>39192</v>
      </c>
      <c r="D18" s="126" t="s">
        <v>57</v>
      </c>
      <c r="E18" s="126" t="s">
        <v>367</v>
      </c>
      <c r="F18" s="116">
        <v>173</v>
      </c>
      <c r="G18" s="116">
        <v>13</v>
      </c>
      <c r="H18" s="243">
        <v>2720172</v>
      </c>
      <c r="I18" s="365">
        <v>379468</v>
      </c>
      <c r="J18" s="288">
        <f t="shared" si="0"/>
        <v>7.168383104767727</v>
      </c>
      <c r="K18" s="442"/>
      <c r="L18" s="423"/>
      <c r="M18" s="424"/>
      <c r="N18" s="424"/>
    </row>
    <row r="19" spans="1:14" s="79" customFormat="1" ht="15">
      <c r="A19" s="186">
        <v>16</v>
      </c>
      <c r="B19" s="239" t="s">
        <v>255</v>
      </c>
      <c r="C19" s="114">
        <v>39129</v>
      </c>
      <c r="D19" s="125" t="s">
        <v>56</v>
      </c>
      <c r="E19" s="124" t="s">
        <v>61</v>
      </c>
      <c r="F19" s="336">
        <v>72</v>
      </c>
      <c r="G19" s="336">
        <v>11</v>
      </c>
      <c r="H19" s="244">
        <f>1024988+679541+410193+207911+76405+45780+25921+20590+1599+1014+626+993</f>
        <v>2495561</v>
      </c>
      <c r="I19" s="364">
        <f>121457+81309+49212+25967+12824+9651+5051+4320+382+310+180</f>
        <v>310663</v>
      </c>
      <c r="J19" s="288">
        <f t="shared" si="0"/>
        <v>8.033016484100134</v>
      </c>
      <c r="K19" s="442"/>
      <c r="L19" s="423"/>
      <c r="M19" s="424"/>
      <c r="N19" s="424"/>
    </row>
    <row r="20" spans="1:14" s="79" customFormat="1" ht="15">
      <c r="A20" s="186">
        <v>17</v>
      </c>
      <c r="B20" s="240" t="s">
        <v>495</v>
      </c>
      <c r="C20" s="115">
        <v>39269</v>
      </c>
      <c r="D20" s="126" t="s">
        <v>57</v>
      </c>
      <c r="E20" s="126" t="s">
        <v>65</v>
      </c>
      <c r="F20" s="116">
        <v>156</v>
      </c>
      <c r="G20" s="116">
        <v>2</v>
      </c>
      <c r="H20" s="243">
        <v>2186120</v>
      </c>
      <c r="I20" s="365">
        <v>267159</v>
      </c>
      <c r="J20" s="288">
        <f t="shared" si="0"/>
        <v>8.18284242716884</v>
      </c>
      <c r="K20" s="441"/>
      <c r="L20" s="421"/>
      <c r="M20" s="422"/>
      <c r="N20" s="422"/>
    </row>
    <row r="21" spans="1:14" s="79" customFormat="1" ht="15">
      <c r="A21" s="186">
        <v>18</v>
      </c>
      <c r="B21" s="240" t="s">
        <v>234</v>
      </c>
      <c r="C21" s="115">
        <v>39122</v>
      </c>
      <c r="D21" s="126" t="s">
        <v>57</v>
      </c>
      <c r="E21" s="126" t="s">
        <v>65</v>
      </c>
      <c r="F21" s="116">
        <v>56</v>
      </c>
      <c r="G21" s="116">
        <v>23</v>
      </c>
      <c r="H21" s="243">
        <v>2102355</v>
      </c>
      <c r="I21" s="365">
        <v>232515</v>
      </c>
      <c r="J21" s="288">
        <f t="shared" si="0"/>
        <v>9.041803754596478</v>
      </c>
      <c r="K21" s="443"/>
      <c r="L21" s="421"/>
      <c r="M21" s="424"/>
      <c r="N21" s="424"/>
    </row>
    <row r="22" spans="1:14" s="79" customFormat="1" ht="15">
      <c r="A22" s="186">
        <v>19</v>
      </c>
      <c r="B22" s="242" t="s">
        <v>284</v>
      </c>
      <c r="C22" s="114">
        <v>39156</v>
      </c>
      <c r="D22" s="127" t="s">
        <v>45</v>
      </c>
      <c r="E22" s="127" t="s">
        <v>331</v>
      </c>
      <c r="F22" s="337" t="s">
        <v>283</v>
      </c>
      <c r="G22" s="337" t="s">
        <v>464</v>
      </c>
      <c r="H22" s="244">
        <v>2048965.5</v>
      </c>
      <c r="I22" s="364">
        <v>273946</v>
      </c>
      <c r="J22" s="288">
        <f t="shared" si="0"/>
        <v>7.4794503296270065</v>
      </c>
      <c r="K22" s="444"/>
      <c r="L22" s="423"/>
      <c r="M22" s="424"/>
      <c r="N22" s="424"/>
    </row>
    <row r="23" spans="1:14" s="79" customFormat="1" ht="15">
      <c r="A23" s="186">
        <v>20</v>
      </c>
      <c r="B23" s="142" t="s">
        <v>285</v>
      </c>
      <c r="C23" s="114">
        <v>39143</v>
      </c>
      <c r="D23" s="125" t="s">
        <v>56</v>
      </c>
      <c r="E23" s="124" t="s">
        <v>71</v>
      </c>
      <c r="F23" s="336">
        <v>77</v>
      </c>
      <c r="G23" s="336">
        <v>13</v>
      </c>
      <c r="H23" s="244">
        <f>846616+621006+326134+78640+79015+27237+18411+3052+4329+471+1132+1440+324</f>
        <v>2007807</v>
      </c>
      <c r="I23" s="364">
        <f>102037+74423+39219+11834+13028+5347+3640+1471+1553+157+248+240+54</f>
        <v>253251</v>
      </c>
      <c r="J23" s="288">
        <f t="shared" si="0"/>
        <v>7.9281305898101095</v>
      </c>
      <c r="K23" s="442"/>
      <c r="L23" s="423"/>
      <c r="M23" s="424"/>
      <c r="N23" s="424"/>
    </row>
    <row r="24" spans="1:14" s="79" customFormat="1" ht="15">
      <c r="A24" s="186">
        <v>21</v>
      </c>
      <c r="B24" s="239" t="s">
        <v>118</v>
      </c>
      <c r="C24" s="114">
        <v>39080</v>
      </c>
      <c r="D24" s="125" t="s">
        <v>56</v>
      </c>
      <c r="E24" s="124" t="s">
        <v>61</v>
      </c>
      <c r="F24" s="336">
        <v>80</v>
      </c>
      <c r="G24" s="336">
        <v>21</v>
      </c>
      <c r="H24" s="244">
        <f>1367+686114+384405+247619+146119+85619+63759-1+18934+11869+10791+11315+6907+8812+6730+2628+1465+749+1063+756+276+1198+612</f>
        <v>1699106</v>
      </c>
      <c r="I24" s="364">
        <f>80773+116+46317+29887+17891+10484+7685+2801+1917+1334+1333+755+1517+932+417+307+136+369+126+23+122+85</f>
        <v>205327</v>
      </c>
      <c r="J24" s="288">
        <f t="shared" si="0"/>
        <v>8.275122122273253</v>
      </c>
      <c r="K24" s="443"/>
      <c r="L24" s="423"/>
      <c r="M24" s="424"/>
      <c r="N24" s="424"/>
    </row>
    <row r="25" spans="1:14" s="79" customFormat="1" ht="15">
      <c r="A25" s="186">
        <v>22</v>
      </c>
      <c r="B25" s="242" t="s">
        <v>230</v>
      </c>
      <c r="C25" s="114">
        <v>39115</v>
      </c>
      <c r="D25" s="127" t="s">
        <v>45</v>
      </c>
      <c r="E25" s="127" t="s">
        <v>231</v>
      </c>
      <c r="F25" s="337" t="s">
        <v>232</v>
      </c>
      <c r="G25" s="337" t="s">
        <v>385</v>
      </c>
      <c r="H25" s="244">
        <v>1681476</v>
      </c>
      <c r="I25" s="364">
        <v>236594</v>
      </c>
      <c r="J25" s="324">
        <f>H25/I25</f>
        <v>7.107010321478989</v>
      </c>
      <c r="K25" s="442"/>
      <c r="L25" s="423"/>
      <c r="M25" s="424"/>
      <c r="N25" s="424"/>
    </row>
    <row r="26" spans="1:14" s="79" customFormat="1" ht="15">
      <c r="A26" s="186">
        <v>23</v>
      </c>
      <c r="B26" s="239" t="s">
        <v>306</v>
      </c>
      <c r="C26" s="114">
        <v>39164</v>
      </c>
      <c r="D26" s="125" t="s">
        <v>56</v>
      </c>
      <c r="E26" s="124" t="s">
        <v>11</v>
      </c>
      <c r="F26" s="336">
        <v>67</v>
      </c>
      <c r="G26" s="336">
        <v>14</v>
      </c>
      <c r="H26" s="244">
        <f>7213+744394+558705+271317+50816+12988+9955+3876+1748+6837+3019+2664+1805+1782+405+1466</f>
        <v>1678990</v>
      </c>
      <c r="I26" s="364">
        <f>773+77628+58862+29936+6447+2076+1922+726+287+1913+534+636+361+297+81+288</f>
        <v>182767</v>
      </c>
      <c r="J26" s="288">
        <f aca="true" t="shared" si="1" ref="J26:J32">+H26/I26</f>
        <v>9.186505222496402</v>
      </c>
      <c r="K26" s="441"/>
      <c r="L26" s="421"/>
      <c r="M26" s="422"/>
      <c r="N26" s="422"/>
    </row>
    <row r="27" spans="1:14" s="79" customFormat="1" ht="15">
      <c r="A27" s="186">
        <v>24</v>
      </c>
      <c r="B27" s="240" t="s">
        <v>251</v>
      </c>
      <c r="C27" s="115">
        <v>39129</v>
      </c>
      <c r="D27" s="126" t="s">
        <v>57</v>
      </c>
      <c r="E27" s="126" t="s">
        <v>71</v>
      </c>
      <c r="F27" s="116">
        <v>77</v>
      </c>
      <c r="G27" s="116">
        <v>22</v>
      </c>
      <c r="H27" s="243">
        <v>1554074</v>
      </c>
      <c r="I27" s="365">
        <v>199197</v>
      </c>
      <c r="J27" s="288">
        <f t="shared" si="1"/>
        <v>7.8016938006094465</v>
      </c>
      <c r="K27" s="442"/>
      <c r="L27" s="423"/>
      <c r="M27" s="424"/>
      <c r="N27" s="424"/>
    </row>
    <row r="28" spans="1:14" s="79" customFormat="1" ht="15">
      <c r="A28" s="186">
        <v>25</v>
      </c>
      <c r="B28" s="239" t="s">
        <v>250</v>
      </c>
      <c r="C28" s="114">
        <v>39129</v>
      </c>
      <c r="D28" s="124" t="s">
        <v>48</v>
      </c>
      <c r="E28" s="124" t="s">
        <v>188</v>
      </c>
      <c r="F28" s="336">
        <v>113</v>
      </c>
      <c r="G28" s="336">
        <v>16</v>
      </c>
      <c r="H28" s="245">
        <f>1548913+0+1188</f>
        <v>1550101</v>
      </c>
      <c r="I28" s="365">
        <f>206886+238</f>
        <v>207124</v>
      </c>
      <c r="J28" s="288">
        <f t="shared" si="1"/>
        <v>7.483927502365733</v>
      </c>
      <c r="K28" s="442"/>
      <c r="L28" s="423"/>
      <c r="M28" s="424"/>
      <c r="N28" s="424"/>
    </row>
    <row r="29" spans="1:14" s="79" customFormat="1" ht="15">
      <c r="A29" s="186">
        <v>26</v>
      </c>
      <c r="B29" s="239" t="s">
        <v>314</v>
      </c>
      <c r="C29" s="114">
        <v>39164</v>
      </c>
      <c r="D29" s="124" t="s">
        <v>48</v>
      </c>
      <c r="E29" s="124" t="s">
        <v>70</v>
      </c>
      <c r="F29" s="336">
        <v>119</v>
      </c>
      <c r="G29" s="336">
        <v>17</v>
      </c>
      <c r="H29" s="245">
        <f>1463503.5+1774+208+20289+1136+123+3728+1281</f>
        <v>1492042.5</v>
      </c>
      <c r="I29" s="365">
        <f>193429+337+32+3321+216+18+619+252</f>
        <v>198224</v>
      </c>
      <c r="J29" s="288">
        <f t="shared" si="1"/>
        <v>7.527052728226653</v>
      </c>
      <c r="K29" s="443"/>
      <c r="L29" s="423"/>
      <c r="M29" s="424"/>
      <c r="N29" s="424"/>
    </row>
    <row r="30" spans="1:14" s="79" customFormat="1" ht="15">
      <c r="A30" s="186">
        <v>27</v>
      </c>
      <c r="B30" s="242" t="s">
        <v>335</v>
      </c>
      <c r="C30" s="114">
        <v>39178</v>
      </c>
      <c r="D30" s="127" t="s">
        <v>55</v>
      </c>
      <c r="E30" s="127" t="s">
        <v>490</v>
      </c>
      <c r="F30" s="270">
        <v>55</v>
      </c>
      <c r="G30" s="270">
        <v>14</v>
      </c>
      <c r="H30" s="244">
        <v>1359102</v>
      </c>
      <c r="I30" s="364">
        <v>158968</v>
      </c>
      <c r="J30" s="288">
        <f t="shared" si="1"/>
        <v>8.549531981279252</v>
      </c>
      <c r="K30" s="445"/>
      <c r="L30" s="421"/>
      <c r="M30" s="424"/>
      <c r="N30" s="422"/>
    </row>
    <row r="31" spans="1:14" s="79" customFormat="1" ht="15">
      <c r="A31" s="186">
        <v>28</v>
      </c>
      <c r="B31" s="240" t="s">
        <v>483</v>
      </c>
      <c r="C31" s="115">
        <v>39262</v>
      </c>
      <c r="D31" s="126" t="s">
        <v>58</v>
      </c>
      <c r="E31" s="126" t="s">
        <v>59</v>
      </c>
      <c r="F31" s="116">
        <v>78</v>
      </c>
      <c r="G31" s="116">
        <v>3</v>
      </c>
      <c r="H31" s="243">
        <f>739051+347868+263605</f>
        <v>1350524</v>
      </c>
      <c r="I31" s="365">
        <f>88667+41947+31866</f>
        <v>162480</v>
      </c>
      <c r="J31" s="288">
        <f t="shared" si="1"/>
        <v>8.311939931068439</v>
      </c>
      <c r="K31" s="447"/>
      <c r="L31" s="428"/>
      <c r="M31" s="429"/>
      <c r="N31" s="429"/>
    </row>
    <row r="32" spans="1:14" s="79" customFormat="1" ht="15">
      <c r="A32" s="186">
        <v>29</v>
      </c>
      <c r="B32" s="240" t="s">
        <v>329</v>
      </c>
      <c r="C32" s="115">
        <v>39164</v>
      </c>
      <c r="D32" s="126" t="s">
        <v>58</v>
      </c>
      <c r="E32" s="126" t="s">
        <v>245</v>
      </c>
      <c r="F32" s="116">
        <v>40</v>
      </c>
      <c r="G32" s="116">
        <v>17</v>
      </c>
      <c r="H32" s="243">
        <f>452783.5+369193.5-156.5+194527+1+121223+68185+44103+34172+22942+14917.5+8850+442+640+288+669+1240+375+209</f>
        <v>1334604</v>
      </c>
      <c r="I32" s="365">
        <f>49233+40219-14+22195+17046+12080+7513+6232+4202+2944+1792+103+141+59+129+216+75+59</f>
        <v>164224</v>
      </c>
      <c r="J32" s="288">
        <f t="shared" si="1"/>
        <v>8.12672934528449</v>
      </c>
      <c r="K32" s="442"/>
      <c r="L32" s="423"/>
      <c r="M32" s="424"/>
      <c r="N32" s="424"/>
    </row>
    <row r="33" spans="1:14" s="79" customFormat="1" ht="15">
      <c r="A33" s="186">
        <v>30</v>
      </c>
      <c r="B33" s="119" t="s">
        <v>373</v>
      </c>
      <c r="C33" s="117">
        <v>39199</v>
      </c>
      <c r="D33" s="128" t="s">
        <v>64</v>
      </c>
      <c r="E33" s="128" t="s">
        <v>65</v>
      </c>
      <c r="F33" s="357">
        <v>82</v>
      </c>
      <c r="G33" s="357">
        <v>12</v>
      </c>
      <c r="H33" s="243">
        <v>1333949</v>
      </c>
      <c r="I33" s="365">
        <v>162191</v>
      </c>
      <c r="J33" s="334">
        <f>H33/I33</f>
        <v>8.224556233083216</v>
      </c>
      <c r="K33" s="441"/>
      <c r="L33" s="421"/>
      <c r="M33" s="422"/>
      <c r="N33" s="422"/>
    </row>
    <row r="34" spans="1:14" s="79" customFormat="1" ht="15">
      <c r="A34" s="186">
        <v>31</v>
      </c>
      <c r="B34" s="239" t="s">
        <v>500</v>
      </c>
      <c r="C34" s="114">
        <v>39192</v>
      </c>
      <c r="D34" s="125" t="s">
        <v>56</v>
      </c>
      <c r="E34" s="124" t="s">
        <v>61</v>
      </c>
      <c r="F34" s="336">
        <v>71</v>
      </c>
      <c r="G34" s="336">
        <v>12</v>
      </c>
      <c r="H34" s="244">
        <f>650722+343253+182218+69965+35143+7805+4837+1724+2475+104+228+64+2609</f>
        <v>1301147</v>
      </c>
      <c r="I34" s="364">
        <f>69605+37920+20625+11182+6173+1433+1126+350+432+13+8+439</f>
        <v>149306</v>
      </c>
      <c r="J34" s="288">
        <f aca="true" t="shared" si="2" ref="J34:J56">+H34/I34</f>
        <v>8.714633035510964</v>
      </c>
      <c r="K34" s="448"/>
      <c r="L34" s="423"/>
      <c r="M34" s="424"/>
      <c r="N34" s="424"/>
    </row>
    <row r="35" spans="1:14" s="79" customFormat="1" ht="15">
      <c r="A35" s="186">
        <v>32</v>
      </c>
      <c r="B35" s="240" t="s">
        <v>252</v>
      </c>
      <c r="C35" s="115">
        <v>39129</v>
      </c>
      <c r="D35" s="126" t="s">
        <v>66</v>
      </c>
      <c r="E35" s="126" t="s">
        <v>66</v>
      </c>
      <c r="F35" s="116">
        <v>43</v>
      </c>
      <c r="G35" s="116">
        <v>21</v>
      </c>
      <c r="H35" s="243">
        <f>384662.5+356262.5+212054+113636.5+58120+27335.5+24431+10836.5+5+6679.5+256+268+626+1136+6120+2414+331+435+2376+87+320+839</f>
        <v>1209231</v>
      </c>
      <c r="I35" s="365">
        <f>44623+40340+24564+15320+9563+4723+4295+2247+1249+49+49+137+101+1023+439+51+87+594+18+64+173</f>
        <v>149709</v>
      </c>
      <c r="J35" s="288">
        <f t="shared" si="2"/>
        <v>8.077209786986755</v>
      </c>
      <c r="K35" s="441"/>
      <c r="L35" s="421"/>
      <c r="M35" s="422"/>
      <c r="N35" s="422"/>
    </row>
    <row r="36" spans="1:14" s="79" customFormat="1" ht="15">
      <c r="A36" s="186">
        <v>33</v>
      </c>
      <c r="B36" s="325" t="s">
        <v>438</v>
      </c>
      <c r="C36" s="114">
        <v>39122</v>
      </c>
      <c r="D36" s="173" t="s">
        <v>56</v>
      </c>
      <c r="E36" s="173" t="s">
        <v>233</v>
      </c>
      <c r="F36" s="270">
        <v>60</v>
      </c>
      <c r="G36" s="270">
        <v>12</v>
      </c>
      <c r="H36" s="244">
        <f>532455+318401+212166+27739+39053+27412+18250+6211+1517+4378+709+213</f>
        <v>1188504</v>
      </c>
      <c r="I36" s="364">
        <f>62334+37213+25119+5045+7212+5675+4013+1372+298+882+145+45</f>
        <v>149353</v>
      </c>
      <c r="J36" s="288">
        <f t="shared" si="2"/>
        <v>7.9576841442756425</v>
      </c>
      <c r="K36" s="442"/>
      <c r="L36" s="423"/>
      <c r="M36" s="424"/>
      <c r="N36" s="424"/>
    </row>
    <row r="37" spans="1:14" s="79" customFormat="1" ht="15">
      <c r="A37" s="186">
        <v>34</v>
      </c>
      <c r="B37" s="239" t="s">
        <v>375</v>
      </c>
      <c r="C37" s="114">
        <v>39185</v>
      </c>
      <c r="D37" s="124" t="s">
        <v>48</v>
      </c>
      <c r="E37" s="124" t="s">
        <v>351</v>
      </c>
      <c r="F37" s="336">
        <v>111</v>
      </c>
      <c r="G37" s="336">
        <v>14</v>
      </c>
      <c r="H37" s="245">
        <f>1078169+4196+4107+4935+1650+1777+1545+760</f>
        <v>1097139</v>
      </c>
      <c r="I37" s="365">
        <f>143739+594+858+729+279+509+311+152</f>
        <v>147171</v>
      </c>
      <c r="J37" s="288">
        <f t="shared" si="2"/>
        <v>7.454858633834111</v>
      </c>
      <c r="K37" s="442"/>
      <c r="L37" s="423"/>
      <c r="M37" s="424"/>
      <c r="N37" s="424"/>
    </row>
    <row r="38" spans="1:14" s="79" customFormat="1" ht="15">
      <c r="A38" s="186">
        <v>35</v>
      </c>
      <c r="B38" s="239" t="s">
        <v>439</v>
      </c>
      <c r="C38" s="114">
        <v>39199</v>
      </c>
      <c r="D38" s="125" t="s">
        <v>56</v>
      </c>
      <c r="E38" s="124" t="s">
        <v>11</v>
      </c>
      <c r="F38" s="336">
        <v>71</v>
      </c>
      <c r="G38" s="336">
        <v>12</v>
      </c>
      <c r="H38" s="244">
        <f>477094+269146+191489+78805+30168+28149+13445+2594+1355+1262+573+246</f>
        <v>1094326</v>
      </c>
      <c r="I38" s="364">
        <f>58610+34281+24961+13307+6081+5387+2553+553+253+256+102+44</f>
        <v>146388</v>
      </c>
      <c r="J38" s="288">
        <f t="shared" si="2"/>
        <v>7.475517118889527</v>
      </c>
      <c r="K38" s="446"/>
      <c r="L38" s="423"/>
      <c r="M38" s="424"/>
      <c r="N38" s="424"/>
    </row>
    <row r="39" spans="1:14" s="79" customFormat="1" ht="15">
      <c r="A39" s="186">
        <v>36</v>
      </c>
      <c r="B39" s="240" t="s">
        <v>328</v>
      </c>
      <c r="C39" s="115">
        <v>39171</v>
      </c>
      <c r="D39" s="126" t="s">
        <v>57</v>
      </c>
      <c r="E39" s="126" t="s">
        <v>60</v>
      </c>
      <c r="F39" s="116">
        <v>88</v>
      </c>
      <c r="G39" s="116">
        <v>16</v>
      </c>
      <c r="H39" s="243">
        <v>1094157</v>
      </c>
      <c r="I39" s="365">
        <v>143031</v>
      </c>
      <c r="J39" s="288">
        <f t="shared" si="2"/>
        <v>7.6497892065356465</v>
      </c>
      <c r="K39" s="441"/>
      <c r="L39" s="421"/>
      <c r="M39" s="422"/>
      <c r="N39" s="422"/>
    </row>
    <row r="40" spans="1:14" s="79" customFormat="1" ht="15">
      <c r="A40" s="186">
        <v>37</v>
      </c>
      <c r="B40" s="140" t="s">
        <v>340</v>
      </c>
      <c r="C40" s="114">
        <v>39150</v>
      </c>
      <c r="D40" s="127" t="s">
        <v>55</v>
      </c>
      <c r="E40" s="127" t="s">
        <v>63</v>
      </c>
      <c r="F40" s="337" t="s">
        <v>437</v>
      </c>
      <c r="G40" s="337" t="s">
        <v>316</v>
      </c>
      <c r="H40" s="244">
        <v>1069644</v>
      </c>
      <c r="I40" s="364">
        <v>117582</v>
      </c>
      <c r="J40" s="261">
        <f t="shared" si="2"/>
        <v>9.097004643567892</v>
      </c>
      <c r="K40" s="443"/>
      <c r="L40" s="423"/>
      <c r="M40" s="424"/>
      <c r="N40" s="424"/>
    </row>
    <row r="41" spans="1:14" s="79" customFormat="1" ht="15">
      <c r="A41" s="186">
        <v>38</v>
      </c>
      <c r="B41" s="240" t="s">
        <v>180</v>
      </c>
      <c r="C41" s="115">
        <v>39101</v>
      </c>
      <c r="D41" s="126" t="s">
        <v>57</v>
      </c>
      <c r="E41" s="126" t="s">
        <v>181</v>
      </c>
      <c r="F41" s="116">
        <v>151</v>
      </c>
      <c r="G41" s="116">
        <v>19</v>
      </c>
      <c r="H41" s="243">
        <v>1037963</v>
      </c>
      <c r="I41" s="365">
        <v>149548</v>
      </c>
      <c r="J41" s="288">
        <f t="shared" si="2"/>
        <v>6.940667879209351</v>
      </c>
      <c r="K41" s="442"/>
      <c r="L41" s="423"/>
      <c r="M41" s="424"/>
      <c r="N41" s="424"/>
    </row>
    <row r="42" spans="1:14" s="79" customFormat="1" ht="15">
      <c r="A42" s="186">
        <v>39</v>
      </c>
      <c r="B42" s="242" t="s">
        <v>275</v>
      </c>
      <c r="C42" s="114">
        <v>39143</v>
      </c>
      <c r="D42" s="127" t="s">
        <v>45</v>
      </c>
      <c r="E42" s="127" t="s">
        <v>276</v>
      </c>
      <c r="F42" s="337" t="s">
        <v>277</v>
      </c>
      <c r="G42" s="337" t="s">
        <v>473</v>
      </c>
      <c r="H42" s="244">
        <v>993083</v>
      </c>
      <c r="I42" s="364">
        <v>162028</v>
      </c>
      <c r="J42" s="288">
        <f t="shared" si="2"/>
        <v>6.129082627693979</v>
      </c>
      <c r="K42" s="443"/>
      <c r="L42" s="423"/>
      <c r="M42" s="424"/>
      <c r="N42" s="424"/>
    </row>
    <row r="43" spans="1:14" s="79" customFormat="1" ht="15">
      <c r="A43" s="186">
        <v>40</v>
      </c>
      <c r="B43" s="242" t="s">
        <v>341</v>
      </c>
      <c r="C43" s="114">
        <v>39143</v>
      </c>
      <c r="D43" s="127" t="s">
        <v>73</v>
      </c>
      <c r="E43" s="127" t="s">
        <v>135</v>
      </c>
      <c r="F43" s="337" t="s">
        <v>280</v>
      </c>
      <c r="G43" s="337" t="s">
        <v>466</v>
      </c>
      <c r="H43" s="244">
        <v>956195.5</v>
      </c>
      <c r="I43" s="364">
        <v>130354</v>
      </c>
      <c r="J43" s="288">
        <f t="shared" si="2"/>
        <v>7.335375209046136</v>
      </c>
      <c r="K43" s="441"/>
      <c r="L43" s="421"/>
      <c r="M43" s="422"/>
      <c r="N43" s="422"/>
    </row>
    <row r="44" spans="1:14" s="79" customFormat="1" ht="15">
      <c r="A44" s="186">
        <v>41</v>
      </c>
      <c r="B44" s="239" t="s">
        <v>440</v>
      </c>
      <c r="C44" s="114">
        <v>39143</v>
      </c>
      <c r="D44" s="125" t="s">
        <v>56</v>
      </c>
      <c r="E44" s="124" t="s">
        <v>61</v>
      </c>
      <c r="F44" s="336">
        <v>54</v>
      </c>
      <c r="G44" s="336">
        <v>12</v>
      </c>
      <c r="H44" s="244">
        <f>1045+424606+314397+136527+14322+9753+11781+12715+3934+5401+154+340+234+908</f>
        <v>936117</v>
      </c>
      <c r="I44" s="364">
        <f>101+45441+34072+15020+1890+1720+2914+2615+1258+764+31+68+177</f>
        <v>106071</v>
      </c>
      <c r="J44" s="288">
        <f t="shared" si="2"/>
        <v>8.82538111265096</v>
      </c>
      <c r="K44" s="445"/>
      <c r="L44" s="421"/>
      <c r="M44" s="422"/>
      <c r="N44" s="422"/>
    </row>
    <row r="45" spans="1:14" s="79" customFormat="1" ht="15">
      <c r="A45" s="186">
        <v>42</v>
      </c>
      <c r="B45" s="240" t="s">
        <v>396</v>
      </c>
      <c r="C45" s="115">
        <v>39129</v>
      </c>
      <c r="D45" s="126" t="s">
        <v>57</v>
      </c>
      <c r="E45" s="126" t="s">
        <v>60</v>
      </c>
      <c r="F45" s="116">
        <v>39</v>
      </c>
      <c r="G45" s="116">
        <v>10</v>
      </c>
      <c r="H45" s="243">
        <v>906296</v>
      </c>
      <c r="I45" s="365">
        <v>96373</v>
      </c>
      <c r="J45" s="288">
        <f t="shared" si="2"/>
        <v>9.404044701316758</v>
      </c>
      <c r="K45" s="443"/>
      <c r="L45" s="423"/>
      <c r="M45" s="424"/>
      <c r="N45" s="424"/>
    </row>
    <row r="46" spans="1:14" s="79" customFormat="1" ht="15">
      <c r="A46" s="186">
        <v>43</v>
      </c>
      <c r="B46" s="240" t="s">
        <v>126</v>
      </c>
      <c r="C46" s="115">
        <v>39080</v>
      </c>
      <c r="D46" s="126" t="s">
        <v>58</v>
      </c>
      <c r="E46" s="126" t="s">
        <v>59</v>
      </c>
      <c r="F46" s="116">
        <v>51</v>
      </c>
      <c r="G46" s="116">
        <v>18</v>
      </c>
      <c r="H46" s="243">
        <f>768444+275+609.5+79+702</f>
        <v>770109.5</v>
      </c>
      <c r="I46" s="365">
        <f>94725+76+129+8+196</f>
        <v>95134</v>
      </c>
      <c r="J46" s="288">
        <f t="shared" si="2"/>
        <v>8.094997582357516</v>
      </c>
      <c r="K46" s="441"/>
      <c r="L46" s="421"/>
      <c r="M46" s="422"/>
      <c r="N46" s="422"/>
    </row>
    <row r="47" spans="1:14" s="79" customFormat="1" ht="15">
      <c r="A47" s="186">
        <v>44</v>
      </c>
      <c r="B47" s="242" t="s">
        <v>315</v>
      </c>
      <c r="C47" s="114">
        <v>39094</v>
      </c>
      <c r="D47" s="127" t="s">
        <v>73</v>
      </c>
      <c r="E47" s="127" t="s">
        <v>135</v>
      </c>
      <c r="F47" s="337" t="s">
        <v>163</v>
      </c>
      <c r="G47" s="337" t="s">
        <v>473</v>
      </c>
      <c r="H47" s="244">
        <v>764699</v>
      </c>
      <c r="I47" s="364">
        <v>81868</v>
      </c>
      <c r="J47" s="288">
        <f t="shared" si="2"/>
        <v>9.340633703034152</v>
      </c>
      <c r="K47" s="449"/>
      <c r="L47" s="421"/>
      <c r="M47" s="422"/>
      <c r="N47" s="422"/>
    </row>
    <row r="48" spans="1:14" s="79" customFormat="1" ht="15">
      <c r="A48" s="186">
        <v>45</v>
      </c>
      <c r="B48" s="240" t="s">
        <v>441</v>
      </c>
      <c r="C48" s="115">
        <v>39192</v>
      </c>
      <c r="D48" s="126" t="s">
        <v>66</v>
      </c>
      <c r="E48" s="126" t="s">
        <v>66</v>
      </c>
      <c r="F48" s="116">
        <v>79</v>
      </c>
      <c r="G48" s="116">
        <v>12</v>
      </c>
      <c r="H48" s="243">
        <f>407730+156171.5+87089+48964+29084+13173.5+8330+7579.5+805.5+1100+1464</f>
        <v>761491</v>
      </c>
      <c r="I48" s="365">
        <f>48903+19527+11239+7709+5693+3389+1770+1751+250+248+325</f>
        <v>100804</v>
      </c>
      <c r="J48" s="288">
        <f t="shared" si="2"/>
        <v>7.55417443752232</v>
      </c>
      <c r="K48" s="441"/>
      <c r="L48" s="421"/>
      <c r="M48" s="422"/>
      <c r="N48" s="422"/>
    </row>
    <row r="49" spans="1:14" s="79" customFormat="1" ht="15">
      <c r="A49" s="186">
        <v>46</v>
      </c>
      <c r="B49" s="241" t="s">
        <v>442</v>
      </c>
      <c r="C49" s="115">
        <v>39178</v>
      </c>
      <c r="D49" s="130" t="s">
        <v>23</v>
      </c>
      <c r="E49" s="129" t="s">
        <v>27</v>
      </c>
      <c r="F49" s="118">
        <v>43</v>
      </c>
      <c r="G49" s="118">
        <v>15</v>
      </c>
      <c r="H49" s="243">
        <f>334660+186251+75988+40440+17431+27188+25044.5+6929.5+5845+11212.5+1107+3955+605.6+1230+1821</f>
        <v>739708.1</v>
      </c>
      <c r="I49" s="365">
        <f>37459+21078+10255+6270+3694+4932+4892+1464+1250+2033+178+878+159+197+307</f>
        <v>95046</v>
      </c>
      <c r="J49" s="288">
        <f t="shared" si="2"/>
        <v>7.782632619994529</v>
      </c>
      <c r="K49" s="443"/>
      <c r="L49" s="423"/>
      <c r="M49" s="424"/>
      <c r="N49" s="424"/>
    </row>
    <row r="50" spans="1:14" s="79" customFormat="1" ht="15">
      <c r="A50" s="186">
        <v>47</v>
      </c>
      <c r="B50" s="240" t="s">
        <v>352</v>
      </c>
      <c r="C50" s="115">
        <v>39185</v>
      </c>
      <c r="D50" s="126" t="s">
        <v>57</v>
      </c>
      <c r="E50" s="126" t="s">
        <v>65</v>
      </c>
      <c r="F50" s="116">
        <v>55</v>
      </c>
      <c r="G50" s="116">
        <v>8</v>
      </c>
      <c r="H50" s="243">
        <v>709515</v>
      </c>
      <c r="I50" s="365">
        <v>85161</v>
      </c>
      <c r="J50" s="288">
        <f t="shared" si="2"/>
        <v>8.331454539049565</v>
      </c>
      <c r="K50" s="443"/>
      <c r="L50" s="423"/>
      <c r="M50" s="424"/>
      <c r="N50" s="424"/>
    </row>
    <row r="51" spans="1:14" s="79" customFormat="1" ht="15">
      <c r="A51" s="186">
        <v>48</v>
      </c>
      <c r="B51" s="242" t="s">
        <v>398</v>
      </c>
      <c r="C51" s="114">
        <v>39220</v>
      </c>
      <c r="D51" s="127" t="s">
        <v>73</v>
      </c>
      <c r="E51" s="127" t="s">
        <v>135</v>
      </c>
      <c r="F51" s="337" t="s">
        <v>399</v>
      </c>
      <c r="G51" s="337" t="s">
        <v>471</v>
      </c>
      <c r="H51" s="244">
        <v>695243</v>
      </c>
      <c r="I51" s="364">
        <v>82564</v>
      </c>
      <c r="J51" s="288">
        <f t="shared" si="2"/>
        <v>8.420655491497506</v>
      </c>
      <c r="K51" s="443"/>
      <c r="L51" s="423"/>
      <c r="M51" s="424"/>
      <c r="N51" s="424"/>
    </row>
    <row r="52" spans="1:14" s="79" customFormat="1" ht="15">
      <c r="A52" s="186">
        <v>49</v>
      </c>
      <c r="B52" s="242" t="s">
        <v>422</v>
      </c>
      <c r="C52" s="114">
        <v>39234</v>
      </c>
      <c r="D52" s="127" t="s">
        <v>55</v>
      </c>
      <c r="E52" s="127" t="s">
        <v>423</v>
      </c>
      <c r="F52" s="270">
        <v>77</v>
      </c>
      <c r="G52" s="270">
        <v>7</v>
      </c>
      <c r="H52" s="244">
        <v>673909</v>
      </c>
      <c r="I52" s="364">
        <v>76234</v>
      </c>
      <c r="J52" s="288">
        <f t="shared" si="2"/>
        <v>8.840005771702915</v>
      </c>
      <c r="K52" s="450"/>
      <c r="L52" s="421"/>
      <c r="M52" s="422"/>
      <c r="N52" s="422"/>
    </row>
    <row r="53" spans="1:14" s="79" customFormat="1" ht="15">
      <c r="A53" s="186">
        <v>50</v>
      </c>
      <c r="B53" s="240" t="s">
        <v>286</v>
      </c>
      <c r="C53" s="115">
        <v>39150</v>
      </c>
      <c r="D53" s="126" t="s">
        <v>57</v>
      </c>
      <c r="E53" s="126" t="s">
        <v>71</v>
      </c>
      <c r="F53" s="116">
        <v>54</v>
      </c>
      <c r="G53" s="116">
        <v>11</v>
      </c>
      <c r="H53" s="243">
        <v>623507</v>
      </c>
      <c r="I53" s="365">
        <v>74226</v>
      </c>
      <c r="J53" s="288">
        <f t="shared" si="2"/>
        <v>8.400115862366286</v>
      </c>
      <c r="K53" s="443"/>
      <c r="L53" s="423"/>
      <c r="M53" s="424"/>
      <c r="N53" s="424"/>
    </row>
    <row r="54" spans="1:14" s="79" customFormat="1" ht="15">
      <c r="A54" s="186">
        <v>51</v>
      </c>
      <c r="B54" s="242" t="s">
        <v>278</v>
      </c>
      <c r="C54" s="114">
        <v>39143</v>
      </c>
      <c r="D54" s="127" t="s">
        <v>45</v>
      </c>
      <c r="E54" s="127" t="s">
        <v>369</v>
      </c>
      <c r="F54" s="337" t="s">
        <v>279</v>
      </c>
      <c r="G54" s="337" t="s">
        <v>503</v>
      </c>
      <c r="H54" s="244">
        <v>592612.5</v>
      </c>
      <c r="I54" s="364">
        <v>81475</v>
      </c>
      <c r="J54" s="288">
        <f t="shared" si="2"/>
        <v>7.273550168763425</v>
      </c>
      <c r="K54" s="441"/>
      <c r="L54" s="421"/>
      <c r="M54" s="422"/>
      <c r="N54" s="422"/>
    </row>
    <row r="55" spans="1:14" s="79" customFormat="1" ht="15">
      <c r="A55" s="186">
        <v>52</v>
      </c>
      <c r="B55" s="241" t="s">
        <v>254</v>
      </c>
      <c r="C55" s="115">
        <v>39136</v>
      </c>
      <c r="D55" s="130" t="s">
        <v>23</v>
      </c>
      <c r="E55" s="129" t="s">
        <v>69</v>
      </c>
      <c r="F55" s="118">
        <v>24</v>
      </c>
      <c r="G55" s="118">
        <v>14</v>
      </c>
      <c r="H55" s="243">
        <f>3098.5+271243.5+169425.5+71165+13258+8600.5+14362.5+911.5+1988+1398.5+5096+1184+1924+1184+1544</f>
        <v>566383.5</v>
      </c>
      <c r="I55" s="365">
        <f>316+26059+16381+7578+1438+1323+2416+161+315+172+1274+296+410+296+386</f>
        <v>58821</v>
      </c>
      <c r="J55" s="288">
        <f t="shared" si="2"/>
        <v>9.628933544142399</v>
      </c>
      <c r="K55" s="441"/>
      <c r="L55" s="421"/>
      <c r="M55" s="422"/>
      <c r="N55" s="422"/>
    </row>
    <row r="56" spans="1:14" s="79" customFormat="1" ht="15">
      <c r="A56" s="186">
        <v>53</v>
      </c>
      <c r="B56" s="240" t="s">
        <v>400</v>
      </c>
      <c r="C56" s="115">
        <v>39220</v>
      </c>
      <c r="D56" s="126" t="s">
        <v>57</v>
      </c>
      <c r="E56" s="126" t="s">
        <v>63</v>
      </c>
      <c r="F56" s="116">
        <v>55</v>
      </c>
      <c r="G56" s="116">
        <v>9</v>
      </c>
      <c r="H56" s="243">
        <v>561281</v>
      </c>
      <c r="I56" s="365">
        <v>67222</v>
      </c>
      <c r="J56" s="288">
        <f t="shared" si="2"/>
        <v>8.349662312933265</v>
      </c>
      <c r="K56" s="450"/>
      <c r="L56" s="421"/>
      <c r="M56" s="422"/>
      <c r="N56" s="422"/>
    </row>
    <row r="57" spans="1:14" s="79" customFormat="1" ht="15">
      <c r="A57" s="186">
        <v>54</v>
      </c>
      <c r="B57" s="242" t="s">
        <v>353</v>
      </c>
      <c r="C57" s="114">
        <v>39185</v>
      </c>
      <c r="D57" s="127" t="s">
        <v>45</v>
      </c>
      <c r="E57" s="127" t="s">
        <v>354</v>
      </c>
      <c r="F57" s="337" t="s">
        <v>355</v>
      </c>
      <c r="G57" s="337" t="s">
        <v>471</v>
      </c>
      <c r="H57" s="244">
        <v>557987.5</v>
      </c>
      <c r="I57" s="364">
        <v>75390</v>
      </c>
      <c r="J57" s="324">
        <f>H57/I57</f>
        <v>7.401346332404828</v>
      </c>
      <c r="K57" s="441"/>
      <c r="L57" s="421"/>
      <c r="M57" s="422"/>
      <c r="N57" s="422"/>
    </row>
    <row r="58" spans="1:14" s="79" customFormat="1" ht="15">
      <c r="A58" s="186">
        <v>55</v>
      </c>
      <c r="B58" s="241" t="s">
        <v>401</v>
      </c>
      <c r="C58" s="115">
        <v>39220</v>
      </c>
      <c r="D58" s="130" t="s">
        <v>23</v>
      </c>
      <c r="E58" s="129" t="s">
        <v>69</v>
      </c>
      <c r="F58" s="118">
        <v>88</v>
      </c>
      <c r="G58" s="118">
        <v>9</v>
      </c>
      <c r="H58" s="243">
        <f>243956.5+117427+73654+72685+18159+15476.5+4523.5+4430.5+3061.5</f>
        <v>553373.5</v>
      </c>
      <c r="I58" s="365">
        <f>30030+15614+11438+12738+3793+3129+868+1018+665</f>
        <v>79293</v>
      </c>
      <c r="J58" s="288">
        <f aca="true" t="shared" si="3" ref="J58:J65">+H58/I58</f>
        <v>6.978844286380891</v>
      </c>
      <c r="K58" s="441"/>
      <c r="L58" s="421"/>
      <c r="M58" s="422"/>
      <c r="N58" s="422"/>
    </row>
    <row r="59" spans="1:14" s="79" customFormat="1" ht="15">
      <c r="A59" s="186">
        <v>56</v>
      </c>
      <c r="B59" s="240" t="s">
        <v>443</v>
      </c>
      <c r="C59" s="115">
        <v>39157</v>
      </c>
      <c r="D59" s="126" t="s">
        <v>57</v>
      </c>
      <c r="E59" s="126" t="s">
        <v>71</v>
      </c>
      <c r="F59" s="116">
        <v>69</v>
      </c>
      <c r="G59" s="116">
        <v>9</v>
      </c>
      <c r="H59" s="243">
        <v>548078</v>
      </c>
      <c r="I59" s="365">
        <v>68137</v>
      </c>
      <c r="J59" s="288">
        <f t="shared" si="3"/>
        <v>8.043764768040859</v>
      </c>
      <c r="K59" s="441"/>
      <c r="L59" s="421"/>
      <c r="M59" s="422"/>
      <c r="N59" s="422"/>
    </row>
    <row r="60" spans="1:14" s="79" customFormat="1" ht="15">
      <c r="A60" s="186">
        <v>57</v>
      </c>
      <c r="B60" s="239" t="s">
        <v>467</v>
      </c>
      <c r="C60" s="114">
        <v>39255</v>
      </c>
      <c r="D60" s="125" t="s">
        <v>56</v>
      </c>
      <c r="E60" s="124" t="s">
        <v>61</v>
      </c>
      <c r="F60" s="336">
        <v>55</v>
      </c>
      <c r="G60" s="336">
        <v>4</v>
      </c>
      <c r="H60" s="244">
        <f>260034+143561+70552+30948</f>
        <v>505095</v>
      </c>
      <c r="I60" s="364">
        <f>29412+16993+8626+5233</f>
        <v>60264</v>
      </c>
      <c r="J60" s="288">
        <f t="shared" si="3"/>
        <v>8.381371963361211</v>
      </c>
      <c r="K60" s="442"/>
      <c r="L60" s="423"/>
      <c r="M60" s="424"/>
      <c r="N60" s="424"/>
    </row>
    <row r="61" spans="1:14" s="79" customFormat="1" ht="15">
      <c r="A61" s="186">
        <v>58</v>
      </c>
      <c r="B61" s="240" t="s">
        <v>403</v>
      </c>
      <c r="C61" s="115">
        <v>39220</v>
      </c>
      <c r="D61" s="126" t="s">
        <v>58</v>
      </c>
      <c r="E61" s="126" t="s">
        <v>59</v>
      </c>
      <c r="F61" s="116">
        <v>40</v>
      </c>
      <c r="G61" s="116">
        <v>9</v>
      </c>
      <c r="H61" s="243">
        <f>217267.5+100292+49077.5+44685+35150+18710.5+12899+5642+272+1169</f>
        <v>485164.5</v>
      </c>
      <c r="I61" s="365">
        <f>28138+13039+7060+8163+6959+3799+2408+1118+91+214</f>
        <v>70989</v>
      </c>
      <c r="J61" s="288">
        <f t="shared" si="3"/>
        <v>6.834361661665892</v>
      </c>
      <c r="K61" s="449"/>
      <c r="L61" s="421"/>
      <c r="M61" s="422"/>
      <c r="N61" s="422"/>
    </row>
    <row r="62" spans="1:14" s="79" customFormat="1" ht="15">
      <c r="A62" s="186">
        <v>59</v>
      </c>
      <c r="B62" s="240" t="s">
        <v>237</v>
      </c>
      <c r="C62" s="115">
        <v>39122</v>
      </c>
      <c r="D62" s="126" t="s">
        <v>58</v>
      </c>
      <c r="E62" s="126" t="s">
        <v>238</v>
      </c>
      <c r="F62" s="116">
        <v>62</v>
      </c>
      <c r="G62" s="116">
        <v>11</v>
      </c>
      <c r="H62" s="243">
        <f>248079.5+111544+46796.5+33721+12773.5+2847+2803.5+837+152+16+141</f>
        <v>459711</v>
      </c>
      <c r="I62" s="365">
        <f>36414+17429+7900+6638+2650+617+552+177+17+2+39</f>
        <v>72435</v>
      </c>
      <c r="J62" s="288">
        <f t="shared" si="3"/>
        <v>6.346531372955063</v>
      </c>
      <c r="K62" s="444"/>
      <c r="L62" s="423"/>
      <c r="M62" s="424"/>
      <c r="N62" s="424"/>
    </row>
    <row r="63" spans="1:14" s="79" customFormat="1" ht="15">
      <c r="A63" s="186">
        <v>60</v>
      </c>
      <c r="B63" s="239" t="s">
        <v>461</v>
      </c>
      <c r="C63" s="114">
        <v>39248</v>
      </c>
      <c r="D63" s="125" t="s">
        <v>56</v>
      </c>
      <c r="E63" s="124" t="s">
        <v>144</v>
      </c>
      <c r="F63" s="336">
        <v>40</v>
      </c>
      <c r="G63" s="336">
        <v>5</v>
      </c>
      <c r="H63" s="244">
        <f>212978+130834+73437+13970+25870</f>
        <v>457089</v>
      </c>
      <c r="I63" s="364">
        <f>23206+14008+7879+2315+4428</f>
        <v>51836</v>
      </c>
      <c r="J63" s="288">
        <f t="shared" si="3"/>
        <v>8.817983640713019</v>
      </c>
      <c r="K63" s="451"/>
      <c r="L63" s="421"/>
      <c r="M63" s="422"/>
      <c r="N63" s="422"/>
    </row>
    <row r="64" spans="1:14" s="79" customFormat="1" ht="15">
      <c r="A64" s="186">
        <v>61</v>
      </c>
      <c r="B64" s="240" t="s">
        <v>389</v>
      </c>
      <c r="C64" s="115">
        <v>39213</v>
      </c>
      <c r="D64" s="126" t="s">
        <v>57</v>
      </c>
      <c r="E64" s="126" t="s">
        <v>60</v>
      </c>
      <c r="F64" s="116">
        <v>55</v>
      </c>
      <c r="G64" s="116">
        <v>10</v>
      </c>
      <c r="H64" s="243">
        <v>456294</v>
      </c>
      <c r="I64" s="365">
        <v>54107</v>
      </c>
      <c r="J64" s="288">
        <f t="shared" si="3"/>
        <v>8.433178701461918</v>
      </c>
      <c r="K64" s="442"/>
      <c r="L64" s="423"/>
      <c r="M64" s="424"/>
      <c r="N64" s="424"/>
    </row>
    <row r="65" spans="1:14" s="79" customFormat="1" ht="15">
      <c r="A65" s="186">
        <v>62</v>
      </c>
      <c r="B65" s="239" t="s">
        <v>337</v>
      </c>
      <c r="C65" s="114">
        <v>39178</v>
      </c>
      <c r="D65" s="125" t="s">
        <v>56</v>
      </c>
      <c r="E65" s="124" t="s">
        <v>338</v>
      </c>
      <c r="F65" s="336">
        <v>34</v>
      </c>
      <c r="G65" s="336">
        <v>11</v>
      </c>
      <c r="H65" s="244">
        <f>223196+134862+40207+12529+4197+8039+12995+1857+190+734+546</f>
        <v>439352</v>
      </c>
      <c r="I65" s="364">
        <f>21768+13324+4159+1744+536+1050+1869+290+19+151+118</f>
        <v>45028</v>
      </c>
      <c r="J65" s="288">
        <f t="shared" si="3"/>
        <v>9.757306564804122</v>
      </c>
      <c r="K65" s="442"/>
      <c r="L65" s="423"/>
      <c r="M65" s="424"/>
      <c r="N65" s="424"/>
    </row>
    <row r="66" spans="1:14" s="79" customFormat="1" ht="15">
      <c r="A66" s="186">
        <v>63</v>
      </c>
      <c r="B66" s="145" t="s">
        <v>165</v>
      </c>
      <c r="C66" s="115">
        <v>39094</v>
      </c>
      <c r="D66" s="130" t="s">
        <v>23</v>
      </c>
      <c r="E66" s="129" t="s">
        <v>69</v>
      </c>
      <c r="F66" s="118">
        <v>42</v>
      </c>
      <c r="G66" s="118">
        <v>22</v>
      </c>
      <c r="H66" s="243">
        <f>116992.5+114120.5+59552+32990+22575.5+13689.5+13072.5+9182.5+12776+9530.5+3684.5+1508.5+3567.5+3012.5+8292+499.5+1292.5+1740.5+650.5+1541+1419+3053</f>
        <v>434742.5</v>
      </c>
      <c r="I66" s="365">
        <f>13983+14934+8576+5091+3923+2713+2832+1841+2655+2061+838+293+873+585+1915+133+388+451+159+378+505+759</f>
        <v>65886</v>
      </c>
      <c r="J66" s="324">
        <f>H66/I66</f>
        <v>6.598404820447439</v>
      </c>
      <c r="K66" s="446"/>
      <c r="L66" s="423"/>
      <c r="M66" s="424"/>
      <c r="N66" s="424"/>
    </row>
    <row r="67" spans="1:14" s="79" customFormat="1" ht="15">
      <c r="A67" s="186">
        <v>64</v>
      </c>
      <c r="B67" s="239" t="s">
        <v>402</v>
      </c>
      <c r="C67" s="114">
        <v>39220</v>
      </c>
      <c r="D67" s="125" t="s">
        <v>56</v>
      </c>
      <c r="E67" s="124" t="s">
        <v>11</v>
      </c>
      <c r="F67" s="336">
        <v>28</v>
      </c>
      <c r="G67" s="336">
        <v>9</v>
      </c>
      <c r="H67" s="244">
        <f>224258+97645+43916+21186+15004+5922+10170+4031+2014</f>
        <v>424146</v>
      </c>
      <c r="I67" s="364">
        <f>21977+9749+4484+3258+2503+1123+1870+694+469</f>
        <v>46127</v>
      </c>
      <c r="J67" s="288">
        <f>+H67/I67</f>
        <v>9.195178528844277</v>
      </c>
      <c r="K67" s="447"/>
      <c r="L67" s="428"/>
      <c r="M67" s="429"/>
      <c r="N67" s="429"/>
    </row>
    <row r="68" spans="1:14" s="79" customFormat="1" ht="15">
      <c r="A68" s="186">
        <v>65</v>
      </c>
      <c r="B68" s="239" t="s">
        <v>444</v>
      </c>
      <c r="C68" s="114">
        <v>39171</v>
      </c>
      <c r="D68" s="125" t="s">
        <v>56</v>
      </c>
      <c r="E68" s="124" t="s">
        <v>330</v>
      </c>
      <c r="F68" s="336">
        <v>68</v>
      </c>
      <c r="G68" s="336">
        <v>14</v>
      </c>
      <c r="H68" s="244">
        <f>270988+95442+28855+5671+6953+2961+2297+922+5539+45+60+55+479+219</f>
        <v>420486</v>
      </c>
      <c r="I68" s="364">
        <f>33356+12721+4525+974+2138+1073+527+197+1579+9+12+11+93+43</f>
        <v>57258</v>
      </c>
      <c r="J68" s="288">
        <f>+H68/I68</f>
        <v>7.343707429529498</v>
      </c>
      <c r="K68" s="442"/>
      <c r="L68" s="423"/>
      <c r="M68" s="424"/>
      <c r="N68" s="424"/>
    </row>
    <row r="69" spans="1:14" s="79" customFormat="1" ht="15">
      <c r="A69" s="186">
        <v>66</v>
      </c>
      <c r="B69" s="144" t="s">
        <v>261</v>
      </c>
      <c r="C69" s="115">
        <v>39136</v>
      </c>
      <c r="D69" s="126" t="s">
        <v>58</v>
      </c>
      <c r="E69" s="126" t="s">
        <v>300</v>
      </c>
      <c r="F69" s="116">
        <v>50</v>
      </c>
      <c r="G69" s="116">
        <v>14</v>
      </c>
      <c r="H69" s="243">
        <f>176703.5+117666.5+55649.5-153+26033.5+13075.5+7867.5+4158.5+2675.5+853+2376+1975+1335+1510.5+822</f>
        <v>412548.5</v>
      </c>
      <c r="I69" s="365">
        <f>23632+15507+7944-13+4855+2498+1683+890+562+202+475+395+267+302+90</f>
        <v>59289</v>
      </c>
      <c r="J69" s="324">
        <f>H69/I69</f>
        <v>6.958263758876014</v>
      </c>
      <c r="K69" s="441"/>
      <c r="L69" s="421"/>
      <c r="M69" s="422"/>
      <c r="N69" s="422"/>
    </row>
    <row r="70" spans="1:14" s="79" customFormat="1" ht="15">
      <c r="A70" s="186">
        <v>67</v>
      </c>
      <c r="B70" s="239" t="s">
        <v>253</v>
      </c>
      <c r="C70" s="114">
        <v>39129</v>
      </c>
      <c r="D70" s="125" t="s">
        <v>56</v>
      </c>
      <c r="E70" s="124" t="s">
        <v>71</v>
      </c>
      <c r="F70" s="336">
        <v>22</v>
      </c>
      <c r="G70" s="336">
        <v>14</v>
      </c>
      <c r="H70" s="244">
        <f>3941+185955+159407+21968+1379+3205+2474+5929+6445+9026+4774+160+346+2791+350</f>
        <v>408150</v>
      </c>
      <c r="I70" s="364">
        <f>412+17684+15175+2098+198+760+464+1876+1042+1568+843+16+48+375+117</f>
        <v>42676</v>
      </c>
      <c r="J70" s="288">
        <f>+H70/I70</f>
        <v>9.563923516730716</v>
      </c>
      <c r="K70" s="443"/>
      <c r="L70" s="423"/>
      <c r="M70" s="424"/>
      <c r="N70" s="424"/>
    </row>
    <row r="71" spans="1:14" s="79" customFormat="1" ht="15">
      <c r="A71" s="186">
        <v>68</v>
      </c>
      <c r="B71" s="119" t="s">
        <v>445</v>
      </c>
      <c r="C71" s="117">
        <v>39234</v>
      </c>
      <c r="D71" s="128" t="s">
        <v>64</v>
      </c>
      <c r="E71" s="128" t="s">
        <v>273</v>
      </c>
      <c r="F71" s="357">
        <v>50</v>
      </c>
      <c r="G71" s="357">
        <v>7</v>
      </c>
      <c r="H71" s="251">
        <v>395864</v>
      </c>
      <c r="I71" s="365">
        <v>51973</v>
      </c>
      <c r="J71" s="334">
        <f>H71/I71</f>
        <v>7.616724068266215</v>
      </c>
      <c r="K71" s="441"/>
      <c r="L71" s="421"/>
      <c r="M71" s="422"/>
      <c r="N71" s="422"/>
    </row>
    <row r="72" spans="1:14" s="79" customFormat="1" ht="15">
      <c r="A72" s="186">
        <v>69</v>
      </c>
      <c r="B72" s="242" t="s">
        <v>356</v>
      </c>
      <c r="C72" s="114">
        <v>39185</v>
      </c>
      <c r="D72" s="127" t="s">
        <v>73</v>
      </c>
      <c r="E72" s="127" t="s">
        <v>135</v>
      </c>
      <c r="F72" s="337" t="s">
        <v>357</v>
      </c>
      <c r="G72" s="337" t="s">
        <v>499</v>
      </c>
      <c r="H72" s="244">
        <v>382386</v>
      </c>
      <c r="I72" s="364">
        <v>40740</v>
      </c>
      <c r="J72" s="288">
        <f>+H72/I72</f>
        <v>9.3860088365243</v>
      </c>
      <c r="K72" s="449"/>
      <c r="L72" s="425"/>
      <c r="M72" s="422"/>
      <c r="N72" s="422"/>
    </row>
    <row r="73" spans="1:14" s="79" customFormat="1" ht="15">
      <c r="A73" s="186">
        <v>70</v>
      </c>
      <c r="B73" s="240" t="s">
        <v>468</v>
      </c>
      <c r="C73" s="115">
        <v>39255</v>
      </c>
      <c r="D73" s="126" t="s">
        <v>57</v>
      </c>
      <c r="E73" s="126" t="s">
        <v>71</v>
      </c>
      <c r="F73" s="116">
        <v>66</v>
      </c>
      <c r="G73" s="116">
        <v>4</v>
      </c>
      <c r="H73" s="243">
        <v>369936</v>
      </c>
      <c r="I73" s="365">
        <v>41576</v>
      </c>
      <c r="J73" s="288">
        <f>+H73/I73</f>
        <v>8.897825668654994</v>
      </c>
      <c r="K73" s="441"/>
      <c r="L73" s="421"/>
      <c r="M73" s="422"/>
      <c r="N73" s="422"/>
    </row>
    <row r="74" spans="1:14" s="79" customFormat="1" ht="15">
      <c r="A74" s="186">
        <v>71</v>
      </c>
      <c r="B74" s="240" t="s">
        <v>260</v>
      </c>
      <c r="C74" s="115">
        <v>39136</v>
      </c>
      <c r="D74" s="126" t="s">
        <v>57</v>
      </c>
      <c r="E74" s="126" t="s">
        <v>65</v>
      </c>
      <c r="F74" s="116">
        <v>34</v>
      </c>
      <c r="G74" s="116">
        <v>9</v>
      </c>
      <c r="H74" s="247">
        <v>335033</v>
      </c>
      <c r="I74" s="120">
        <v>35936</v>
      </c>
      <c r="J74" s="340">
        <f>+H74/I74</f>
        <v>9.323046527159395</v>
      </c>
      <c r="K74" s="452"/>
      <c r="L74" s="426"/>
      <c r="M74" s="427"/>
      <c r="N74" s="427"/>
    </row>
    <row r="75" spans="1:14" s="79" customFormat="1" ht="15">
      <c r="A75" s="186">
        <v>72</v>
      </c>
      <c r="B75" s="242" t="s">
        <v>259</v>
      </c>
      <c r="C75" s="114">
        <v>39136</v>
      </c>
      <c r="D75" s="127" t="s">
        <v>45</v>
      </c>
      <c r="E75" s="127" t="s">
        <v>221</v>
      </c>
      <c r="F75" s="337" t="s">
        <v>232</v>
      </c>
      <c r="G75" s="337" t="s">
        <v>429</v>
      </c>
      <c r="H75" s="244">
        <v>325906.5</v>
      </c>
      <c r="I75" s="364">
        <v>46768</v>
      </c>
      <c r="J75" s="288">
        <f>+H75/I75</f>
        <v>6.968578942866918</v>
      </c>
      <c r="K75" s="442"/>
      <c r="L75" s="423"/>
      <c r="M75" s="424"/>
      <c r="N75" s="424"/>
    </row>
    <row r="76" spans="1:14" s="79" customFormat="1" ht="15">
      <c r="A76" s="186">
        <v>73</v>
      </c>
      <c r="B76" s="240" t="s">
        <v>374</v>
      </c>
      <c r="C76" s="115">
        <v>39199</v>
      </c>
      <c r="D76" s="126" t="s">
        <v>57</v>
      </c>
      <c r="E76" s="126" t="s">
        <v>60</v>
      </c>
      <c r="F76" s="116">
        <v>46</v>
      </c>
      <c r="G76" s="116">
        <v>10</v>
      </c>
      <c r="H76" s="243">
        <v>308408</v>
      </c>
      <c r="I76" s="365">
        <v>36361</v>
      </c>
      <c r="J76" s="288">
        <f>+H76/I76</f>
        <v>8.481834933032644</v>
      </c>
      <c r="K76" s="441"/>
      <c r="L76" s="421"/>
      <c r="M76" s="422"/>
      <c r="N76" s="422"/>
    </row>
    <row r="77" spans="1:14" s="79" customFormat="1" ht="15">
      <c r="A77" s="186">
        <v>74</v>
      </c>
      <c r="B77" s="145" t="s">
        <v>287</v>
      </c>
      <c r="C77" s="347">
        <v>39150</v>
      </c>
      <c r="D77" s="268" t="s">
        <v>23</v>
      </c>
      <c r="E77" s="269" t="s">
        <v>288</v>
      </c>
      <c r="F77" s="118">
        <v>100</v>
      </c>
      <c r="G77" s="118">
        <v>8</v>
      </c>
      <c r="H77" s="247">
        <f>221689.5+60473+12914+3842.4+1749+1296+224+229</f>
        <v>302416.9</v>
      </c>
      <c r="I77" s="120">
        <f>30032+8139+2146+874+367+232+56+48</f>
        <v>41894</v>
      </c>
      <c r="J77" s="351">
        <f>H77/I77</f>
        <v>7.218620804888529</v>
      </c>
      <c r="K77" s="442"/>
      <c r="L77" s="423"/>
      <c r="M77" s="424"/>
      <c r="N77" s="424"/>
    </row>
    <row r="78" spans="1:14" s="79" customFormat="1" ht="15">
      <c r="A78" s="186">
        <v>75</v>
      </c>
      <c r="B78" s="240" t="s">
        <v>301</v>
      </c>
      <c r="C78" s="115">
        <v>39157</v>
      </c>
      <c r="D78" s="126" t="s">
        <v>58</v>
      </c>
      <c r="E78" s="126" t="s">
        <v>59</v>
      </c>
      <c r="F78" s="116">
        <v>40</v>
      </c>
      <c r="G78" s="116">
        <v>11</v>
      </c>
      <c r="H78" s="243">
        <f>145121+79532.5+31459-84.5+26093+10059+2699+4061.5+425+625+303+43</f>
        <v>300336.5</v>
      </c>
      <c r="I78" s="365">
        <f>16974+9206+3759-9+4636+1902+531+800+88+129+84+6</f>
        <v>38106</v>
      </c>
      <c r="J78" s="288">
        <f aca="true" t="shared" si="4" ref="J78:J89">+H78/I78</f>
        <v>7.881606571143652</v>
      </c>
      <c r="K78" s="450"/>
      <c r="L78" s="421"/>
      <c r="M78" s="422"/>
      <c r="N78" s="422"/>
    </row>
    <row r="79" spans="1:14" s="79" customFormat="1" ht="15">
      <c r="A79" s="186">
        <v>76</v>
      </c>
      <c r="B79" s="239" t="s">
        <v>424</v>
      </c>
      <c r="C79" s="114">
        <v>39234</v>
      </c>
      <c r="D79" s="125" t="s">
        <v>56</v>
      </c>
      <c r="E79" s="124" t="s">
        <v>71</v>
      </c>
      <c r="F79" s="336">
        <v>86</v>
      </c>
      <c r="G79" s="336">
        <v>7</v>
      </c>
      <c r="H79" s="244">
        <f>152831+86024+27725+9491+9432+2744+2079</f>
        <v>290326</v>
      </c>
      <c r="I79" s="364">
        <f>19661+11888+4225+1693+1759+500+435</f>
        <v>40161</v>
      </c>
      <c r="J79" s="288">
        <f t="shared" si="4"/>
        <v>7.229053061427753</v>
      </c>
      <c r="K79" s="441"/>
      <c r="L79" s="421"/>
      <c r="M79" s="422"/>
      <c r="N79" s="422"/>
    </row>
    <row r="80" spans="1:14" s="79" customFormat="1" ht="15">
      <c r="A80" s="186">
        <v>77</v>
      </c>
      <c r="B80" s="323" t="s">
        <v>382</v>
      </c>
      <c r="C80" s="317">
        <v>39206</v>
      </c>
      <c r="D80" s="316" t="s">
        <v>404</v>
      </c>
      <c r="E80" s="316" t="s">
        <v>405</v>
      </c>
      <c r="F80" s="318">
        <v>80</v>
      </c>
      <c r="G80" s="318">
        <v>11</v>
      </c>
      <c r="H80" s="328">
        <v>289064.5</v>
      </c>
      <c r="I80" s="366">
        <v>46199</v>
      </c>
      <c r="J80" s="288">
        <f t="shared" si="4"/>
        <v>6.256942790969502</v>
      </c>
      <c r="K80" s="441"/>
      <c r="L80" s="421"/>
      <c r="M80" s="422"/>
      <c r="N80" s="422"/>
    </row>
    <row r="81" spans="1:14" s="79" customFormat="1" ht="15">
      <c r="A81" s="186">
        <v>78</v>
      </c>
      <c r="B81" s="240" t="s">
        <v>433</v>
      </c>
      <c r="C81" s="115">
        <v>39241</v>
      </c>
      <c r="D81" s="126" t="s">
        <v>66</v>
      </c>
      <c r="E81" s="126" t="s">
        <v>66</v>
      </c>
      <c r="F81" s="116">
        <v>50</v>
      </c>
      <c r="G81" s="116">
        <v>6</v>
      </c>
      <c r="H81" s="243">
        <f>129364.5+92376+23571+24305+14210+3366</f>
        <v>287192.5</v>
      </c>
      <c r="I81" s="365">
        <f>16515+11732+3415+4308+2607+643</f>
        <v>39220</v>
      </c>
      <c r="J81" s="288">
        <f t="shared" si="4"/>
        <v>7.322603263641</v>
      </c>
      <c r="K81" s="445"/>
      <c r="L81" s="421"/>
      <c r="M81" s="422"/>
      <c r="N81" s="422"/>
    </row>
    <row r="82" spans="1:14" s="79" customFormat="1" ht="15">
      <c r="A82" s="186">
        <v>79</v>
      </c>
      <c r="B82" s="240" t="s">
        <v>431</v>
      </c>
      <c r="C82" s="115">
        <v>39087</v>
      </c>
      <c r="D82" s="126" t="s">
        <v>57</v>
      </c>
      <c r="E82" s="126" t="s">
        <v>60</v>
      </c>
      <c r="F82" s="116">
        <v>12</v>
      </c>
      <c r="G82" s="116">
        <v>29</v>
      </c>
      <c r="H82" s="243">
        <v>267300</v>
      </c>
      <c r="I82" s="365">
        <v>43210</v>
      </c>
      <c r="J82" s="288">
        <f t="shared" si="4"/>
        <v>6.1860680398056</v>
      </c>
      <c r="K82" s="443"/>
      <c r="L82" s="423"/>
      <c r="M82" s="424"/>
      <c r="N82" s="422"/>
    </row>
    <row r="83" spans="1:14" s="79" customFormat="1" ht="15">
      <c r="A83" s="186">
        <v>80</v>
      </c>
      <c r="B83" s="241" t="s">
        <v>446</v>
      </c>
      <c r="C83" s="115">
        <v>39164</v>
      </c>
      <c r="D83" s="130" t="s">
        <v>23</v>
      </c>
      <c r="E83" s="129" t="s">
        <v>69</v>
      </c>
      <c r="F83" s="118">
        <v>40</v>
      </c>
      <c r="G83" s="118">
        <v>15</v>
      </c>
      <c r="H83" s="243">
        <f>136863.5+71331.5+20806.5+12476.9+2838+4712+1523+1430+843.5+195+279+570+808+965+157</f>
        <v>255798.9</v>
      </c>
      <c r="I83" s="365">
        <f>15270+7788+3293+2489+585+1026+358+293+157+44+46+87+169+238+28</f>
        <v>31871</v>
      </c>
      <c r="J83" s="288">
        <f t="shared" si="4"/>
        <v>8.026070722600483</v>
      </c>
      <c r="K83" s="445"/>
      <c r="L83" s="421"/>
      <c r="M83" s="422"/>
      <c r="N83" s="422"/>
    </row>
    <row r="84" spans="1:14" s="79" customFormat="1" ht="15">
      <c r="A84" s="186">
        <v>81</v>
      </c>
      <c r="B84" s="240" t="s">
        <v>281</v>
      </c>
      <c r="C84" s="115">
        <v>39143</v>
      </c>
      <c r="D84" s="126" t="s">
        <v>58</v>
      </c>
      <c r="E84" s="126" t="s">
        <v>59</v>
      </c>
      <c r="F84" s="116">
        <v>20</v>
      </c>
      <c r="G84" s="116">
        <v>11</v>
      </c>
      <c r="H84" s="243">
        <f>129159.5+81464+15048+8469.5+8901.5+5708+1570+1711+42+264+16</f>
        <v>252353.5</v>
      </c>
      <c r="I84" s="365">
        <f>12733+8086+1709+1437+1707+969+278+320+8+63+2</f>
        <v>27312</v>
      </c>
      <c r="J84" s="288">
        <f t="shared" si="4"/>
        <v>9.239656561218512</v>
      </c>
      <c r="K84" s="453"/>
      <c r="L84" s="428"/>
      <c r="M84" s="429"/>
      <c r="N84" s="429"/>
    </row>
    <row r="85" spans="1:14" s="79" customFormat="1" ht="15">
      <c r="A85" s="186">
        <v>82</v>
      </c>
      <c r="B85" s="326" t="s">
        <v>164</v>
      </c>
      <c r="C85" s="115">
        <v>39094</v>
      </c>
      <c r="D85" s="172" t="s">
        <v>55</v>
      </c>
      <c r="E85" s="172" t="s">
        <v>63</v>
      </c>
      <c r="F85" s="319">
        <v>30</v>
      </c>
      <c r="G85" s="319">
        <v>9</v>
      </c>
      <c r="H85" s="243">
        <v>243592</v>
      </c>
      <c r="I85" s="365">
        <v>24190</v>
      </c>
      <c r="J85" s="261">
        <f t="shared" si="4"/>
        <v>10.069946258784622</v>
      </c>
      <c r="K85" s="451"/>
      <c r="L85" s="421"/>
      <c r="M85" s="422"/>
      <c r="N85" s="422"/>
    </row>
    <row r="86" spans="1:14" s="79" customFormat="1" ht="15">
      <c r="A86" s="186">
        <v>83</v>
      </c>
      <c r="B86" s="240" t="s">
        <v>511</v>
      </c>
      <c r="C86" s="115">
        <v>39276</v>
      </c>
      <c r="D86" s="126" t="s">
        <v>58</v>
      </c>
      <c r="E86" s="126" t="s">
        <v>59</v>
      </c>
      <c r="F86" s="116">
        <v>40</v>
      </c>
      <c r="G86" s="116">
        <v>1</v>
      </c>
      <c r="H86" s="243">
        <f>242653.5</f>
        <v>242653.5</v>
      </c>
      <c r="I86" s="365">
        <f>27897</f>
        <v>27897</v>
      </c>
      <c r="J86" s="288">
        <f t="shared" si="4"/>
        <v>8.698193354124099</v>
      </c>
      <c r="K86" s="441"/>
      <c r="L86" s="421"/>
      <c r="M86" s="422"/>
      <c r="N86" s="422"/>
    </row>
    <row r="87" spans="1:14" s="79" customFormat="1" ht="15">
      <c r="A87" s="186">
        <v>84</v>
      </c>
      <c r="B87" s="242" t="s">
        <v>332</v>
      </c>
      <c r="C87" s="114">
        <v>39171</v>
      </c>
      <c r="D87" s="127" t="s">
        <v>516</v>
      </c>
      <c r="E87" s="127" t="s">
        <v>516</v>
      </c>
      <c r="F87" s="270">
        <v>20</v>
      </c>
      <c r="G87" s="270">
        <v>12</v>
      </c>
      <c r="H87" s="244">
        <v>241455</v>
      </c>
      <c r="I87" s="364">
        <v>25328</v>
      </c>
      <c r="J87" s="288">
        <f t="shared" si="4"/>
        <v>9.533125394819962</v>
      </c>
      <c r="K87" s="443"/>
      <c r="L87" s="423"/>
      <c r="M87" s="424"/>
      <c r="N87" s="424"/>
    </row>
    <row r="88" spans="1:14" s="79" customFormat="1" ht="15">
      <c r="A88" s="186">
        <v>85</v>
      </c>
      <c r="B88" s="239" t="s">
        <v>496</v>
      </c>
      <c r="C88" s="114">
        <v>39269</v>
      </c>
      <c r="D88" s="125" t="s">
        <v>56</v>
      </c>
      <c r="E88" s="124" t="s">
        <v>71</v>
      </c>
      <c r="F88" s="336">
        <v>56</v>
      </c>
      <c r="G88" s="336">
        <v>2</v>
      </c>
      <c r="H88" s="244">
        <f>134837+97635</f>
        <v>232472</v>
      </c>
      <c r="I88" s="364">
        <f>16076+11892</f>
        <v>27968</v>
      </c>
      <c r="J88" s="288">
        <f t="shared" si="4"/>
        <v>8.312070938215102</v>
      </c>
      <c r="K88" s="443"/>
      <c r="L88" s="423"/>
      <c r="M88" s="424"/>
      <c r="N88" s="424"/>
    </row>
    <row r="89" spans="1:14" s="79" customFormat="1" ht="15">
      <c r="A89" s="186">
        <v>86</v>
      </c>
      <c r="B89" s="240" t="s">
        <v>239</v>
      </c>
      <c r="C89" s="115">
        <v>39122</v>
      </c>
      <c r="D89" s="126" t="s">
        <v>66</v>
      </c>
      <c r="E89" s="126" t="s">
        <v>66</v>
      </c>
      <c r="F89" s="116">
        <v>27</v>
      </c>
      <c r="G89" s="116">
        <v>9</v>
      </c>
      <c r="H89" s="243">
        <f>119870.5+70279+18401+10562+5558+801+365+35+139</f>
        <v>226010.5</v>
      </c>
      <c r="I89" s="365">
        <f>12204+6994+1908+1977+1125+173+73+5+21</f>
        <v>24480</v>
      </c>
      <c r="J89" s="288">
        <f t="shared" si="4"/>
        <v>9.232455065359478</v>
      </c>
      <c r="K89" s="441"/>
      <c r="L89" s="421"/>
      <c r="M89" s="422"/>
      <c r="N89" s="422"/>
    </row>
    <row r="90" spans="1:14" s="79" customFormat="1" ht="15">
      <c r="A90" s="186">
        <v>87</v>
      </c>
      <c r="B90" s="119" t="s">
        <v>447</v>
      </c>
      <c r="C90" s="117">
        <v>39150</v>
      </c>
      <c r="D90" s="128" t="s">
        <v>64</v>
      </c>
      <c r="E90" s="128" t="s">
        <v>305</v>
      </c>
      <c r="F90" s="357">
        <v>10</v>
      </c>
      <c r="G90" s="357">
        <v>17</v>
      </c>
      <c r="H90" s="244">
        <v>212472</v>
      </c>
      <c r="I90" s="364">
        <v>23446</v>
      </c>
      <c r="J90" s="334">
        <f>H90/I90</f>
        <v>9.062185447411073</v>
      </c>
      <c r="K90" s="441"/>
      <c r="L90" s="421"/>
      <c r="M90" s="422"/>
      <c r="N90" s="422"/>
    </row>
    <row r="91" spans="1:14" s="79" customFormat="1" ht="15">
      <c r="A91" s="186">
        <v>88</v>
      </c>
      <c r="B91" s="240" t="s">
        <v>448</v>
      </c>
      <c r="C91" s="115">
        <v>39185</v>
      </c>
      <c r="D91" s="126" t="s">
        <v>66</v>
      </c>
      <c r="E91" s="126" t="s">
        <v>66</v>
      </c>
      <c r="F91" s="116">
        <v>32</v>
      </c>
      <c r="G91" s="116">
        <v>13</v>
      </c>
      <c r="H91" s="243">
        <f>108639+53175.5+20297+10110.5+6588.5+4718.5+25+932+2938+1916+223+2532+244</f>
        <v>212339</v>
      </c>
      <c r="I91" s="365">
        <f>11660+5688+2612+1694+1121+867+5+284+987+479+44+624+38</f>
        <v>26103</v>
      </c>
      <c r="J91" s="288">
        <f>+H91/I91</f>
        <v>8.134658851473011</v>
      </c>
      <c r="K91" s="442"/>
      <c r="L91" s="423"/>
      <c r="M91" s="424"/>
      <c r="N91" s="424"/>
    </row>
    <row r="92" spans="1:14" s="79" customFormat="1" ht="15">
      <c r="A92" s="186">
        <v>89</v>
      </c>
      <c r="B92" s="240" t="s">
        <v>469</v>
      </c>
      <c r="C92" s="115">
        <v>39255</v>
      </c>
      <c r="D92" s="126" t="s">
        <v>66</v>
      </c>
      <c r="E92" s="126" t="s">
        <v>66</v>
      </c>
      <c r="F92" s="116">
        <v>39</v>
      </c>
      <c r="G92" s="116">
        <v>4</v>
      </c>
      <c r="H92" s="243">
        <f>81018+54551+29525+20071</f>
        <v>185165</v>
      </c>
      <c r="I92" s="365">
        <f>9778+6732+4213+3680</f>
        <v>24403</v>
      </c>
      <c r="J92" s="288">
        <f>+H92/I92</f>
        <v>7.587796582387411</v>
      </c>
      <c r="K92" s="442"/>
      <c r="L92" s="423"/>
      <c r="M92" s="424"/>
      <c r="N92" s="424"/>
    </row>
    <row r="93" spans="1:14" s="79" customFormat="1" ht="15">
      <c r="A93" s="186">
        <v>90</v>
      </c>
      <c r="B93" s="242" t="s">
        <v>302</v>
      </c>
      <c r="C93" s="114">
        <v>39157</v>
      </c>
      <c r="D93" s="127" t="s">
        <v>73</v>
      </c>
      <c r="E93" s="127" t="s">
        <v>135</v>
      </c>
      <c r="F93" s="337" t="s">
        <v>163</v>
      </c>
      <c r="G93" s="337" t="s">
        <v>394</v>
      </c>
      <c r="H93" s="244">
        <v>173994.5</v>
      </c>
      <c r="I93" s="364">
        <v>25945</v>
      </c>
      <c r="J93" s="324">
        <f>H93/I93</f>
        <v>6.7062825207169015</v>
      </c>
      <c r="K93" s="443"/>
      <c r="L93" s="423"/>
      <c r="M93" s="424"/>
      <c r="N93" s="424"/>
    </row>
    <row r="94" spans="1:14" s="79" customFormat="1" ht="15">
      <c r="A94" s="186">
        <v>91</v>
      </c>
      <c r="B94" s="242" t="s">
        <v>377</v>
      </c>
      <c r="C94" s="114">
        <v>39199</v>
      </c>
      <c r="D94" s="127" t="s">
        <v>73</v>
      </c>
      <c r="E94" s="127" t="s">
        <v>135</v>
      </c>
      <c r="F94" s="337" t="s">
        <v>313</v>
      </c>
      <c r="G94" s="337" t="s">
        <v>499</v>
      </c>
      <c r="H94" s="244">
        <v>170249.5</v>
      </c>
      <c r="I94" s="364">
        <v>17053</v>
      </c>
      <c r="J94" s="288">
        <f aca="true" t="shared" si="5" ref="J94:J100">+H94/I94</f>
        <v>9.983551281299478</v>
      </c>
      <c r="K94" s="441"/>
      <c r="L94" s="421"/>
      <c r="M94" s="422"/>
      <c r="N94" s="422"/>
    </row>
    <row r="95" spans="1:14" s="79" customFormat="1" ht="15">
      <c r="A95" s="186">
        <v>92</v>
      </c>
      <c r="B95" s="242" t="s">
        <v>512</v>
      </c>
      <c r="C95" s="114">
        <v>39276</v>
      </c>
      <c r="D95" s="127" t="s">
        <v>73</v>
      </c>
      <c r="E95" s="127" t="s">
        <v>135</v>
      </c>
      <c r="F95" s="337" t="s">
        <v>399</v>
      </c>
      <c r="G95" s="337" t="s">
        <v>20</v>
      </c>
      <c r="H95" s="244">
        <v>165357.5</v>
      </c>
      <c r="I95" s="364">
        <v>19328</v>
      </c>
      <c r="J95" s="288">
        <f t="shared" si="5"/>
        <v>8.55533423013245</v>
      </c>
      <c r="K95" s="446"/>
      <c r="L95" s="423"/>
      <c r="M95" s="424"/>
      <c r="N95" s="424"/>
    </row>
    <row r="96" spans="1:14" s="79" customFormat="1" ht="15">
      <c r="A96" s="186">
        <v>93</v>
      </c>
      <c r="B96" s="240" t="s">
        <v>376</v>
      </c>
      <c r="C96" s="115">
        <v>39199</v>
      </c>
      <c r="D96" s="126" t="s">
        <v>58</v>
      </c>
      <c r="E96" s="126" t="s">
        <v>59</v>
      </c>
      <c r="F96" s="116">
        <v>12</v>
      </c>
      <c r="G96" s="116">
        <v>12</v>
      </c>
      <c r="H96" s="243">
        <f>65278+43624+18025+11913.5+8482+5984+2783+1516+591+802+176+51+185</f>
        <v>159410.5</v>
      </c>
      <c r="I96" s="365">
        <f>6781+4516+2043+1620+1413+932+527+294+132+80+21+9+37</f>
        <v>18405</v>
      </c>
      <c r="J96" s="288">
        <f t="shared" si="5"/>
        <v>8.661260527030699</v>
      </c>
      <c r="K96" s="443"/>
      <c r="L96" s="423"/>
      <c r="M96" s="424"/>
      <c r="N96" s="424"/>
    </row>
    <row r="97" spans="1:14" s="79" customFormat="1" ht="15">
      <c r="A97" s="186">
        <v>94</v>
      </c>
      <c r="B97" s="240" t="s">
        <v>368</v>
      </c>
      <c r="C97" s="115">
        <v>39192</v>
      </c>
      <c r="D97" s="126" t="s">
        <v>58</v>
      </c>
      <c r="E97" s="126" t="s">
        <v>346</v>
      </c>
      <c r="F97" s="116">
        <v>30</v>
      </c>
      <c r="G97" s="116">
        <v>13</v>
      </c>
      <c r="H97" s="243">
        <f>71030+32901.5+17721.5+14872+9513+2979+1242+198+150+198+140+162+204</f>
        <v>151311</v>
      </c>
      <c r="I97" s="365">
        <f>8415+4258+2684+2483+1579+589+251+33+25+33+23+27+34</f>
        <v>20434</v>
      </c>
      <c r="J97" s="288">
        <f t="shared" si="5"/>
        <v>7.404864441616913</v>
      </c>
      <c r="K97" s="454"/>
      <c r="L97" s="430"/>
      <c r="M97" s="431"/>
      <c r="N97" s="431"/>
    </row>
    <row r="98" spans="1:14" s="79" customFormat="1" ht="15">
      <c r="A98" s="186">
        <v>95</v>
      </c>
      <c r="B98" s="239" t="s">
        <v>262</v>
      </c>
      <c r="C98" s="114">
        <v>39136</v>
      </c>
      <c r="D98" s="125" t="s">
        <v>56</v>
      </c>
      <c r="E98" s="124" t="s">
        <v>11</v>
      </c>
      <c r="F98" s="336">
        <v>9</v>
      </c>
      <c r="G98" s="336">
        <v>11</v>
      </c>
      <c r="H98" s="244">
        <f>84092+44359+5685+3842+1159+3888+3317+785+1412+150+1090</f>
        <v>149779</v>
      </c>
      <c r="I98" s="364">
        <f>8135+4281+660+612+195+1157+638+80+217+18+215</f>
        <v>16208</v>
      </c>
      <c r="J98" s="288">
        <f t="shared" si="5"/>
        <v>9.2410538005923</v>
      </c>
      <c r="K98" s="450"/>
      <c r="L98" s="421"/>
      <c r="M98" s="422"/>
      <c r="N98" s="422"/>
    </row>
    <row r="99" spans="1:14" s="79" customFormat="1" ht="15">
      <c r="A99" s="186">
        <v>96</v>
      </c>
      <c r="B99" s="239" t="s">
        <v>143</v>
      </c>
      <c r="C99" s="114">
        <v>39087</v>
      </c>
      <c r="D99" s="125" t="s">
        <v>56</v>
      </c>
      <c r="E99" s="124" t="s">
        <v>233</v>
      </c>
      <c r="F99" s="336">
        <v>42</v>
      </c>
      <c r="G99" s="336">
        <v>11</v>
      </c>
      <c r="H99" s="244">
        <f>108159+32855+2558+200+742+210+540+754+527+677+829</f>
        <v>148051</v>
      </c>
      <c r="I99" s="364">
        <f>12118+3977+379+20+153+40+103+182+108+118+146</f>
        <v>17344</v>
      </c>
      <c r="J99" s="288">
        <f t="shared" si="5"/>
        <v>8.536150830258302</v>
      </c>
      <c r="K99" s="441"/>
      <c r="L99" s="421"/>
      <c r="M99" s="422"/>
      <c r="N99" s="422"/>
    </row>
    <row r="100" spans="1:14" s="79" customFormat="1" ht="15">
      <c r="A100" s="186">
        <v>97</v>
      </c>
      <c r="B100" s="242" t="s">
        <v>390</v>
      </c>
      <c r="C100" s="114">
        <v>39213</v>
      </c>
      <c r="D100" s="127" t="s">
        <v>55</v>
      </c>
      <c r="E100" s="127" t="s">
        <v>63</v>
      </c>
      <c r="F100" s="270">
        <v>36</v>
      </c>
      <c r="G100" s="270">
        <v>9</v>
      </c>
      <c r="H100" s="244">
        <v>137061</v>
      </c>
      <c r="I100" s="364">
        <v>16400</v>
      </c>
      <c r="J100" s="261">
        <f t="shared" si="5"/>
        <v>8.357378048780488</v>
      </c>
      <c r="K100" s="455"/>
      <c r="L100" s="428"/>
      <c r="M100" s="429"/>
      <c r="N100" s="429"/>
    </row>
    <row r="101" spans="1:14" s="79" customFormat="1" ht="15">
      <c r="A101" s="186">
        <v>98</v>
      </c>
      <c r="B101" s="119" t="s">
        <v>513</v>
      </c>
      <c r="C101" s="117">
        <v>39276</v>
      </c>
      <c r="D101" s="128" t="s">
        <v>64</v>
      </c>
      <c r="E101" s="128" t="s">
        <v>27</v>
      </c>
      <c r="F101" s="357">
        <v>26</v>
      </c>
      <c r="G101" s="357">
        <v>1</v>
      </c>
      <c r="H101" s="251">
        <v>131877</v>
      </c>
      <c r="I101" s="367">
        <v>11861</v>
      </c>
      <c r="J101" s="334">
        <f>H101/I101</f>
        <v>11.118539752128825</v>
      </c>
      <c r="K101" s="441"/>
      <c r="L101" s="421"/>
      <c r="M101" s="422"/>
      <c r="N101" s="422"/>
    </row>
    <row r="102" spans="1:14" s="79" customFormat="1" ht="15">
      <c r="A102" s="186">
        <v>99</v>
      </c>
      <c r="B102" s="242" t="s">
        <v>449</v>
      </c>
      <c r="C102" s="114">
        <v>39213</v>
      </c>
      <c r="D102" s="127" t="s">
        <v>73</v>
      </c>
      <c r="E102" s="127" t="s">
        <v>73</v>
      </c>
      <c r="F102" s="337" t="s">
        <v>385</v>
      </c>
      <c r="G102" s="337" t="s">
        <v>316</v>
      </c>
      <c r="H102" s="244">
        <v>117092.5</v>
      </c>
      <c r="I102" s="364">
        <v>17015</v>
      </c>
      <c r="J102" s="288">
        <f aca="true" t="shared" si="6" ref="J102:J107">+H102/I102</f>
        <v>6.881722009991185</v>
      </c>
      <c r="K102" s="450"/>
      <c r="L102" s="421"/>
      <c r="M102" s="422"/>
      <c r="N102" s="422"/>
    </row>
    <row r="103" spans="1:14" s="79" customFormat="1" ht="15">
      <c r="A103" s="186">
        <v>100</v>
      </c>
      <c r="B103" s="240" t="s">
        <v>303</v>
      </c>
      <c r="C103" s="115">
        <v>39157</v>
      </c>
      <c r="D103" s="126" t="s">
        <v>58</v>
      </c>
      <c r="E103" s="126" t="s">
        <v>304</v>
      </c>
      <c r="F103" s="116">
        <v>56</v>
      </c>
      <c r="G103" s="116">
        <v>10</v>
      </c>
      <c r="H103" s="243">
        <f>58610+26460.5+16261.5+6759+4608+1822+1190+451+98+184</f>
        <v>116444</v>
      </c>
      <c r="I103" s="365">
        <f>8805+4170+2948+1373+809+330+236+64+14+44</f>
        <v>18793</v>
      </c>
      <c r="J103" s="288">
        <f t="shared" si="6"/>
        <v>6.196136859468951</v>
      </c>
      <c r="K103" s="445"/>
      <c r="L103" s="421"/>
      <c r="M103" s="424"/>
      <c r="N103" s="422"/>
    </row>
    <row r="104" spans="1:14" s="79" customFormat="1" ht="15">
      <c r="A104" s="186">
        <v>101</v>
      </c>
      <c r="B104" s="241" t="s">
        <v>434</v>
      </c>
      <c r="C104" s="115">
        <v>39241</v>
      </c>
      <c r="D104" s="130" t="s">
        <v>23</v>
      </c>
      <c r="E104" s="129" t="s">
        <v>148</v>
      </c>
      <c r="F104" s="118">
        <v>20</v>
      </c>
      <c r="G104" s="118">
        <v>6</v>
      </c>
      <c r="H104" s="243">
        <f>56566+21711.5+6770+7786.5+8048+6941</f>
        <v>107823</v>
      </c>
      <c r="I104" s="365">
        <f>5960+2542+1094+1304+1726+1282</f>
        <v>13908</v>
      </c>
      <c r="J104" s="288">
        <f t="shared" si="6"/>
        <v>7.752588438308887</v>
      </c>
      <c r="K104" s="451"/>
      <c r="L104" s="421"/>
      <c r="M104" s="422"/>
      <c r="N104" s="422"/>
    </row>
    <row r="105" spans="1:14" s="79" customFormat="1" ht="15">
      <c r="A105" s="186">
        <v>102</v>
      </c>
      <c r="B105" s="241" t="s">
        <v>145</v>
      </c>
      <c r="C105" s="115">
        <v>39087</v>
      </c>
      <c r="D105" s="127" t="s">
        <v>516</v>
      </c>
      <c r="E105" s="127" t="s">
        <v>516</v>
      </c>
      <c r="F105" s="116">
        <v>11</v>
      </c>
      <c r="G105" s="270">
        <v>10</v>
      </c>
      <c r="H105" s="244">
        <v>107510.29</v>
      </c>
      <c r="I105" s="364">
        <v>11209</v>
      </c>
      <c r="J105" s="288">
        <f t="shared" si="6"/>
        <v>9.591425640110625</v>
      </c>
      <c r="K105" s="453"/>
      <c r="L105" s="428"/>
      <c r="M105" s="429"/>
      <c r="N105" s="429"/>
    </row>
    <row r="106" spans="1:14" s="79" customFormat="1" ht="15">
      <c r="A106" s="186">
        <v>103</v>
      </c>
      <c r="B106" s="241" t="s">
        <v>484</v>
      </c>
      <c r="C106" s="115">
        <v>39262</v>
      </c>
      <c r="D106" s="130" t="s">
        <v>23</v>
      </c>
      <c r="E106" s="129" t="s">
        <v>485</v>
      </c>
      <c r="F106" s="118">
        <v>15</v>
      </c>
      <c r="G106" s="118">
        <v>3</v>
      </c>
      <c r="H106" s="243">
        <f>1072+50406+28763.5+11247</f>
        <v>91488.5</v>
      </c>
      <c r="I106" s="365">
        <f>148+4453+2639+1325</f>
        <v>8565</v>
      </c>
      <c r="J106" s="288">
        <f t="shared" si="6"/>
        <v>10.681669585522474</v>
      </c>
      <c r="K106" s="449"/>
      <c r="L106" s="421"/>
      <c r="M106" s="422"/>
      <c r="N106" s="422"/>
    </row>
    <row r="107" spans="1:14" s="79" customFormat="1" ht="15">
      <c r="A107" s="186">
        <v>104</v>
      </c>
      <c r="B107" s="241" t="s">
        <v>486</v>
      </c>
      <c r="C107" s="115">
        <v>39262</v>
      </c>
      <c r="D107" s="130" t="s">
        <v>23</v>
      </c>
      <c r="E107" s="129" t="s">
        <v>487</v>
      </c>
      <c r="F107" s="118">
        <v>21</v>
      </c>
      <c r="G107" s="118">
        <v>3</v>
      </c>
      <c r="H107" s="243">
        <f>45987.5+25413.5+17578.5</f>
        <v>88979.5</v>
      </c>
      <c r="I107" s="365">
        <f>5050+3112+3088</f>
        <v>11250</v>
      </c>
      <c r="J107" s="288">
        <f t="shared" si="6"/>
        <v>7.909288888888889</v>
      </c>
      <c r="K107" s="442"/>
      <c r="L107" s="423"/>
      <c r="M107" s="424"/>
      <c r="N107" s="424"/>
    </row>
    <row r="108" spans="1:14" s="79" customFormat="1" ht="15">
      <c r="A108" s="186">
        <v>105</v>
      </c>
      <c r="B108" s="333" t="s">
        <v>183</v>
      </c>
      <c r="C108" s="117">
        <v>39101</v>
      </c>
      <c r="D108" s="350" t="s">
        <v>64</v>
      </c>
      <c r="E108" s="350" t="s">
        <v>184</v>
      </c>
      <c r="F108" s="332">
        <v>14</v>
      </c>
      <c r="G108" s="332">
        <v>9</v>
      </c>
      <c r="H108" s="251">
        <v>75233</v>
      </c>
      <c r="I108" s="367">
        <v>7816</v>
      </c>
      <c r="J108" s="334">
        <f>H108/I108</f>
        <v>9.625511770726714</v>
      </c>
      <c r="K108" s="442"/>
      <c r="L108" s="423"/>
      <c r="M108" s="424"/>
      <c r="N108" s="424"/>
    </row>
    <row r="109" spans="1:14" s="79" customFormat="1" ht="15">
      <c r="A109" s="186">
        <v>106</v>
      </c>
      <c r="B109" s="240" t="s">
        <v>289</v>
      </c>
      <c r="C109" s="115">
        <v>39150</v>
      </c>
      <c r="D109" s="126" t="s">
        <v>58</v>
      </c>
      <c r="E109" s="126" t="s">
        <v>408</v>
      </c>
      <c r="F109" s="116">
        <v>36</v>
      </c>
      <c r="G109" s="116">
        <v>9</v>
      </c>
      <c r="H109" s="243">
        <f>36532.5+12598.5+9503.5+3866+3675.5+2036.5+2184+698+213</f>
        <v>71307.5</v>
      </c>
      <c r="I109" s="365">
        <f>5376+1964+1865+741+753+478+609+121+41</f>
        <v>11948</v>
      </c>
      <c r="J109" s="288">
        <f aca="true" t="shared" si="7" ref="J109:J114">+H109/I109</f>
        <v>5.968153665885504</v>
      </c>
      <c r="K109" s="441"/>
      <c r="L109" s="421"/>
      <c r="M109" s="422"/>
      <c r="N109" s="422"/>
    </row>
    <row r="110" spans="1:14" s="79" customFormat="1" ht="15">
      <c r="A110" s="186">
        <v>107</v>
      </c>
      <c r="B110" s="241" t="s">
        <v>147</v>
      </c>
      <c r="C110" s="115">
        <v>39087</v>
      </c>
      <c r="D110" s="130" t="s">
        <v>23</v>
      </c>
      <c r="E110" s="129" t="s">
        <v>148</v>
      </c>
      <c r="F110" s="118">
        <v>1</v>
      </c>
      <c r="G110" s="118">
        <v>18</v>
      </c>
      <c r="H110" s="243">
        <f>22095+9204+7326+5702+4828+3872.5+1230+1085+707+2852+110.5+1780+1780+1900+49+952+1900+102+49</f>
        <v>67524</v>
      </c>
      <c r="I110" s="365">
        <f>2920+1031+821+648+551+476+146+128+89+713+43+445+445+475+7+238+475+11+6</f>
        <v>9668</v>
      </c>
      <c r="J110" s="288">
        <f t="shared" si="7"/>
        <v>6.9842780306164665</v>
      </c>
      <c r="K110" s="450"/>
      <c r="L110" s="421"/>
      <c r="M110" s="422"/>
      <c r="N110" s="422"/>
    </row>
    <row r="111" spans="1:14" s="79" customFormat="1" ht="15">
      <c r="A111" s="186">
        <v>108</v>
      </c>
      <c r="B111" s="239" t="s">
        <v>462</v>
      </c>
      <c r="C111" s="114">
        <v>39248</v>
      </c>
      <c r="D111" s="125" t="s">
        <v>56</v>
      </c>
      <c r="E111" s="124" t="s">
        <v>71</v>
      </c>
      <c r="F111" s="336">
        <v>43</v>
      </c>
      <c r="G111" s="336">
        <v>5</v>
      </c>
      <c r="H111" s="244">
        <f>42123+14013+3348+3474+2860</f>
        <v>65818</v>
      </c>
      <c r="I111" s="364">
        <f>5045+1702+479+644+570</f>
        <v>8440</v>
      </c>
      <c r="J111" s="288">
        <f t="shared" si="7"/>
        <v>7.7983412322274885</v>
      </c>
      <c r="K111" s="442"/>
      <c r="L111" s="423"/>
      <c r="M111" s="424"/>
      <c r="N111" s="424"/>
    </row>
    <row r="112" spans="1:14" s="79" customFormat="1" ht="15">
      <c r="A112" s="186">
        <v>109</v>
      </c>
      <c r="B112" s="326" t="s">
        <v>282</v>
      </c>
      <c r="C112" s="115">
        <v>39136</v>
      </c>
      <c r="D112" s="172" t="s">
        <v>58</v>
      </c>
      <c r="E112" s="172" t="s">
        <v>59</v>
      </c>
      <c r="F112" s="270">
        <v>7</v>
      </c>
      <c r="G112" s="319">
        <v>10</v>
      </c>
      <c r="H112" s="243">
        <f>23106.5+15905+4970.5+4958+2337+5206+2114+6120.5+60+855</f>
        <v>65632.5</v>
      </c>
      <c r="I112" s="365">
        <f>2469+1725+813+546+379+1021+442+1372+6+109</f>
        <v>8882</v>
      </c>
      <c r="J112" s="288">
        <f t="shared" si="7"/>
        <v>7.389383021841928</v>
      </c>
      <c r="K112" s="443"/>
      <c r="L112" s="423"/>
      <c r="M112" s="424"/>
      <c r="N112" s="424"/>
    </row>
    <row r="113" spans="1:14" s="79" customFormat="1" ht="15">
      <c r="A113" s="186">
        <v>110</v>
      </c>
      <c r="B113" s="241" t="s">
        <v>451</v>
      </c>
      <c r="C113" s="115">
        <v>39115</v>
      </c>
      <c r="D113" s="130" t="s">
        <v>23</v>
      </c>
      <c r="E113" s="129" t="s">
        <v>33</v>
      </c>
      <c r="F113" s="118">
        <v>7</v>
      </c>
      <c r="G113" s="118">
        <v>2</v>
      </c>
      <c r="H113" s="243">
        <f>17653+2664+2547+3149.5+1301+782+4139+3319+2916+1353+211+25+1358+2067.5+4037+800+2506+138+5334+824.5+3551+1941</f>
        <v>62616.5</v>
      </c>
      <c r="I113" s="365">
        <f>1861+315+483+453+199+125+780+688+532+250+58+10+324+278+530+160+491+30+1031+128+555+241</f>
        <v>9522</v>
      </c>
      <c r="J113" s="288">
        <f t="shared" si="7"/>
        <v>6.575981936567948</v>
      </c>
      <c r="K113" s="441"/>
      <c r="L113" s="421"/>
      <c r="M113" s="422"/>
      <c r="N113" s="422"/>
    </row>
    <row r="114" spans="1:14" s="79" customFormat="1" ht="15">
      <c r="A114" s="186">
        <v>111</v>
      </c>
      <c r="B114" s="239" t="s">
        <v>425</v>
      </c>
      <c r="C114" s="114">
        <v>39234</v>
      </c>
      <c r="D114" s="124" t="s">
        <v>48</v>
      </c>
      <c r="E114" s="124" t="s">
        <v>150</v>
      </c>
      <c r="F114" s="336">
        <v>27</v>
      </c>
      <c r="G114" s="336">
        <v>7</v>
      </c>
      <c r="H114" s="245">
        <f>27092.5+18038+5217+3320.5+3937+2784+1710</f>
        <v>62099</v>
      </c>
      <c r="I114" s="365">
        <f>3028+2165+821+570+765+513+286</f>
        <v>8148</v>
      </c>
      <c r="J114" s="288">
        <f t="shared" si="7"/>
        <v>7.621379479626902</v>
      </c>
      <c r="K114" s="450"/>
      <c r="L114" s="421"/>
      <c r="M114" s="422"/>
      <c r="N114" s="422"/>
    </row>
    <row r="115" spans="1:14" s="79" customFormat="1" ht="15">
      <c r="A115" s="186">
        <v>112</v>
      </c>
      <c r="B115" s="119" t="s">
        <v>450</v>
      </c>
      <c r="C115" s="117">
        <v>39178</v>
      </c>
      <c r="D115" s="128" t="s">
        <v>64</v>
      </c>
      <c r="E115" s="128" t="s">
        <v>273</v>
      </c>
      <c r="F115" s="357">
        <v>20</v>
      </c>
      <c r="G115" s="357">
        <v>14</v>
      </c>
      <c r="H115" s="244">
        <v>59527</v>
      </c>
      <c r="I115" s="364">
        <v>7598</v>
      </c>
      <c r="J115" s="334">
        <f>H115/I115</f>
        <v>7.834561726770203</v>
      </c>
      <c r="K115" s="441"/>
      <c r="L115" s="421"/>
      <c r="M115" s="422"/>
      <c r="N115" s="422"/>
    </row>
    <row r="116" spans="1:14" s="79" customFormat="1" ht="15">
      <c r="A116" s="186">
        <v>113</v>
      </c>
      <c r="B116" s="144" t="s">
        <v>339</v>
      </c>
      <c r="C116" s="115">
        <v>39178</v>
      </c>
      <c r="D116" s="126" t="s">
        <v>58</v>
      </c>
      <c r="E116" s="126" t="s">
        <v>378</v>
      </c>
      <c r="F116" s="116">
        <v>32</v>
      </c>
      <c r="G116" s="116">
        <v>8</v>
      </c>
      <c r="H116" s="243">
        <f>36030.5+15107+2947+2226.5+1741.5+368+21+178.5</f>
        <v>58620</v>
      </c>
      <c r="I116" s="365">
        <f>5756+2532+606+524+412+75+6+23</f>
        <v>9934</v>
      </c>
      <c r="J116" s="288">
        <f>+H116/I116</f>
        <v>5.900946245218441</v>
      </c>
      <c r="K116" s="446"/>
      <c r="L116" s="423"/>
      <c r="M116" s="424"/>
      <c r="N116" s="424"/>
    </row>
    <row r="117" spans="1:14" s="79" customFormat="1" ht="15">
      <c r="A117" s="186">
        <v>114</v>
      </c>
      <c r="B117" s="240" t="s">
        <v>391</v>
      </c>
      <c r="C117" s="115">
        <v>39213</v>
      </c>
      <c r="D117" s="126" t="s">
        <v>58</v>
      </c>
      <c r="E117" s="126" t="s">
        <v>59</v>
      </c>
      <c r="F117" s="116">
        <v>5</v>
      </c>
      <c r="G117" s="116">
        <v>10</v>
      </c>
      <c r="H117" s="243">
        <f>25052+11949.5+3201+4494+4686.5+1784.5+1964.5+1245.5+867+2745</f>
        <v>57989.5</v>
      </c>
      <c r="I117" s="365">
        <f>2528+1205+383+567+687+312+364+233+144+405</f>
        <v>6828</v>
      </c>
      <c r="J117" s="288">
        <f>+H117/I117</f>
        <v>8.492896895137669</v>
      </c>
      <c r="K117" s="450"/>
      <c r="L117" s="421"/>
      <c r="M117" s="422"/>
      <c r="N117" s="422"/>
    </row>
    <row r="118" spans="1:14" s="79" customFormat="1" ht="15">
      <c r="A118" s="186">
        <v>115</v>
      </c>
      <c r="B118" s="241" t="s">
        <v>416</v>
      </c>
      <c r="C118" s="115">
        <v>39227</v>
      </c>
      <c r="D118" s="130" t="s">
        <v>23</v>
      </c>
      <c r="E118" s="129" t="s">
        <v>343</v>
      </c>
      <c r="F118" s="118">
        <v>5</v>
      </c>
      <c r="G118" s="118">
        <v>8</v>
      </c>
      <c r="H118" s="243">
        <f>18794+5525.5+3600+3074+7613+5767.5+3269+5718</f>
        <v>53361</v>
      </c>
      <c r="I118" s="365">
        <f>1711+728+514+497+915+744+533+775</f>
        <v>6417</v>
      </c>
      <c r="J118" s="288">
        <f>+H118/I118</f>
        <v>8.315568022440393</v>
      </c>
      <c r="K118" s="450"/>
      <c r="L118" s="421"/>
      <c r="M118" s="422"/>
      <c r="N118" s="422"/>
    </row>
    <row r="119" spans="1:14" s="79" customFormat="1" ht="15">
      <c r="A119" s="186">
        <v>116</v>
      </c>
      <c r="B119" s="242" t="s">
        <v>497</v>
      </c>
      <c r="C119" s="114">
        <v>39269</v>
      </c>
      <c r="D119" s="127" t="s">
        <v>73</v>
      </c>
      <c r="E119" s="127" t="s">
        <v>73</v>
      </c>
      <c r="F119" s="337" t="s">
        <v>316</v>
      </c>
      <c r="G119" s="337" t="s">
        <v>37</v>
      </c>
      <c r="H119" s="244">
        <v>47423</v>
      </c>
      <c r="I119" s="364">
        <v>5166</v>
      </c>
      <c r="J119" s="288">
        <f>+H119/I119</f>
        <v>9.179829655439411</v>
      </c>
      <c r="K119" s="450"/>
      <c r="L119" s="421"/>
      <c r="M119" s="422"/>
      <c r="N119" s="422"/>
    </row>
    <row r="120" spans="1:14" s="79" customFormat="1" ht="15">
      <c r="A120" s="186">
        <v>117</v>
      </c>
      <c r="B120" s="242" t="s">
        <v>463</v>
      </c>
      <c r="C120" s="114">
        <v>39248</v>
      </c>
      <c r="D120" s="127" t="s">
        <v>73</v>
      </c>
      <c r="E120" s="127" t="s">
        <v>135</v>
      </c>
      <c r="F120" s="337" t="s">
        <v>464</v>
      </c>
      <c r="G120" s="337" t="s">
        <v>313</v>
      </c>
      <c r="H120" s="244">
        <v>44380</v>
      </c>
      <c r="I120" s="364">
        <v>5391</v>
      </c>
      <c r="J120" s="288">
        <f>+H120/I120</f>
        <v>8.23223891671304</v>
      </c>
      <c r="K120" s="450"/>
      <c r="L120" s="421"/>
      <c r="M120" s="422"/>
      <c r="N120" s="422"/>
    </row>
    <row r="121" spans="1:14" s="79" customFormat="1" ht="15">
      <c r="A121" s="186">
        <v>118</v>
      </c>
      <c r="B121" s="239" t="s">
        <v>358</v>
      </c>
      <c r="C121" s="114">
        <v>39185</v>
      </c>
      <c r="D121" s="125" t="s">
        <v>56</v>
      </c>
      <c r="E121" s="124" t="s">
        <v>419</v>
      </c>
      <c r="F121" s="336">
        <v>18</v>
      </c>
      <c r="G121" s="336">
        <v>9</v>
      </c>
      <c r="H121" s="244">
        <f>30174+1530+1183+615+267+1789+987+401+549</f>
        <v>37495</v>
      </c>
      <c r="I121" s="364">
        <f>3096+224+261+123+52+470+182+51+89</f>
        <v>4548</v>
      </c>
      <c r="J121" s="324">
        <f>H121/I121</f>
        <v>8.244283201407212</v>
      </c>
      <c r="K121" s="450"/>
      <c r="L121" s="421"/>
      <c r="M121" s="422"/>
      <c r="N121" s="422"/>
    </row>
    <row r="122" spans="1:14" s="79" customFormat="1" ht="15">
      <c r="A122" s="186">
        <v>119</v>
      </c>
      <c r="B122" s="240" t="s">
        <v>514</v>
      </c>
      <c r="C122" s="115">
        <v>39276</v>
      </c>
      <c r="D122" s="126" t="s">
        <v>57</v>
      </c>
      <c r="E122" s="126" t="s">
        <v>63</v>
      </c>
      <c r="F122" s="116">
        <v>20</v>
      </c>
      <c r="G122" s="116">
        <v>1</v>
      </c>
      <c r="H122" s="243">
        <v>36874</v>
      </c>
      <c r="I122" s="365">
        <v>3559</v>
      </c>
      <c r="J122" s="288">
        <f aca="true" t="shared" si="8" ref="J122:J128">+H122/I122</f>
        <v>10.3607754987356</v>
      </c>
      <c r="K122" s="450"/>
      <c r="L122" s="421"/>
      <c r="M122" s="422"/>
      <c r="N122" s="422"/>
    </row>
    <row r="123" spans="1:14" s="79" customFormat="1" ht="15">
      <c r="A123" s="186">
        <v>120</v>
      </c>
      <c r="B123" s="241" t="s">
        <v>470</v>
      </c>
      <c r="C123" s="115">
        <v>39255</v>
      </c>
      <c r="D123" s="130" t="s">
        <v>23</v>
      </c>
      <c r="E123" s="129" t="s">
        <v>27</v>
      </c>
      <c r="F123" s="118">
        <v>1</v>
      </c>
      <c r="G123" s="118">
        <v>4</v>
      </c>
      <c r="H123" s="243">
        <f>21521.25+5392+4888+3600+742</f>
        <v>36143.25</v>
      </c>
      <c r="I123" s="365">
        <f>2941+612+556+404+77</f>
        <v>4590</v>
      </c>
      <c r="J123" s="288">
        <f t="shared" si="8"/>
        <v>7.874346405228758</v>
      </c>
      <c r="K123" s="450"/>
      <c r="L123" s="421"/>
      <c r="M123" s="422"/>
      <c r="N123" s="422"/>
    </row>
    <row r="124" spans="1:14" s="79" customFormat="1" ht="15">
      <c r="A124" s="186">
        <v>121</v>
      </c>
      <c r="B124" s="240" t="s">
        <v>392</v>
      </c>
      <c r="C124" s="115">
        <v>39213</v>
      </c>
      <c r="D124" s="126" t="s">
        <v>58</v>
      </c>
      <c r="E124" s="126" t="s">
        <v>59</v>
      </c>
      <c r="F124" s="116">
        <v>1</v>
      </c>
      <c r="G124" s="116">
        <v>10</v>
      </c>
      <c r="H124" s="243">
        <f>23022+3295+935+946+734+524+260+264+324+228</f>
        <v>30532</v>
      </c>
      <c r="I124" s="365">
        <f>3601+659+187+99+75+55+28+30+35+44</f>
        <v>4813</v>
      </c>
      <c r="J124" s="288">
        <f t="shared" si="8"/>
        <v>6.343652607521297</v>
      </c>
      <c r="K124" s="450"/>
      <c r="L124" s="421"/>
      <c r="M124" s="422"/>
      <c r="N124" s="422"/>
    </row>
    <row r="125" spans="1:14" s="79" customFormat="1" ht="15">
      <c r="A125" s="186">
        <v>122</v>
      </c>
      <c r="B125" s="240" t="s">
        <v>452</v>
      </c>
      <c r="C125" s="115">
        <v>39115</v>
      </c>
      <c r="D125" s="126" t="s">
        <v>58</v>
      </c>
      <c r="E125" s="126" t="s">
        <v>38</v>
      </c>
      <c r="F125" s="116">
        <v>10</v>
      </c>
      <c r="G125" s="116">
        <v>8</v>
      </c>
      <c r="H125" s="243">
        <f>17496+3884+1469+240+311+404+472+286</f>
        <v>24562</v>
      </c>
      <c r="I125" s="365">
        <f>1763+417+239+30+72+92+105+29</f>
        <v>2747</v>
      </c>
      <c r="J125" s="288">
        <f t="shared" si="8"/>
        <v>8.94139060793593</v>
      </c>
      <c r="K125" s="450"/>
      <c r="L125" s="421"/>
      <c r="M125" s="422"/>
      <c r="N125" s="422"/>
    </row>
    <row r="126" spans="1:14" s="79" customFormat="1" ht="15">
      <c r="A126" s="186">
        <v>123</v>
      </c>
      <c r="B126" s="242" t="s">
        <v>454</v>
      </c>
      <c r="C126" s="114">
        <v>39206</v>
      </c>
      <c r="D126" s="127" t="s">
        <v>73</v>
      </c>
      <c r="E126" s="127" t="s">
        <v>522</v>
      </c>
      <c r="F126" s="337" t="s">
        <v>313</v>
      </c>
      <c r="G126" s="337" t="s">
        <v>472</v>
      </c>
      <c r="H126" s="244">
        <v>24386</v>
      </c>
      <c r="I126" s="364">
        <v>3082</v>
      </c>
      <c r="J126" s="288">
        <f t="shared" si="8"/>
        <v>7.912394548994159</v>
      </c>
      <c r="K126" s="450"/>
      <c r="L126" s="421"/>
      <c r="M126" s="422"/>
      <c r="N126" s="422"/>
    </row>
    <row r="127" spans="1:14" s="79" customFormat="1" ht="15">
      <c r="A127" s="186">
        <v>124</v>
      </c>
      <c r="B127" s="241" t="s">
        <v>426</v>
      </c>
      <c r="C127" s="115">
        <v>39234</v>
      </c>
      <c r="D127" s="130" t="s">
        <v>23</v>
      </c>
      <c r="E127" s="129" t="s">
        <v>520</v>
      </c>
      <c r="F127" s="118">
        <v>15</v>
      </c>
      <c r="G127" s="118">
        <v>7</v>
      </c>
      <c r="H127" s="243">
        <f>12517.5+6692.5+1437+1063+738+218.5+558</f>
        <v>23224.5</v>
      </c>
      <c r="I127" s="365">
        <f>1293+798+220+172+132+50+74</f>
        <v>2739</v>
      </c>
      <c r="J127" s="288">
        <f t="shared" si="8"/>
        <v>8.479189485213581</v>
      </c>
      <c r="K127" s="450"/>
      <c r="L127" s="421"/>
      <c r="M127" s="422"/>
      <c r="N127" s="422"/>
    </row>
    <row r="128" spans="1:14" s="79" customFormat="1" ht="15">
      <c r="A128" s="186">
        <v>125</v>
      </c>
      <c r="B128" s="241" t="s">
        <v>395</v>
      </c>
      <c r="C128" s="115">
        <v>39213</v>
      </c>
      <c r="D128" s="130" t="s">
        <v>23</v>
      </c>
      <c r="E128" s="129" t="s">
        <v>192</v>
      </c>
      <c r="F128" s="118">
        <v>4</v>
      </c>
      <c r="G128" s="118">
        <v>10</v>
      </c>
      <c r="H128" s="243">
        <f>4023.5+5558+2672.5+449+52+4724+1387+416+126+1449+1998.5</f>
        <v>22855.5</v>
      </c>
      <c r="I128" s="365">
        <f>664+522+392+59+6+830+205+77+22+258+402</f>
        <v>3437</v>
      </c>
      <c r="J128" s="288">
        <f t="shared" si="8"/>
        <v>6.649839976723887</v>
      </c>
      <c r="K128" s="450"/>
      <c r="L128" s="421"/>
      <c r="M128" s="422"/>
      <c r="N128" s="422"/>
    </row>
    <row r="129" spans="1:14" s="79" customFormat="1" ht="15">
      <c r="A129" s="186">
        <v>126</v>
      </c>
      <c r="B129" s="326" t="s">
        <v>453</v>
      </c>
      <c r="C129" s="115">
        <v>39094</v>
      </c>
      <c r="D129" s="349" t="s">
        <v>23</v>
      </c>
      <c r="E129" s="349" t="s">
        <v>158</v>
      </c>
      <c r="F129" s="319">
        <v>2</v>
      </c>
      <c r="G129" s="319">
        <v>10</v>
      </c>
      <c r="H129" s="243">
        <f>1685+7070+4182+870+1068+308+1896+1402+2852+77.5+1294</f>
        <v>22704.5</v>
      </c>
      <c r="I129" s="365">
        <f>480+951+563+174+267+31+416+162+713+29+337</f>
        <v>4123</v>
      </c>
      <c r="J129" s="324">
        <f>H129/I129</f>
        <v>5.506791171477079</v>
      </c>
      <c r="K129" s="450"/>
      <c r="L129" s="421"/>
      <c r="M129" s="422"/>
      <c r="N129" s="422"/>
    </row>
    <row r="130" spans="1:14" s="79" customFormat="1" ht="15">
      <c r="A130" s="186">
        <v>127</v>
      </c>
      <c r="B130" s="241" t="s">
        <v>345</v>
      </c>
      <c r="C130" s="115">
        <v>39178</v>
      </c>
      <c r="D130" s="130" t="s">
        <v>23</v>
      </c>
      <c r="E130" s="129" t="s">
        <v>346</v>
      </c>
      <c r="F130" s="118">
        <v>2</v>
      </c>
      <c r="G130" s="118">
        <v>15</v>
      </c>
      <c r="H130" s="243">
        <f>3994+2334+454+1412+330+1004+1550+988+2020+2401+126+1742+272+133+970</f>
        <v>19730</v>
      </c>
      <c r="I130" s="365">
        <f>445+262+47+219+66+135+226+149+505+642+21+199+43+19+123</f>
        <v>3101</v>
      </c>
      <c r="J130" s="288">
        <f>+H130/I130</f>
        <v>6.3624637213802</v>
      </c>
      <c r="K130" s="450"/>
      <c r="L130" s="421"/>
      <c r="M130" s="422"/>
      <c r="N130" s="422"/>
    </row>
    <row r="131" spans="1:14" s="79" customFormat="1" ht="15">
      <c r="A131" s="186">
        <v>128</v>
      </c>
      <c r="B131" s="241" t="s">
        <v>359</v>
      </c>
      <c r="C131" s="115">
        <v>39185</v>
      </c>
      <c r="D131" s="130" t="s">
        <v>23</v>
      </c>
      <c r="E131" s="129" t="s">
        <v>69</v>
      </c>
      <c r="F131" s="118">
        <v>4</v>
      </c>
      <c r="G131" s="118">
        <v>7</v>
      </c>
      <c r="H131" s="243">
        <f>6769.5+3919+2476+254+2374+807+1360</f>
        <v>17959.5</v>
      </c>
      <c r="I131" s="365">
        <f>846+548+607+46+549+101+306</f>
        <v>3003</v>
      </c>
      <c r="J131" s="288">
        <f>+H131/I131</f>
        <v>5.98051948051948</v>
      </c>
      <c r="K131" s="450"/>
      <c r="L131" s="421"/>
      <c r="M131" s="422"/>
      <c r="N131" s="422"/>
    </row>
    <row r="132" spans="1:14" s="79" customFormat="1" ht="15">
      <c r="A132" s="186">
        <v>129</v>
      </c>
      <c r="B132" s="241" t="s">
        <v>342</v>
      </c>
      <c r="C132" s="115">
        <v>39178</v>
      </c>
      <c r="D132" s="130" t="s">
        <v>23</v>
      </c>
      <c r="E132" s="129" t="s">
        <v>343</v>
      </c>
      <c r="F132" s="118">
        <v>5</v>
      </c>
      <c r="G132" s="118">
        <v>8</v>
      </c>
      <c r="H132" s="243">
        <f>6989+3492+735+273+101+62+1188+2612</f>
        <v>15452</v>
      </c>
      <c r="I132" s="365">
        <f>870+504+98+37+13+12+297+653</f>
        <v>2484</v>
      </c>
      <c r="J132" s="324">
        <f>H132/I132</f>
        <v>6.22061191626409</v>
      </c>
      <c r="K132" s="450"/>
      <c r="L132" s="421"/>
      <c r="M132" s="422"/>
      <c r="N132" s="422"/>
    </row>
    <row r="133" spans="1:14" s="79" customFormat="1" ht="15">
      <c r="A133" s="186">
        <v>130</v>
      </c>
      <c r="B133" s="241" t="s">
        <v>307</v>
      </c>
      <c r="C133" s="115">
        <v>39157</v>
      </c>
      <c r="D133" s="130" t="s">
        <v>23</v>
      </c>
      <c r="E133" s="129" t="s">
        <v>521</v>
      </c>
      <c r="F133" s="118">
        <v>1</v>
      </c>
      <c r="G133" s="118">
        <v>13</v>
      </c>
      <c r="H133" s="243">
        <f>4040+3088+878+292+795+865+1900+1068+1000+398+492+110+175</f>
        <v>15101</v>
      </c>
      <c r="I133" s="365">
        <f>578+442+162+25+159+173+475+267+133+54+68+22+35</f>
        <v>2593</v>
      </c>
      <c r="J133" s="288">
        <f aca="true" t="shared" si="9" ref="J133:J139">+H133/I133</f>
        <v>5.823756266872349</v>
      </c>
      <c r="K133" s="450"/>
      <c r="L133" s="421"/>
      <c r="M133" s="422"/>
      <c r="N133" s="422"/>
    </row>
    <row r="134" spans="1:14" s="79" customFormat="1" ht="15">
      <c r="A134" s="186">
        <v>131</v>
      </c>
      <c r="B134" s="240" t="s">
        <v>393</v>
      </c>
      <c r="C134" s="115">
        <v>39187</v>
      </c>
      <c r="D134" s="126" t="s">
        <v>58</v>
      </c>
      <c r="E134" s="126" t="s">
        <v>59</v>
      </c>
      <c r="F134" s="116">
        <v>1</v>
      </c>
      <c r="G134" s="116">
        <v>8</v>
      </c>
      <c r="H134" s="243">
        <f>11158+1340+625+166+94+174+151+140+120</f>
        <v>13968</v>
      </c>
      <c r="I134" s="365">
        <f>1408+268+125+19+11+20+28+15+13</f>
        <v>1907</v>
      </c>
      <c r="J134" s="288">
        <f t="shared" si="9"/>
        <v>7.324593602517043</v>
      </c>
      <c r="K134" s="450"/>
      <c r="L134" s="421"/>
      <c r="M134" s="422"/>
      <c r="N134" s="422"/>
    </row>
    <row r="135" spans="1:14" s="79" customFormat="1" ht="15">
      <c r="A135" s="186">
        <v>132</v>
      </c>
      <c r="B135" s="325" t="s">
        <v>455</v>
      </c>
      <c r="C135" s="114">
        <v>39178</v>
      </c>
      <c r="D135" s="348" t="s">
        <v>73</v>
      </c>
      <c r="E135" s="348" t="s">
        <v>360</v>
      </c>
      <c r="F135" s="270" t="s">
        <v>316</v>
      </c>
      <c r="G135" s="270" t="s">
        <v>37</v>
      </c>
      <c r="H135" s="244">
        <v>13081</v>
      </c>
      <c r="I135" s="364">
        <v>1608</v>
      </c>
      <c r="J135" s="288">
        <f t="shared" si="9"/>
        <v>8.134950248756219</v>
      </c>
      <c r="K135" s="450"/>
      <c r="L135" s="421"/>
      <c r="M135" s="422"/>
      <c r="N135" s="422"/>
    </row>
    <row r="136" spans="1:14" s="79" customFormat="1" ht="15">
      <c r="A136" s="186">
        <v>133</v>
      </c>
      <c r="B136" s="240" t="s">
        <v>379</v>
      </c>
      <c r="C136" s="115">
        <v>39199</v>
      </c>
      <c r="D136" s="126" t="s">
        <v>58</v>
      </c>
      <c r="E136" s="126" t="s">
        <v>59</v>
      </c>
      <c r="F136" s="116">
        <v>1</v>
      </c>
      <c r="G136" s="116">
        <v>8</v>
      </c>
      <c r="H136" s="243">
        <f>7483+988+550+332+134+125+150+50+71</f>
        <v>9883</v>
      </c>
      <c r="I136" s="365">
        <f>956+111+62+33+15+31+22+10+11</f>
        <v>1251</v>
      </c>
      <c r="J136" s="288">
        <f t="shared" si="9"/>
        <v>7.900079936051159</v>
      </c>
      <c r="K136" s="441"/>
      <c r="L136" s="421"/>
      <c r="M136" s="422"/>
      <c r="N136" s="422"/>
    </row>
    <row r="137" spans="1:14" s="79" customFormat="1" ht="15">
      <c r="A137" s="186">
        <v>134</v>
      </c>
      <c r="B137" s="242" t="s">
        <v>498</v>
      </c>
      <c r="C137" s="114">
        <v>39269</v>
      </c>
      <c r="D137" s="127" t="s">
        <v>73</v>
      </c>
      <c r="E137" s="127" t="s">
        <v>135</v>
      </c>
      <c r="F137" s="337" t="s">
        <v>20</v>
      </c>
      <c r="G137" s="337" t="s">
        <v>37</v>
      </c>
      <c r="H137" s="244">
        <v>9858.44</v>
      </c>
      <c r="I137" s="364">
        <v>1395</v>
      </c>
      <c r="J137" s="288">
        <f t="shared" si="9"/>
        <v>7.066982078853047</v>
      </c>
      <c r="K137" s="448"/>
      <c r="L137" s="423"/>
      <c r="M137" s="424"/>
      <c r="N137" s="424"/>
    </row>
    <row r="138" spans="1:14" s="79" customFormat="1" ht="15">
      <c r="A138" s="186">
        <v>135</v>
      </c>
      <c r="B138" s="242" t="s">
        <v>417</v>
      </c>
      <c r="C138" s="114">
        <v>39227</v>
      </c>
      <c r="D138" s="125" t="s">
        <v>291</v>
      </c>
      <c r="E138" s="127" t="s">
        <v>418</v>
      </c>
      <c r="F138" s="337" t="s">
        <v>37</v>
      </c>
      <c r="G138" s="337" t="s">
        <v>429</v>
      </c>
      <c r="H138" s="244">
        <v>6608</v>
      </c>
      <c r="I138" s="364">
        <v>876</v>
      </c>
      <c r="J138" s="288">
        <f t="shared" si="9"/>
        <v>7.54337899543379</v>
      </c>
      <c r="K138" s="441"/>
      <c r="L138" s="421"/>
      <c r="M138" s="422"/>
      <c r="N138" s="422"/>
    </row>
    <row r="139" spans="1:14" s="79" customFormat="1" ht="15.75" thickBot="1">
      <c r="A139" s="186">
        <v>136</v>
      </c>
      <c r="B139" s="456" t="s">
        <v>488</v>
      </c>
      <c r="C139" s="362">
        <v>39262</v>
      </c>
      <c r="D139" s="459" t="s">
        <v>291</v>
      </c>
      <c r="E139" s="460" t="s">
        <v>489</v>
      </c>
      <c r="F139" s="461" t="s">
        <v>37</v>
      </c>
      <c r="G139" s="461" t="s">
        <v>365</v>
      </c>
      <c r="H139" s="462">
        <v>4952</v>
      </c>
      <c r="I139" s="463">
        <v>517</v>
      </c>
      <c r="J139" s="439">
        <f t="shared" si="9"/>
        <v>9.578336557059961</v>
      </c>
      <c r="K139" s="443"/>
      <c r="L139" s="423"/>
      <c r="M139" s="424"/>
      <c r="N139" s="424"/>
    </row>
    <row r="140" spans="1:12" s="131" customFormat="1" ht="15">
      <c r="A140" s="530" t="s">
        <v>50</v>
      </c>
      <c r="B140" s="531"/>
      <c r="C140" s="180"/>
      <c r="D140" s="180"/>
      <c r="E140" s="180"/>
      <c r="F140" s="181"/>
      <c r="G140" s="180"/>
      <c r="H140" s="182">
        <f>SUM(H4:H139)</f>
        <v>132789413.88000001</v>
      </c>
      <c r="I140" s="183">
        <f>SUM(I4:I139)</f>
        <v>17162627</v>
      </c>
      <c r="J140" s="184">
        <f>H140/I140</f>
        <v>7.737126366493895</v>
      </c>
      <c r="K140" s="411"/>
      <c r="L140" s="404"/>
    </row>
    <row r="141" spans="1:12" s="80" customFormat="1" ht="13.5" thickBot="1">
      <c r="A141" s="89"/>
      <c r="B141" s="81"/>
      <c r="C141" s="82"/>
      <c r="D141" s="82"/>
      <c r="E141" s="82"/>
      <c r="F141" s="82"/>
      <c r="G141" s="82"/>
      <c r="H141" s="83"/>
      <c r="I141" s="96"/>
      <c r="J141" s="84"/>
      <c r="K141" s="412"/>
      <c r="L141" s="405"/>
    </row>
    <row r="142" spans="1:12" s="79" customFormat="1" ht="14.25">
      <c r="A142" s="98"/>
      <c r="B142" s="521" t="s">
        <v>1</v>
      </c>
      <c r="C142" s="521"/>
      <c r="D142" s="501" t="s">
        <v>28</v>
      </c>
      <c r="E142" s="52"/>
      <c r="F142" s="501"/>
      <c r="G142" s="501"/>
      <c r="H142" s="524" t="s">
        <v>5</v>
      </c>
      <c r="I142" s="525"/>
      <c r="J142" s="526" t="s">
        <v>109</v>
      </c>
      <c r="K142" s="410"/>
      <c r="L142" s="403"/>
    </row>
    <row r="143" spans="1:12" s="79" customFormat="1" ht="15" thickBot="1">
      <c r="A143" s="100"/>
      <c r="B143" s="522"/>
      <c r="C143" s="522"/>
      <c r="D143" s="523"/>
      <c r="E143" s="99"/>
      <c r="F143" s="523"/>
      <c r="G143" s="523"/>
      <c r="H143" s="76" t="s">
        <v>110</v>
      </c>
      <c r="I143" s="77" t="s">
        <v>90</v>
      </c>
      <c r="J143" s="527"/>
      <c r="K143" s="410"/>
      <c r="L143" s="403"/>
    </row>
    <row r="144" spans="1:12" s="132" customFormat="1" ht="15">
      <c r="A144" s="296">
        <v>1</v>
      </c>
      <c r="B144" s="297" t="s">
        <v>29</v>
      </c>
      <c r="C144" s="298"/>
      <c r="D144" s="298">
        <v>23</v>
      </c>
      <c r="E144" s="298"/>
      <c r="F144" s="299"/>
      <c r="G144" s="298"/>
      <c r="H144" s="300">
        <v>44869499.9</v>
      </c>
      <c r="I144" s="301">
        <v>6294585</v>
      </c>
      <c r="J144" s="302">
        <f>H144/I144</f>
        <v>7.12826975884828</v>
      </c>
      <c r="K144" s="413"/>
      <c r="L144" s="406"/>
    </row>
    <row r="145" spans="1:12" s="132" customFormat="1" ht="15.75" thickBot="1">
      <c r="A145" s="303">
        <v>2</v>
      </c>
      <c r="B145" s="304" t="s">
        <v>30</v>
      </c>
      <c r="C145" s="305"/>
      <c r="D145" s="305">
        <v>113</v>
      </c>
      <c r="E145" s="305"/>
      <c r="F145" s="306"/>
      <c r="G145" s="305"/>
      <c r="H145" s="307">
        <f>H140-H144</f>
        <v>87919913.98000002</v>
      </c>
      <c r="I145" s="308">
        <f>I140-I144</f>
        <v>10868042</v>
      </c>
      <c r="J145" s="309">
        <f>H145/I145</f>
        <v>8.089765753573644</v>
      </c>
      <c r="K145" s="413"/>
      <c r="L145" s="406"/>
    </row>
    <row r="146" spans="1:12" s="133" customFormat="1" ht="15">
      <c r="A146" s="532"/>
      <c r="B146" s="533"/>
      <c r="C146" s="180"/>
      <c r="D146" s="180">
        <f>SUM(D144:D145)</f>
        <v>136</v>
      </c>
      <c r="E146" s="180"/>
      <c r="F146" s="181"/>
      <c r="G146" s="180"/>
      <c r="H146" s="182">
        <f>SUM(H144:H145)</f>
        <v>132789413.88000003</v>
      </c>
      <c r="I146" s="108">
        <f>SUM(I144:I145)</f>
        <v>17162627</v>
      </c>
      <c r="J146" s="184"/>
      <c r="K146" s="414"/>
      <c r="L146" s="407"/>
    </row>
    <row r="147" spans="1:14" s="134" customFormat="1" ht="15">
      <c r="A147" s="159">
        <v>1</v>
      </c>
      <c r="B147" s="126" t="s">
        <v>119</v>
      </c>
      <c r="C147" s="137"/>
      <c r="D147" s="116"/>
      <c r="E147" s="116"/>
      <c r="F147" s="118"/>
      <c r="G147" s="116"/>
      <c r="H147" s="139">
        <v>6770357.1</v>
      </c>
      <c r="I147" s="120">
        <v>1043340</v>
      </c>
      <c r="J147" s="157">
        <f>H147/I147</f>
        <v>6.489118695727184</v>
      </c>
      <c r="K147" s="413"/>
      <c r="L147" s="406"/>
      <c r="M147" s="387"/>
      <c r="N147" s="437"/>
    </row>
    <row r="148" spans="1:14" s="134" customFormat="1" ht="15">
      <c r="A148" s="159">
        <v>2</v>
      </c>
      <c r="B148" s="126" t="s">
        <v>120</v>
      </c>
      <c r="C148" s="137"/>
      <c r="D148" s="116"/>
      <c r="E148" s="116"/>
      <c r="F148" s="118"/>
      <c r="G148" s="116"/>
      <c r="H148" s="139">
        <v>3669552.3</v>
      </c>
      <c r="I148" s="120">
        <v>511958</v>
      </c>
      <c r="J148" s="157">
        <f>H148/I148</f>
        <v>7.167682309876982</v>
      </c>
      <c r="K148" s="413"/>
      <c r="L148" s="406"/>
      <c r="M148" s="436"/>
      <c r="N148" s="437"/>
    </row>
    <row r="149" spans="1:12" s="49" customFormat="1" ht="15">
      <c r="A149" s="160"/>
      <c r="B149" s="138"/>
      <c r="C149" s="135"/>
      <c r="D149" s="135" t="s">
        <v>526</v>
      </c>
      <c r="E149" s="135"/>
      <c r="F149" s="136"/>
      <c r="G149" s="135"/>
      <c r="H149" s="45">
        <f>SUM(H147:H148)</f>
        <v>10439909.399999999</v>
      </c>
      <c r="I149" s="92">
        <f>SUM(I147:I148)</f>
        <v>1555298</v>
      </c>
      <c r="J149" s="158"/>
      <c r="K149" s="415"/>
      <c r="L149" s="408"/>
    </row>
    <row r="150" spans="1:11" s="132" customFormat="1" ht="15.75" thickBot="1">
      <c r="A150" s="161"/>
      <c r="B150" s="162" t="s">
        <v>134</v>
      </c>
      <c r="C150" s="185"/>
      <c r="D150" s="162"/>
      <c r="E150" s="162"/>
      <c r="F150" s="162"/>
      <c r="G150" s="162"/>
      <c r="H150" s="163">
        <f>H146+H149</f>
        <v>143229323.28000003</v>
      </c>
      <c r="I150" s="164">
        <f>I146+I149</f>
        <v>18717925</v>
      </c>
      <c r="J150" s="165"/>
      <c r="K150" s="417"/>
    </row>
    <row r="151" ht="15">
      <c r="K151" s="419"/>
    </row>
    <row r="152" spans="3:10" ht="12.75">
      <c r="C152" s="506" t="s">
        <v>31</v>
      </c>
      <c r="D152" s="506"/>
      <c r="E152" s="506"/>
      <c r="F152" s="506"/>
      <c r="G152" s="506"/>
      <c r="H152" s="506"/>
      <c r="I152" s="506"/>
      <c r="J152" s="506"/>
    </row>
    <row r="153" spans="3:11" ht="15">
      <c r="C153" s="506"/>
      <c r="D153" s="506"/>
      <c r="E153" s="506"/>
      <c r="F153" s="506"/>
      <c r="G153" s="506"/>
      <c r="H153" s="506"/>
      <c r="I153" s="506"/>
      <c r="J153" s="506"/>
      <c r="K153" s="418"/>
    </row>
    <row r="154" spans="3:11" ht="15">
      <c r="C154" s="506"/>
      <c r="D154" s="506"/>
      <c r="E154" s="506"/>
      <c r="F154" s="506"/>
      <c r="G154" s="506"/>
      <c r="H154" s="506"/>
      <c r="I154" s="506"/>
      <c r="J154" s="506"/>
      <c r="K154" s="420"/>
    </row>
    <row r="155" spans="3:10" ht="12.75">
      <c r="C155" s="506"/>
      <c r="D155" s="506"/>
      <c r="E155" s="506"/>
      <c r="F155" s="506"/>
      <c r="G155" s="506"/>
      <c r="H155" s="506"/>
      <c r="I155" s="506"/>
      <c r="J155" s="506"/>
    </row>
    <row r="156" spans="3:10" ht="12.75">
      <c r="C156" s="506"/>
      <c r="D156" s="506"/>
      <c r="E156" s="506"/>
      <c r="F156" s="506"/>
      <c r="G156" s="506"/>
      <c r="H156" s="506"/>
      <c r="I156" s="506"/>
      <c r="J156" s="506"/>
    </row>
    <row r="157" spans="3:10" ht="12.75">
      <c r="C157" s="506"/>
      <c r="D157" s="506"/>
      <c r="E157" s="506"/>
      <c r="F157" s="506"/>
      <c r="G157" s="506"/>
      <c r="H157" s="506"/>
      <c r="I157" s="506"/>
      <c r="J157" s="506"/>
    </row>
    <row r="158" spans="3:10" ht="12.75">
      <c r="C158" s="102"/>
      <c r="D158" s="88"/>
      <c r="E158" s="88"/>
      <c r="F158" s="88"/>
      <c r="G158" s="88"/>
      <c r="H158" s="121"/>
      <c r="I158" s="121"/>
      <c r="J158" s="88"/>
    </row>
    <row r="159" spans="3:10" ht="12.75">
      <c r="C159" s="528" t="s">
        <v>19</v>
      </c>
      <c r="D159" s="528"/>
      <c r="E159" s="528"/>
      <c r="F159" s="528"/>
      <c r="G159" s="528"/>
      <c r="H159" s="528"/>
      <c r="I159" s="528"/>
      <c r="J159" s="528"/>
    </row>
    <row r="160" spans="3:10" ht="12.75">
      <c r="C160" s="528"/>
      <c r="D160" s="528"/>
      <c r="E160" s="528"/>
      <c r="F160" s="528"/>
      <c r="G160" s="528"/>
      <c r="H160" s="528"/>
      <c r="I160" s="528"/>
      <c r="J160" s="528"/>
    </row>
    <row r="161" spans="3:10" ht="12.75">
      <c r="C161" s="528"/>
      <c r="D161" s="528"/>
      <c r="E161" s="528"/>
      <c r="F161" s="528"/>
      <c r="G161" s="528"/>
      <c r="H161" s="528"/>
      <c r="I161" s="528"/>
      <c r="J161" s="528"/>
    </row>
    <row r="162" spans="3:10" ht="12.75">
      <c r="C162" s="528"/>
      <c r="D162" s="528"/>
      <c r="E162" s="528"/>
      <c r="F162" s="528"/>
      <c r="G162" s="528"/>
      <c r="H162" s="528"/>
      <c r="I162" s="528"/>
      <c r="J162" s="528"/>
    </row>
    <row r="163" spans="3:10" ht="12.75">
      <c r="C163" s="528"/>
      <c r="D163" s="528"/>
      <c r="E163" s="528"/>
      <c r="F163" s="528"/>
      <c r="G163" s="528"/>
      <c r="H163" s="528"/>
      <c r="I163" s="528"/>
      <c r="J163" s="528"/>
    </row>
    <row r="164" spans="3:10" ht="12.75">
      <c r="C164" s="528"/>
      <c r="D164" s="528"/>
      <c r="E164" s="528"/>
      <c r="F164" s="528"/>
      <c r="G164" s="528"/>
      <c r="H164" s="528"/>
      <c r="I164" s="528"/>
      <c r="J164" s="528"/>
    </row>
    <row r="165" spans="3:10" ht="12.75">
      <c r="C165" s="528"/>
      <c r="D165" s="528"/>
      <c r="E165" s="528"/>
      <c r="F165" s="528"/>
      <c r="G165" s="528"/>
      <c r="H165" s="528"/>
      <c r="I165" s="528"/>
      <c r="J165" s="528"/>
    </row>
    <row r="167" spans="8:9" ht="12.75">
      <c r="H167" s="373"/>
      <c r="I167" s="374"/>
    </row>
    <row r="168" spans="8:9" ht="12.75">
      <c r="H168" s="373"/>
      <c r="I168" s="374"/>
    </row>
    <row r="169" spans="8:9" ht="12.75">
      <c r="H169" s="375"/>
      <c r="I169" s="376"/>
    </row>
    <row r="170" spans="8:9" ht="12.75">
      <c r="H170" s="375"/>
      <c r="I170" s="376"/>
    </row>
    <row r="171" spans="8:9" ht="12.75">
      <c r="H171" s="377"/>
      <c r="I171" s="378"/>
    </row>
    <row r="172" spans="8:9" ht="12.75">
      <c r="H172" s="377"/>
      <c r="I172" s="378"/>
    </row>
    <row r="173" spans="8:9" ht="12.75">
      <c r="H173" s="373"/>
      <c r="I173" s="374"/>
    </row>
    <row r="174" spans="8:9" ht="12.75">
      <c r="H174" s="373"/>
      <c r="I174" s="374"/>
    </row>
    <row r="175" spans="8:9" ht="12.75">
      <c r="H175" s="373"/>
      <c r="I175" s="374"/>
    </row>
    <row r="176" spans="8:9" ht="12.75">
      <c r="H176" s="373"/>
      <c r="I176" s="374"/>
    </row>
    <row r="177" spans="8:9" ht="12.75">
      <c r="H177" s="373"/>
      <c r="I177" s="374"/>
    </row>
    <row r="178" spans="8:9" ht="12.75">
      <c r="H178" s="373"/>
      <c r="I178" s="374"/>
    </row>
    <row r="179" spans="8:9" ht="12.75">
      <c r="H179" s="373"/>
      <c r="I179" s="374"/>
    </row>
    <row r="180" spans="8:9" ht="12.75">
      <c r="H180" s="373"/>
      <c r="I180" s="374"/>
    </row>
    <row r="181" spans="8:9" ht="12.75">
      <c r="H181" s="373"/>
      <c r="I181" s="374"/>
    </row>
    <row r="182" spans="8:9" ht="12.75">
      <c r="H182" s="373"/>
      <c r="I182" s="374"/>
    </row>
    <row r="183" spans="8:9" ht="12.75">
      <c r="H183" s="373"/>
      <c r="I183" s="374"/>
    </row>
    <row r="184" spans="8:9" ht="12.75">
      <c r="H184" s="373"/>
      <c r="I184" s="374"/>
    </row>
    <row r="185" spans="8:9" ht="12.75">
      <c r="H185" s="373"/>
      <c r="I185" s="374"/>
    </row>
  </sheetData>
  <sheetProtection/>
  <mergeCells count="20">
    <mergeCell ref="A1:J1"/>
    <mergeCell ref="A140:B140"/>
    <mergeCell ref="A146:B146"/>
    <mergeCell ref="B2:B3"/>
    <mergeCell ref="C2:C3"/>
    <mergeCell ref="D2:D3"/>
    <mergeCell ref="E2:E3"/>
    <mergeCell ref="F2:F3"/>
    <mergeCell ref="J2:J3"/>
    <mergeCell ref="G142:G143"/>
    <mergeCell ref="H142:I142"/>
    <mergeCell ref="J142:J143"/>
    <mergeCell ref="C152:J157"/>
    <mergeCell ref="C159:J165"/>
    <mergeCell ref="B142:B143"/>
    <mergeCell ref="C142:C143"/>
    <mergeCell ref="D142:D143"/>
    <mergeCell ref="F142:F143"/>
    <mergeCell ref="G2:G3"/>
    <mergeCell ref="H2:I2"/>
  </mergeCells>
  <printOptions/>
  <pageMargins left="0.87" right="0.58" top="0.18" bottom="0.57" header="0.11811023622047245" footer="0.5"/>
  <pageSetup orientation="portrait" paperSize="9" scale="50" r:id="rId1"/>
  <ignoredErrors>
    <ignoredError sqref="F11:G124 H123:H124 F126:G140" numberStoredAsText="1"/>
    <ignoredError sqref="H7:H10 I7:I122 J7:J24" unlockedFormula="1"/>
    <ignoredError sqref="H11:H122 J25:J122" numberStoredAsText="1" unlockedFormula="1"/>
    <ignoredError sqref="J25:J122" formula="1" unlockedFormula="1"/>
    <ignoredError sqref="J123:J132" formula="1"/>
  </ignoredErrors>
</worksheet>
</file>

<file path=xl/worksheets/sheet3.xml><?xml version="1.0" encoding="utf-8"?>
<worksheet xmlns="http://schemas.openxmlformats.org/spreadsheetml/2006/main" xmlns:r="http://schemas.openxmlformats.org/officeDocument/2006/relationships">
  <dimension ref="A1:I620"/>
  <sheetViews>
    <sheetView zoomScale="80" zoomScaleNormal="80" zoomScalePageLayoutView="0" workbookViewId="0" topLeftCell="A1">
      <selection activeCell="B2" sqref="B2:B3"/>
    </sheetView>
  </sheetViews>
  <sheetFormatPr defaultColWidth="9.140625" defaultRowHeight="12.75"/>
  <cols>
    <col min="1" max="1" width="3.8515625" style="0" customWidth="1"/>
    <col min="2" max="2" width="47.421875" style="0" bestFit="1" customWidth="1"/>
    <col min="3" max="3" width="15.28125" style="335" bestFit="1" customWidth="1"/>
    <col min="4" max="4" width="14.421875" style="0" bestFit="1" customWidth="1"/>
    <col min="5" max="5" width="20.140625" style="0" bestFit="1" customWidth="1"/>
    <col min="6" max="6" width="15.421875" style="260" bestFit="1" customWidth="1"/>
    <col min="7" max="7" width="11.7109375" style="169" customWidth="1"/>
    <col min="8" max="8" width="11.421875" style="0" bestFit="1" customWidth="1"/>
  </cols>
  <sheetData>
    <row r="1" spans="1:7" ht="33.75" thickBot="1">
      <c r="A1" s="537" t="s">
        <v>505</v>
      </c>
      <c r="B1" s="538"/>
      <c r="C1" s="538"/>
      <c r="D1" s="538"/>
      <c r="E1" s="538"/>
      <c r="F1" s="538"/>
      <c r="G1" s="538"/>
    </row>
    <row r="2" spans="1:7" ht="14.25">
      <c r="A2" s="94"/>
      <c r="B2" s="539" t="s">
        <v>1</v>
      </c>
      <c r="C2" s="539" t="s">
        <v>107</v>
      </c>
      <c r="D2" s="539" t="s">
        <v>54</v>
      </c>
      <c r="E2" s="539" t="s">
        <v>53</v>
      </c>
      <c r="F2" s="497" t="s">
        <v>205</v>
      </c>
      <c r="G2" s="541"/>
    </row>
    <row r="3" spans="1:7" ht="15" thickBot="1">
      <c r="A3" s="95"/>
      <c r="B3" s="540"/>
      <c r="C3" s="540"/>
      <c r="D3" s="540"/>
      <c r="E3" s="540"/>
      <c r="F3" s="272" t="s">
        <v>110</v>
      </c>
      <c r="G3" s="273" t="s">
        <v>90</v>
      </c>
    </row>
    <row r="4" spans="1:7" ht="15">
      <c r="A4" s="490">
        <v>1</v>
      </c>
      <c r="B4" s="359" t="s">
        <v>219</v>
      </c>
      <c r="C4" s="178">
        <v>38996</v>
      </c>
      <c r="D4" s="360" t="s">
        <v>23</v>
      </c>
      <c r="E4" s="361" t="s">
        <v>186</v>
      </c>
      <c r="F4" s="246">
        <v>1664</v>
      </c>
      <c r="G4" s="187">
        <v>416</v>
      </c>
    </row>
    <row r="5" spans="1:7" ht="15">
      <c r="A5" s="491">
        <v>2</v>
      </c>
      <c r="B5" s="326" t="s">
        <v>219</v>
      </c>
      <c r="C5" s="115">
        <v>38996</v>
      </c>
      <c r="D5" s="172" t="s">
        <v>23</v>
      </c>
      <c r="E5" s="172" t="s">
        <v>186</v>
      </c>
      <c r="F5" s="243">
        <v>1188</v>
      </c>
      <c r="G5" s="189">
        <v>297</v>
      </c>
    </row>
    <row r="6" spans="1:7" ht="15">
      <c r="A6" s="491">
        <v>3</v>
      </c>
      <c r="B6" s="241" t="s">
        <v>219</v>
      </c>
      <c r="C6" s="115">
        <v>38996</v>
      </c>
      <c r="D6" s="130" t="s">
        <v>23</v>
      </c>
      <c r="E6" s="129" t="s">
        <v>186</v>
      </c>
      <c r="F6" s="243">
        <v>247</v>
      </c>
      <c r="G6" s="189">
        <v>45</v>
      </c>
    </row>
    <row r="7" spans="1:7" ht="15">
      <c r="A7" s="491">
        <v>4</v>
      </c>
      <c r="B7" s="241" t="s">
        <v>219</v>
      </c>
      <c r="C7" s="115">
        <v>38996</v>
      </c>
      <c r="D7" s="130" t="s">
        <v>23</v>
      </c>
      <c r="E7" s="129" t="s">
        <v>186</v>
      </c>
      <c r="F7" s="247">
        <v>170</v>
      </c>
      <c r="G7" s="189">
        <v>34</v>
      </c>
    </row>
    <row r="8" spans="1:7" ht="15">
      <c r="A8" s="491">
        <v>5</v>
      </c>
      <c r="B8" s="145" t="s">
        <v>219</v>
      </c>
      <c r="C8" s="115">
        <v>38996</v>
      </c>
      <c r="D8" s="130" t="s">
        <v>23</v>
      </c>
      <c r="E8" s="129" t="s">
        <v>186</v>
      </c>
      <c r="F8" s="243">
        <v>104</v>
      </c>
      <c r="G8" s="189">
        <v>40</v>
      </c>
    </row>
    <row r="9" spans="1:7" ht="15">
      <c r="A9" s="491">
        <v>6</v>
      </c>
      <c r="B9" s="145" t="s">
        <v>219</v>
      </c>
      <c r="C9" s="115">
        <v>38996</v>
      </c>
      <c r="D9" s="130" t="s">
        <v>23</v>
      </c>
      <c r="E9" s="129" t="s">
        <v>186</v>
      </c>
      <c r="F9" s="243">
        <v>34</v>
      </c>
      <c r="G9" s="189">
        <v>6</v>
      </c>
    </row>
    <row r="10" spans="1:7" ht="15">
      <c r="A10" s="491">
        <v>7</v>
      </c>
      <c r="B10" s="239" t="s">
        <v>479</v>
      </c>
      <c r="C10" s="114">
        <v>38989</v>
      </c>
      <c r="D10" s="125" t="s">
        <v>56</v>
      </c>
      <c r="E10" s="124" t="s">
        <v>480</v>
      </c>
      <c r="F10" s="253">
        <v>10500</v>
      </c>
      <c r="G10" s="192">
        <v>3500</v>
      </c>
    </row>
    <row r="11" spans="1:7" ht="15">
      <c r="A11" s="491">
        <v>8</v>
      </c>
      <c r="B11" s="241" t="s">
        <v>481</v>
      </c>
      <c r="C11" s="115">
        <v>38912</v>
      </c>
      <c r="D11" s="130" t="s">
        <v>23</v>
      </c>
      <c r="E11" s="129" t="s">
        <v>201</v>
      </c>
      <c r="F11" s="243">
        <v>504</v>
      </c>
      <c r="G11" s="189">
        <v>126</v>
      </c>
    </row>
    <row r="12" spans="1:7" ht="15">
      <c r="A12" s="491">
        <v>9</v>
      </c>
      <c r="B12" s="144" t="s">
        <v>363</v>
      </c>
      <c r="C12" s="115">
        <v>38982</v>
      </c>
      <c r="D12" s="274" t="s">
        <v>66</v>
      </c>
      <c r="E12" s="274" t="s">
        <v>66</v>
      </c>
      <c r="F12" s="243">
        <v>405</v>
      </c>
      <c r="G12" s="189">
        <v>81</v>
      </c>
    </row>
    <row r="13" spans="1:7" ht="15">
      <c r="A13" s="491">
        <v>10</v>
      </c>
      <c r="B13" s="326" t="s">
        <v>363</v>
      </c>
      <c r="C13" s="115">
        <v>38982</v>
      </c>
      <c r="D13" s="172" t="s">
        <v>66</v>
      </c>
      <c r="E13" s="172" t="s">
        <v>66</v>
      </c>
      <c r="F13" s="243">
        <v>221</v>
      </c>
      <c r="G13" s="189">
        <v>60</v>
      </c>
    </row>
    <row r="14" spans="1:7" ht="15">
      <c r="A14" s="491">
        <v>11</v>
      </c>
      <c r="B14" s="241" t="s">
        <v>24</v>
      </c>
      <c r="C14" s="115">
        <v>38849</v>
      </c>
      <c r="D14" s="130" t="s">
        <v>23</v>
      </c>
      <c r="E14" s="129" t="s">
        <v>25</v>
      </c>
      <c r="F14" s="243">
        <v>2852</v>
      </c>
      <c r="G14" s="189">
        <v>713</v>
      </c>
    </row>
    <row r="15" spans="1:7" ht="15">
      <c r="A15" s="491">
        <v>12</v>
      </c>
      <c r="B15" s="241" t="s">
        <v>24</v>
      </c>
      <c r="C15" s="115">
        <v>38849</v>
      </c>
      <c r="D15" s="130" t="s">
        <v>23</v>
      </c>
      <c r="E15" s="129" t="s">
        <v>25</v>
      </c>
      <c r="F15" s="243">
        <v>1664</v>
      </c>
      <c r="G15" s="189">
        <v>416</v>
      </c>
    </row>
    <row r="16" spans="1:7" ht="15">
      <c r="A16" s="491">
        <v>13</v>
      </c>
      <c r="B16" s="241" t="s">
        <v>24</v>
      </c>
      <c r="C16" s="115">
        <v>38849</v>
      </c>
      <c r="D16" s="130" t="s">
        <v>23</v>
      </c>
      <c r="E16" s="129" t="s">
        <v>25</v>
      </c>
      <c r="F16" s="243">
        <v>832</v>
      </c>
      <c r="G16" s="189">
        <v>208</v>
      </c>
    </row>
    <row r="17" spans="1:7" ht="15">
      <c r="A17" s="491">
        <v>14</v>
      </c>
      <c r="B17" s="145" t="s">
        <v>24</v>
      </c>
      <c r="C17" s="115">
        <v>38849</v>
      </c>
      <c r="D17" s="268" t="s">
        <v>23</v>
      </c>
      <c r="E17" s="269" t="s">
        <v>25</v>
      </c>
      <c r="F17" s="247">
        <v>75.5</v>
      </c>
      <c r="G17" s="154">
        <v>29</v>
      </c>
    </row>
    <row r="18" spans="1:7" ht="15">
      <c r="A18" s="491">
        <v>15</v>
      </c>
      <c r="B18" s="176" t="s">
        <v>24</v>
      </c>
      <c r="C18" s="115">
        <v>38849</v>
      </c>
      <c r="D18" s="172" t="s">
        <v>23</v>
      </c>
      <c r="E18" s="172" t="s">
        <v>25</v>
      </c>
      <c r="F18" s="243">
        <v>36</v>
      </c>
      <c r="G18" s="189">
        <v>7</v>
      </c>
    </row>
    <row r="19" spans="1:7" ht="15">
      <c r="A19" s="491">
        <v>16</v>
      </c>
      <c r="B19" s="145" t="s">
        <v>24</v>
      </c>
      <c r="C19" s="115">
        <v>38849</v>
      </c>
      <c r="D19" s="130" t="s">
        <v>23</v>
      </c>
      <c r="E19" s="129" t="s">
        <v>25</v>
      </c>
      <c r="F19" s="247">
        <v>27</v>
      </c>
      <c r="G19" s="154">
        <v>5</v>
      </c>
    </row>
    <row r="20" spans="1:7" ht="15">
      <c r="A20" s="491">
        <v>17</v>
      </c>
      <c r="B20" s="242" t="s">
        <v>220</v>
      </c>
      <c r="C20" s="114">
        <v>38743</v>
      </c>
      <c r="D20" s="127" t="s">
        <v>45</v>
      </c>
      <c r="E20" s="127" t="s">
        <v>221</v>
      </c>
      <c r="F20" s="244">
        <v>297</v>
      </c>
      <c r="G20" s="188">
        <v>99</v>
      </c>
    </row>
    <row r="21" spans="1:7" ht="15">
      <c r="A21" s="491">
        <v>18</v>
      </c>
      <c r="B21" s="242" t="s">
        <v>220</v>
      </c>
      <c r="C21" s="114">
        <v>38743</v>
      </c>
      <c r="D21" s="127" t="s">
        <v>45</v>
      </c>
      <c r="E21" s="127" t="s">
        <v>221</v>
      </c>
      <c r="F21" s="244">
        <v>225</v>
      </c>
      <c r="G21" s="188">
        <v>75</v>
      </c>
    </row>
    <row r="22" spans="1:7" ht="15">
      <c r="A22" s="491">
        <v>19</v>
      </c>
      <c r="B22" s="142" t="s">
        <v>104</v>
      </c>
      <c r="C22" s="114">
        <v>38968</v>
      </c>
      <c r="D22" s="125" t="s">
        <v>56</v>
      </c>
      <c r="E22" s="124" t="s">
        <v>11</v>
      </c>
      <c r="F22" s="244">
        <v>1950</v>
      </c>
      <c r="G22" s="188">
        <v>531</v>
      </c>
    </row>
    <row r="23" spans="1:7" ht="15">
      <c r="A23" s="491">
        <v>20</v>
      </c>
      <c r="B23" s="239" t="s">
        <v>104</v>
      </c>
      <c r="C23" s="114">
        <v>38968</v>
      </c>
      <c r="D23" s="125" t="s">
        <v>56</v>
      </c>
      <c r="E23" s="124" t="s">
        <v>11</v>
      </c>
      <c r="F23" s="244">
        <v>1946</v>
      </c>
      <c r="G23" s="188">
        <v>529</v>
      </c>
    </row>
    <row r="24" spans="1:7" ht="15">
      <c r="A24" s="491">
        <v>21</v>
      </c>
      <c r="B24" s="142" t="s">
        <v>104</v>
      </c>
      <c r="C24" s="114">
        <v>38968</v>
      </c>
      <c r="D24" s="125" t="s">
        <v>56</v>
      </c>
      <c r="E24" s="124" t="s">
        <v>11</v>
      </c>
      <c r="F24" s="248">
        <v>1728</v>
      </c>
      <c r="G24" s="151">
        <v>313</v>
      </c>
    </row>
    <row r="25" spans="1:7" ht="15">
      <c r="A25" s="491">
        <v>22</v>
      </c>
      <c r="B25" s="175" t="s">
        <v>104</v>
      </c>
      <c r="C25" s="114">
        <v>38968</v>
      </c>
      <c r="D25" s="173" t="s">
        <v>56</v>
      </c>
      <c r="E25" s="173" t="s">
        <v>11</v>
      </c>
      <c r="F25" s="244">
        <v>1727</v>
      </c>
      <c r="G25" s="188">
        <v>487</v>
      </c>
    </row>
    <row r="26" spans="1:7" ht="15">
      <c r="A26" s="491">
        <v>23</v>
      </c>
      <c r="B26" s="142" t="s">
        <v>104</v>
      </c>
      <c r="C26" s="114">
        <v>38968</v>
      </c>
      <c r="D26" s="125" t="s">
        <v>56</v>
      </c>
      <c r="E26" s="124" t="s">
        <v>11</v>
      </c>
      <c r="F26" s="244">
        <v>1662</v>
      </c>
      <c r="G26" s="188">
        <v>474</v>
      </c>
    </row>
    <row r="27" spans="1:7" ht="15">
      <c r="A27" s="491">
        <v>24</v>
      </c>
      <c r="B27" s="145" t="s">
        <v>22</v>
      </c>
      <c r="C27" s="115">
        <v>38996</v>
      </c>
      <c r="D27" s="130" t="s">
        <v>23</v>
      </c>
      <c r="E27" s="129" t="s">
        <v>93</v>
      </c>
      <c r="F27" s="247">
        <v>209.6</v>
      </c>
      <c r="G27" s="154">
        <v>131</v>
      </c>
    </row>
    <row r="28" spans="1:7" ht="15">
      <c r="A28" s="491">
        <v>25</v>
      </c>
      <c r="B28" s="143" t="s">
        <v>116</v>
      </c>
      <c r="C28" s="146">
        <v>39073</v>
      </c>
      <c r="D28" s="141" t="s">
        <v>66</v>
      </c>
      <c r="E28" s="141" t="s">
        <v>66</v>
      </c>
      <c r="F28" s="249">
        <v>155630</v>
      </c>
      <c r="G28" s="152">
        <v>18932</v>
      </c>
    </row>
    <row r="29" spans="1:7" ht="15">
      <c r="A29" s="491">
        <v>26</v>
      </c>
      <c r="B29" s="176" t="s">
        <v>116</v>
      </c>
      <c r="C29" s="115">
        <v>39073</v>
      </c>
      <c r="D29" s="172" t="s">
        <v>66</v>
      </c>
      <c r="E29" s="172" t="s">
        <v>66</v>
      </c>
      <c r="F29" s="243">
        <v>55982</v>
      </c>
      <c r="G29" s="189">
        <v>7628</v>
      </c>
    </row>
    <row r="30" spans="1:7" ht="15">
      <c r="A30" s="491">
        <v>27</v>
      </c>
      <c r="B30" s="144" t="s">
        <v>116</v>
      </c>
      <c r="C30" s="115">
        <v>39073</v>
      </c>
      <c r="D30" s="141" t="s">
        <v>66</v>
      </c>
      <c r="E30" s="172" t="s">
        <v>66</v>
      </c>
      <c r="F30" s="243">
        <v>15271</v>
      </c>
      <c r="G30" s="189">
        <v>2641</v>
      </c>
    </row>
    <row r="31" spans="1:7" ht="15">
      <c r="A31" s="491">
        <v>28</v>
      </c>
      <c r="B31" s="240" t="s">
        <v>116</v>
      </c>
      <c r="C31" s="115">
        <v>39073</v>
      </c>
      <c r="D31" s="126" t="s">
        <v>58</v>
      </c>
      <c r="E31" s="126" t="s">
        <v>66</v>
      </c>
      <c r="F31" s="247">
        <v>11300.5</v>
      </c>
      <c r="G31" s="189">
        <v>2010</v>
      </c>
    </row>
    <row r="32" spans="1:7" ht="15">
      <c r="A32" s="491">
        <v>29</v>
      </c>
      <c r="B32" s="144" t="s">
        <v>116</v>
      </c>
      <c r="C32" s="115">
        <v>39073</v>
      </c>
      <c r="D32" s="126" t="s">
        <v>66</v>
      </c>
      <c r="E32" s="126" t="s">
        <v>66</v>
      </c>
      <c r="F32" s="243">
        <v>9440</v>
      </c>
      <c r="G32" s="189">
        <v>1724</v>
      </c>
    </row>
    <row r="33" spans="1:7" ht="15">
      <c r="A33" s="491">
        <v>30</v>
      </c>
      <c r="B33" s="240" t="s">
        <v>116</v>
      </c>
      <c r="C33" s="115">
        <v>39073</v>
      </c>
      <c r="D33" s="126" t="s">
        <v>66</v>
      </c>
      <c r="E33" s="126" t="s">
        <v>66</v>
      </c>
      <c r="F33" s="243">
        <v>7453.5</v>
      </c>
      <c r="G33" s="189">
        <v>1317</v>
      </c>
    </row>
    <row r="34" spans="1:7" ht="15">
      <c r="A34" s="491">
        <v>31</v>
      </c>
      <c r="B34" s="143" t="s">
        <v>116</v>
      </c>
      <c r="C34" s="146">
        <v>39073</v>
      </c>
      <c r="D34" s="266" t="s">
        <v>66</v>
      </c>
      <c r="E34" s="265" t="s">
        <v>66</v>
      </c>
      <c r="F34" s="249">
        <v>7141.5</v>
      </c>
      <c r="G34" s="152">
        <v>1184</v>
      </c>
    </row>
    <row r="35" spans="1:7" ht="15">
      <c r="A35" s="491">
        <v>32</v>
      </c>
      <c r="B35" s="240" t="s">
        <v>116</v>
      </c>
      <c r="C35" s="115">
        <v>39073</v>
      </c>
      <c r="D35" s="126" t="s">
        <v>58</v>
      </c>
      <c r="E35" s="126" t="s">
        <v>66</v>
      </c>
      <c r="F35" s="247">
        <v>4621</v>
      </c>
      <c r="G35" s="154">
        <v>1001</v>
      </c>
    </row>
    <row r="36" spans="1:7" ht="15">
      <c r="A36" s="491">
        <v>33</v>
      </c>
      <c r="B36" s="275" t="s">
        <v>116</v>
      </c>
      <c r="C36" s="146">
        <v>39073</v>
      </c>
      <c r="D36" s="266" t="s">
        <v>66</v>
      </c>
      <c r="E36" s="266" t="s">
        <v>66</v>
      </c>
      <c r="F36" s="249">
        <v>2945</v>
      </c>
      <c r="G36" s="152">
        <v>655</v>
      </c>
    </row>
    <row r="37" spans="1:7" ht="15">
      <c r="A37" s="491">
        <v>34</v>
      </c>
      <c r="B37" s="144" t="s">
        <v>116</v>
      </c>
      <c r="C37" s="115">
        <v>39073</v>
      </c>
      <c r="D37" s="274" t="s">
        <v>58</v>
      </c>
      <c r="E37" s="274" t="s">
        <v>66</v>
      </c>
      <c r="F37" s="243">
        <v>2772.5</v>
      </c>
      <c r="G37" s="189">
        <v>553</v>
      </c>
    </row>
    <row r="38" spans="1:7" ht="15">
      <c r="A38" s="491">
        <v>35</v>
      </c>
      <c r="B38" s="240" t="s">
        <v>116</v>
      </c>
      <c r="C38" s="115">
        <v>39073</v>
      </c>
      <c r="D38" s="126" t="s">
        <v>58</v>
      </c>
      <c r="E38" s="126" t="s">
        <v>66</v>
      </c>
      <c r="F38" s="243">
        <v>431</v>
      </c>
      <c r="G38" s="189">
        <v>131</v>
      </c>
    </row>
    <row r="39" spans="1:7" ht="15">
      <c r="A39" s="491">
        <v>36</v>
      </c>
      <c r="B39" s="240" t="s">
        <v>116</v>
      </c>
      <c r="C39" s="115">
        <v>39073</v>
      </c>
      <c r="D39" s="126" t="s">
        <v>66</v>
      </c>
      <c r="E39" s="126" t="s">
        <v>66</v>
      </c>
      <c r="F39" s="243">
        <v>226</v>
      </c>
      <c r="G39" s="189">
        <v>24</v>
      </c>
    </row>
    <row r="40" spans="1:7" ht="15">
      <c r="A40" s="491">
        <v>37</v>
      </c>
      <c r="B40" s="240" t="s">
        <v>116</v>
      </c>
      <c r="C40" s="115">
        <v>39073</v>
      </c>
      <c r="D40" s="126" t="s">
        <v>12</v>
      </c>
      <c r="E40" s="126" t="s">
        <v>66</v>
      </c>
      <c r="F40" s="243">
        <v>30</v>
      </c>
      <c r="G40" s="189">
        <v>5</v>
      </c>
    </row>
    <row r="41" spans="1:7" ht="15">
      <c r="A41" s="491">
        <v>38</v>
      </c>
      <c r="B41" s="241" t="s">
        <v>322</v>
      </c>
      <c r="C41" s="115">
        <v>38170</v>
      </c>
      <c r="D41" s="311" t="s">
        <v>23</v>
      </c>
      <c r="E41" s="311" t="s">
        <v>196</v>
      </c>
      <c r="F41" s="243">
        <v>476</v>
      </c>
      <c r="G41" s="189">
        <v>119</v>
      </c>
    </row>
    <row r="42" spans="1:7" ht="15">
      <c r="A42" s="491">
        <v>39</v>
      </c>
      <c r="B42" s="240" t="s">
        <v>478</v>
      </c>
      <c r="C42" s="115">
        <v>38674</v>
      </c>
      <c r="D42" s="126" t="s">
        <v>58</v>
      </c>
      <c r="E42" s="126" t="s">
        <v>291</v>
      </c>
      <c r="F42" s="243">
        <v>1782</v>
      </c>
      <c r="G42" s="189">
        <v>357</v>
      </c>
    </row>
    <row r="43" spans="1:7" ht="15">
      <c r="A43" s="491">
        <v>40</v>
      </c>
      <c r="B43" s="240" t="s">
        <v>244</v>
      </c>
      <c r="C43" s="115">
        <v>38674</v>
      </c>
      <c r="D43" s="126" t="s">
        <v>58</v>
      </c>
      <c r="E43" s="126" t="s">
        <v>291</v>
      </c>
      <c r="F43" s="243">
        <v>5035</v>
      </c>
      <c r="G43" s="189">
        <v>1007</v>
      </c>
    </row>
    <row r="44" spans="1:7" ht="15">
      <c r="A44" s="491">
        <v>41</v>
      </c>
      <c r="B44" s="326" t="s">
        <v>244</v>
      </c>
      <c r="C44" s="115">
        <v>38674</v>
      </c>
      <c r="D44" s="172" t="s">
        <v>58</v>
      </c>
      <c r="E44" s="172" t="s">
        <v>291</v>
      </c>
      <c r="F44" s="243">
        <v>4027.5</v>
      </c>
      <c r="G44" s="189">
        <v>806</v>
      </c>
    </row>
    <row r="45" spans="1:7" ht="15">
      <c r="A45" s="491">
        <v>42</v>
      </c>
      <c r="B45" s="240" t="s">
        <v>244</v>
      </c>
      <c r="C45" s="115">
        <v>38674</v>
      </c>
      <c r="D45" s="126" t="s">
        <v>58</v>
      </c>
      <c r="E45" s="126" t="s">
        <v>245</v>
      </c>
      <c r="F45" s="243">
        <v>2013.5</v>
      </c>
      <c r="G45" s="189">
        <v>503</v>
      </c>
    </row>
    <row r="46" spans="1:7" ht="15">
      <c r="A46" s="491">
        <v>43</v>
      </c>
      <c r="B46" s="144" t="s">
        <v>244</v>
      </c>
      <c r="C46" s="115">
        <v>38674</v>
      </c>
      <c r="D46" s="274" t="s">
        <v>58</v>
      </c>
      <c r="E46" s="274" t="s">
        <v>245</v>
      </c>
      <c r="F46" s="243">
        <v>493</v>
      </c>
      <c r="G46" s="189">
        <v>96</v>
      </c>
    </row>
    <row r="47" spans="1:7" ht="15">
      <c r="A47" s="491">
        <v>44</v>
      </c>
      <c r="B47" s="144" t="s">
        <v>35</v>
      </c>
      <c r="C47" s="146">
        <v>39031</v>
      </c>
      <c r="D47" s="266" t="s">
        <v>57</v>
      </c>
      <c r="E47" s="266" t="s">
        <v>71</v>
      </c>
      <c r="F47" s="249">
        <v>175616</v>
      </c>
      <c r="G47" s="152">
        <v>19998</v>
      </c>
    </row>
    <row r="48" spans="1:7" ht="15">
      <c r="A48" s="491">
        <v>45</v>
      </c>
      <c r="B48" s="240" t="s">
        <v>35</v>
      </c>
      <c r="C48" s="115">
        <v>39031</v>
      </c>
      <c r="D48" s="126" t="s">
        <v>57</v>
      </c>
      <c r="E48" s="126" t="s">
        <v>71</v>
      </c>
      <c r="F48" s="243">
        <v>20934</v>
      </c>
      <c r="G48" s="189">
        <v>2628</v>
      </c>
    </row>
    <row r="49" spans="1:7" ht="15">
      <c r="A49" s="491">
        <v>46</v>
      </c>
      <c r="B49" s="240" t="s">
        <v>35</v>
      </c>
      <c r="C49" s="115">
        <v>39031</v>
      </c>
      <c r="D49" s="126" t="s">
        <v>57</v>
      </c>
      <c r="E49" s="126" t="s">
        <v>71</v>
      </c>
      <c r="F49" s="243">
        <v>2709</v>
      </c>
      <c r="G49" s="189">
        <v>376</v>
      </c>
    </row>
    <row r="50" spans="1:7" ht="15">
      <c r="A50" s="491">
        <v>47</v>
      </c>
      <c r="B50" s="143" t="s">
        <v>35</v>
      </c>
      <c r="C50" s="146">
        <v>39031</v>
      </c>
      <c r="D50" s="126" t="s">
        <v>57</v>
      </c>
      <c r="E50" s="141" t="s">
        <v>71</v>
      </c>
      <c r="F50" s="249">
        <v>2367</v>
      </c>
      <c r="G50" s="152">
        <v>702</v>
      </c>
    </row>
    <row r="51" spans="1:7" ht="15">
      <c r="A51" s="491">
        <v>48</v>
      </c>
      <c r="B51" s="240" t="s">
        <v>35</v>
      </c>
      <c r="C51" s="115">
        <v>39031</v>
      </c>
      <c r="D51" s="126" t="s">
        <v>57</v>
      </c>
      <c r="E51" s="126" t="s">
        <v>71</v>
      </c>
      <c r="F51" s="243">
        <v>1427</v>
      </c>
      <c r="G51" s="189">
        <v>281</v>
      </c>
    </row>
    <row r="52" spans="1:7" ht="15">
      <c r="A52" s="491">
        <v>49</v>
      </c>
      <c r="B52" s="144" t="s">
        <v>35</v>
      </c>
      <c r="C52" s="115">
        <v>39031</v>
      </c>
      <c r="D52" s="126" t="s">
        <v>57</v>
      </c>
      <c r="E52" s="126" t="s">
        <v>71</v>
      </c>
      <c r="F52" s="243">
        <v>1155</v>
      </c>
      <c r="G52" s="189">
        <v>350</v>
      </c>
    </row>
    <row r="53" spans="1:7" ht="15">
      <c r="A53" s="491">
        <v>50</v>
      </c>
      <c r="B53" s="176" t="s">
        <v>35</v>
      </c>
      <c r="C53" s="115">
        <v>39031</v>
      </c>
      <c r="D53" s="172" t="s">
        <v>57</v>
      </c>
      <c r="E53" s="172" t="s">
        <v>71</v>
      </c>
      <c r="F53" s="243">
        <v>1155</v>
      </c>
      <c r="G53" s="189">
        <v>350</v>
      </c>
    </row>
    <row r="54" spans="1:7" ht="15">
      <c r="A54" s="491">
        <v>51</v>
      </c>
      <c r="B54" s="326" t="s">
        <v>35</v>
      </c>
      <c r="C54" s="115">
        <v>39031</v>
      </c>
      <c r="D54" s="172" t="s">
        <v>57</v>
      </c>
      <c r="E54" s="172" t="s">
        <v>71</v>
      </c>
      <c r="F54" s="243">
        <v>740</v>
      </c>
      <c r="G54" s="189">
        <v>282</v>
      </c>
    </row>
    <row r="55" spans="1:7" ht="15">
      <c r="A55" s="491">
        <v>52</v>
      </c>
      <c r="B55" s="240" t="s">
        <v>35</v>
      </c>
      <c r="C55" s="115">
        <v>39031</v>
      </c>
      <c r="D55" s="126" t="s">
        <v>57</v>
      </c>
      <c r="E55" s="126" t="s">
        <v>71</v>
      </c>
      <c r="F55" s="247">
        <v>704</v>
      </c>
      <c r="G55" s="189">
        <v>91</v>
      </c>
    </row>
    <row r="56" spans="1:7" ht="15">
      <c r="A56" s="491">
        <v>53</v>
      </c>
      <c r="B56" s="323" t="s">
        <v>35</v>
      </c>
      <c r="C56" s="317">
        <v>39031</v>
      </c>
      <c r="D56" s="316" t="s">
        <v>57</v>
      </c>
      <c r="E56" s="316" t="s">
        <v>71</v>
      </c>
      <c r="F56" s="328">
        <v>661</v>
      </c>
      <c r="G56" s="330">
        <v>238</v>
      </c>
    </row>
    <row r="57" spans="1:7" ht="15">
      <c r="A57" s="491">
        <v>54</v>
      </c>
      <c r="B57" s="241" t="s">
        <v>35</v>
      </c>
      <c r="C57" s="115">
        <v>39031</v>
      </c>
      <c r="D57" s="311" t="s">
        <v>57</v>
      </c>
      <c r="E57" s="311" t="s">
        <v>71</v>
      </c>
      <c r="F57" s="243">
        <v>646</v>
      </c>
      <c r="G57" s="189">
        <v>53</v>
      </c>
    </row>
    <row r="58" spans="1:7" ht="15">
      <c r="A58" s="491">
        <v>55</v>
      </c>
      <c r="B58" s="144" t="s">
        <v>215</v>
      </c>
      <c r="C58" s="115">
        <v>38779</v>
      </c>
      <c r="D58" s="126" t="s">
        <v>57</v>
      </c>
      <c r="E58" s="126" t="s">
        <v>60</v>
      </c>
      <c r="F58" s="243">
        <v>1156</v>
      </c>
      <c r="G58" s="189">
        <v>350</v>
      </c>
    </row>
    <row r="59" spans="1:7" ht="15">
      <c r="A59" s="491">
        <v>56</v>
      </c>
      <c r="B59" s="143" t="s">
        <v>92</v>
      </c>
      <c r="C59" s="146">
        <v>39010</v>
      </c>
      <c r="D59" s="126" t="s">
        <v>57</v>
      </c>
      <c r="E59" s="141" t="s">
        <v>65</v>
      </c>
      <c r="F59" s="249">
        <v>5487</v>
      </c>
      <c r="G59" s="152">
        <v>1043</v>
      </c>
    </row>
    <row r="60" spans="1:7" ht="15">
      <c r="A60" s="491">
        <v>57</v>
      </c>
      <c r="B60" s="176" t="s">
        <v>92</v>
      </c>
      <c r="C60" s="115">
        <v>39010</v>
      </c>
      <c r="D60" s="172" t="s">
        <v>57</v>
      </c>
      <c r="E60" s="172" t="s">
        <v>65</v>
      </c>
      <c r="F60" s="243">
        <v>3402</v>
      </c>
      <c r="G60" s="189">
        <v>724</v>
      </c>
    </row>
    <row r="61" spans="1:7" ht="15">
      <c r="A61" s="491">
        <v>58</v>
      </c>
      <c r="B61" s="144" t="s">
        <v>92</v>
      </c>
      <c r="C61" s="115">
        <v>39010</v>
      </c>
      <c r="D61" s="126" t="s">
        <v>57</v>
      </c>
      <c r="E61" s="126" t="s">
        <v>65</v>
      </c>
      <c r="F61" s="243">
        <v>2468</v>
      </c>
      <c r="G61" s="189">
        <v>1189</v>
      </c>
    </row>
    <row r="62" spans="1:7" ht="15">
      <c r="A62" s="491">
        <v>59</v>
      </c>
      <c r="B62" s="240" t="s">
        <v>92</v>
      </c>
      <c r="C62" s="115">
        <v>39010</v>
      </c>
      <c r="D62" s="126" t="s">
        <v>57</v>
      </c>
      <c r="E62" s="126" t="s">
        <v>65</v>
      </c>
      <c r="F62" s="247">
        <v>2375</v>
      </c>
      <c r="G62" s="189">
        <v>705</v>
      </c>
    </row>
    <row r="63" spans="1:7" ht="15">
      <c r="A63" s="491">
        <v>60</v>
      </c>
      <c r="B63" s="323" t="s">
        <v>92</v>
      </c>
      <c r="C63" s="317">
        <v>39010</v>
      </c>
      <c r="D63" s="316" t="s">
        <v>57</v>
      </c>
      <c r="E63" s="316" t="s">
        <v>65</v>
      </c>
      <c r="F63" s="328">
        <v>400</v>
      </c>
      <c r="G63" s="330">
        <v>20</v>
      </c>
    </row>
    <row r="64" spans="1:7" ht="15">
      <c r="A64" s="491">
        <v>61</v>
      </c>
      <c r="B64" s="240" t="s">
        <v>92</v>
      </c>
      <c r="C64" s="115">
        <v>39010</v>
      </c>
      <c r="D64" s="126" t="s">
        <v>57</v>
      </c>
      <c r="E64" s="126" t="s">
        <v>65</v>
      </c>
      <c r="F64" s="243">
        <v>238</v>
      </c>
      <c r="G64" s="189">
        <v>46</v>
      </c>
    </row>
    <row r="65" spans="1:7" ht="15">
      <c r="A65" s="491">
        <v>62</v>
      </c>
      <c r="B65" s="326" t="s">
        <v>264</v>
      </c>
      <c r="C65" s="115">
        <v>38989</v>
      </c>
      <c r="D65" s="172" t="s">
        <v>58</v>
      </c>
      <c r="E65" s="172" t="s">
        <v>265</v>
      </c>
      <c r="F65" s="243">
        <v>1782</v>
      </c>
      <c r="G65" s="189">
        <v>446</v>
      </c>
    </row>
    <row r="66" spans="1:7" ht="15">
      <c r="A66" s="491">
        <v>63</v>
      </c>
      <c r="B66" s="275" t="s">
        <v>264</v>
      </c>
      <c r="C66" s="146">
        <v>38989</v>
      </c>
      <c r="D66" s="266" t="s">
        <v>58</v>
      </c>
      <c r="E66" s="266" t="s">
        <v>265</v>
      </c>
      <c r="F66" s="249">
        <v>1511</v>
      </c>
      <c r="G66" s="152">
        <v>303</v>
      </c>
    </row>
    <row r="67" spans="1:7" ht="15">
      <c r="A67" s="491">
        <v>64</v>
      </c>
      <c r="B67" s="144" t="s">
        <v>264</v>
      </c>
      <c r="C67" s="115">
        <v>38989</v>
      </c>
      <c r="D67" s="274" t="s">
        <v>58</v>
      </c>
      <c r="E67" s="274" t="s">
        <v>265</v>
      </c>
      <c r="F67" s="243">
        <v>202</v>
      </c>
      <c r="G67" s="189">
        <v>23</v>
      </c>
    </row>
    <row r="68" spans="1:7" ht="15">
      <c r="A68" s="491">
        <v>65</v>
      </c>
      <c r="B68" s="326" t="s">
        <v>187</v>
      </c>
      <c r="C68" s="115">
        <v>38905</v>
      </c>
      <c r="D68" s="172" t="s">
        <v>23</v>
      </c>
      <c r="E68" s="172" t="s">
        <v>188</v>
      </c>
      <c r="F68" s="243">
        <v>1188</v>
      </c>
      <c r="G68" s="189">
        <v>297</v>
      </c>
    </row>
    <row r="69" spans="1:7" ht="15">
      <c r="A69" s="491">
        <v>66</v>
      </c>
      <c r="B69" s="241" t="s">
        <v>187</v>
      </c>
      <c r="C69" s="115">
        <v>38905</v>
      </c>
      <c r="D69" s="130" t="s">
        <v>23</v>
      </c>
      <c r="E69" s="129" t="s">
        <v>188</v>
      </c>
      <c r="F69" s="243">
        <v>262.4</v>
      </c>
      <c r="G69" s="189">
        <v>164</v>
      </c>
    </row>
    <row r="70" spans="1:7" ht="15">
      <c r="A70" s="491">
        <v>67</v>
      </c>
      <c r="B70" s="143" t="s">
        <v>80</v>
      </c>
      <c r="C70" s="146">
        <v>39052</v>
      </c>
      <c r="D70" s="141" t="s">
        <v>58</v>
      </c>
      <c r="E70" s="141" t="s">
        <v>59</v>
      </c>
      <c r="F70" s="249">
        <v>2938</v>
      </c>
      <c r="G70" s="152">
        <v>448</v>
      </c>
    </row>
    <row r="71" spans="1:7" ht="15">
      <c r="A71" s="491">
        <v>68</v>
      </c>
      <c r="B71" s="144" t="s">
        <v>80</v>
      </c>
      <c r="C71" s="115">
        <v>39052</v>
      </c>
      <c r="D71" s="126" t="s">
        <v>58</v>
      </c>
      <c r="E71" s="126" t="s">
        <v>59</v>
      </c>
      <c r="F71" s="243">
        <v>2306</v>
      </c>
      <c r="G71" s="189">
        <v>733</v>
      </c>
    </row>
    <row r="72" spans="1:7" ht="15">
      <c r="A72" s="491">
        <v>69</v>
      </c>
      <c r="B72" s="176" t="s">
        <v>80</v>
      </c>
      <c r="C72" s="115">
        <v>39052</v>
      </c>
      <c r="D72" s="172" t="s">
        <v>58</v>
      </c>
      <c r="E72" s="172" t="s">
        <v>59</v>
      </c>
      <c r="F72" s="243">
        <v>1587.5</v>
      </c>
      <c r="G72" s="189">
        <v>252</v>
      </c>
    </row>
    <row r="73" spans="1:7" ht="15">
      <c r="A73" s="491">
        <v>70</v>
      </c>
      <c r="B73" s="145" t="s">
        <v>117</v>
      </c>
      <c r="C73" s="115">
        <v>39073</v>
      </c>
      <c r="D73" s="130" t="s">
        <v>23</v>
      </c>
      <c r="E73" s="129" t="s">
        <v>98</v>
      </c>
      <c r="F73" s="247">
        <v>2937</v>
      </c>
      <c r="G73" s="154">
        <v>367</v>
      </c>
    </row>
    <row r="74" spans="1:7" ht="15">
      <c r="A74" s="491">
        <v>71</v>
      </c>
      <c r="B74" s="145" t="s">
        <v>117</v>
      </c>
      <c r="C74" s="115">
        <v>39073</v>
      </c>
      <c r="D74" s="268" t="s">
        <v>23</v>
      </c>
      <c r="E74" s="269" t="s">
        <v>98</v>
      </c>
      <c r="F74" s="243">
        <v>1780</v>
      </c>
      <c r="G74" s="189">
        <v>445</v>
      </c>
    </row>
    <row r="75" spans="1:7" ht="15">
      <c r="A75" s="491">
        <v>72</v>
      </c>
      <c r="B75" s="241" t="s">
        <v>117</v>
      </c>
      <c r="C75" s="115">
        <v>39073</v>
      </c>
      <c r="D75" s="268" t="s">
        <v>23</v>
      </c>
      <c r="E75" s="269" t="s">
        <v>98</v>
      </c>
      <c r="F75" s="247">
        <v>1780</v>
      </c>
      <c r="G75" s="154">
        <v>445</v>
      </c>
    </row>
    <row r="76" spans="1:7" ht="15">
      <c r="A76" s="491">
        <v>73</v>
      </c>
      <c r="B76" s="145" t="s">
        <v>117</v>
      </c>
      <c r="C76" s="115">
        <v>39073</v>
      </c>
      <c r="D76" s="268" t="s">
        <v>23</v>
      </c>
      <c r="E76" s="269" t="s">
        <v>98</v>
      </c>
      <c r="F76" s="247">
        <v>1015</v>
      </c>
      <c r="G76" s="154">
        <v>135</v>
      </c>
    </row>
    <row r="77" spans="1:7" ht="15">
      <c r="A77" s="491">
        <v>74</v>
      </c>
      <c r="B77" s="176" t="s">
        <v>117</v>
      </c>
      <c r="C77" s="115">
        <v>39073</v>
      </c>
      <c r="D77" s="172" t="s">
        <v>23</v>
      </c>
      <c r="E77" s="172" t="s">
        <v>98</v>
      </c>
      <c r="F77" s="243">
        <v>796</v>
      </c>
      <c r="G77" s="189">
        <v>81</v>
      </c>
    </row>
    <row r="78" spans="1:7" ht="15">
      <c r="A78" s="491">
        <v>75</v>
      </c>
      <c r="B78" s="241" t="s">
        <v>117</v>
      </c>
      <c r="C78" s="115">
        <v>39073</v>
      </c>
      <c r="D78" s="130" t="s">
        <v>23</v>
      </c>
      <c r="E78" s="129" t="s">
        <v>98</v>
      </c>
      <c r="F78" s="243">
        <v>464</v>
      </c>
      <c r="G78" s="189">
        <v>63</v>
      </c>
    </row>
    <row r="79" spans="1:7" ht="15">
      <c r="A79" s="491">
        <v>76</v>
      </c>
      <c r="B79" s="326" t="s">
        <v>117</v>
      </c>
      <c r="C79" s="115">
        <v>39073</v>
      </c>
      <c r="D79" s="172" t="s">
        <v>23</v>
      </c>
      <c r="E79" s="172" t="s">
        <v>98</v>
      </c>
      <c r="F79" s="243">
        <v>233</v>
      </c>
      <c r="G79" s="189">
        <v>49</v>
      </c>
    </row>
    <row r="80" spans="1:7" ht="15">
      <c r="A80" s="491">
        <v>77</v>
      </c>
      <c r="B80" s="145" t="s">
        <v>117</v>
      </c>
      <c r="C80" s="115">
        <v>39073</v>
      </c>
      <c r="D80" s="130" t="s">
        <v>23</v>
      </c>
      <c r="E80" s="129" t="s">
        <v>98</v>
      </c>
      <c r="F80" s="243">
        <v>64</v>
      </c>
      <c r="G80" s="189">
        <v>7</v>
      </c>
    </row>
    <row r="81" spans="1:7" ht="15">
      <c r="A81" s="491">
        <v>78</v>
      </c>
      <c r="B81" s="241" t="s">
        <v>117</v>
      </c>
      <c r="C81" s="115">
        <v>39073</v>
      </c>
      <c r="D81" s="130" t="s">
        <v>23</v>
      </c>
      <c r="E81" s="129" t="s">
        <v>98</v>
      </c>
      <c r="F81" s="247">
        <v>30</v>
      </c>
      <c r="G81" s="154">
        <v>12</v>
      </c>
    </row>
    <row r="82" spans="1:7" ht="15">
      <c r="A82" s="491">
        <v>79</v>
      </c>
      <c r="B82" s="242" t="s">
        <v>435</v>
      </c>
      <c r="C82" s="114">
        <v>38639</v>
      </c>
      <c r="D82" s="127" t="s">
        <v>182</v>
      </c>
      <c r="E82" s="127" t="s">
        <v>66</v>
      </c>
      <c r="F82" s="244">
        <v>831</v>
      </c>
      <c r="G82" s="188">
        <v>277</v>
      </c>
    </row>
    <row r="83" spans="1:7" ht="15">
      <c r="A83" s="491">
        <v>80</v>
      </c>
      <c r="B83" s="241" t="s">
        <v>189</v>
      </c>
      <c r="C83" s="115">
        <v>38870</v>
      </c>
      <c r="D83" s="130" t="s">
        <v>23</v>
      </c>
      <c r="E83" s="129" t="s">
        <v>190</v>
      </c>
      <c r="F83" s="243">
        <v>1664</v>
      </c>
      <c r="G83" s="189">
        <v>416</v>
      </c>
    </row>
    <row r="84" spans="1:7" ht="15">
      <c r="A84" s="491">
        <v>81</v>
      </c>
      <c r="B84" s="326" t="s">
        <v>189</v>
      </c>
      <c r="C84" s="115">
        <v>38870</v>
      </c>
      <c r="D84" s="172" t="s">
        <v>23</v>
      </c>
      <c r="E84" s="172" t="s">
        <v>190</v>
      </c>
      <c r="F84" s="243">
        <v>538.5</v>
      </c>
      <c r="G84" s="189">
        <v>150</v>
      </c>
    </row>
    <row r="85" spans="1:7" ht="15">
      <c r="A85" s="491">
        <v>82</v>
      </c>
      <c r="B85" s="241" t="s">
        <v>189</v>
      </c>
      <c r="C85" s="115">
        <v>38870</v>
      </c>
      <c r="D85" s="130" t="s">
        <v>23</v>
      </c>
      <c r="E85" s="129" t="s">
        <v>190</v>
      </c>
      <c r="F85" s="243">
        <v>204</v>
      </c>
      <c r="G85" s="189">
        <v>40</v>
      </c>
    </row>
    <row r="86" spans="1:7" ht="15">
      <c r="A86" s="491">
        <v>83</v>
      </c>
      <c r="B86" s="326" t="s">
        <v>189</v>
      </c>
      <c r="C86" s="115">
        <v>38870</v>
      </c>
      <c r="D86" s="172" t="s">
        <v>23</v>
      </c>
      <c r="E86" s="172" t="s">
        <v>190</v>
      </c>
      <c r="F86" s="243">
        <v>41</v>
      </c>
      <c r="G86" s="189">
        <v>16</v>
      </c>
    </row>
    <row r="87" spans="1:7" ht="15">
      <c r="A87" s="491">
        <v>84</v>
      </c>
      <c r="B87" s="144" t="s">
        <v>26</v>
      </c>
      <c r="C87" s="115">
        <v>38975</v>
      </c>
      <c r="D87" s="126" t="s">
        <v>57</v>
      </c>
      <c r="E87" s="126" t="s">
        <v>60</v>
      </c>
      <c r="F87" s="243">
        <v>7149</v>
      </c>
      <c r="G87" s="189">
        <v>1229</v>
      </c>
    </row>
    <row r="88" spans="1:7" ht="15">
      <c r="A88" s="491">
        <v>85</v>
      </c>
      <c r="B88" s="240" t="s">
        <v>26</v>
      </c>
      <c r="C88" s="115">
        <v>38975</v>
      </c>
      <c r="D88" s="126" t="s">
        <v>57</v>
      </c>
      <c r="E88" s="126" t="s">
        <v>60</v>
      </c>
      <c r="F88" s="247">
        <v>2635</v>
      </c>
      <c r="G88" s="189">
        <v>667</v>
      </c>
    </row>
    <row r="89" spans="1:7" ht="15">
      <c r="A89" s="491">
        <v>86</v>
      </c>
      <c r="B89" s="143" t="s">
        <v>26</v>
      </c>
      <c r="C89" s="146">
        <v>38975</v>
      </c>
      <c r="D89" s="126" t="s">
        <v>57</v>
      </c>
      <c r="E89" s="141" t="s">
        <v>60</v>
      </c>
      <c r="F89" s="249">
        <v>2120</v>
      </c>
      <c r="G89" s="152">
        <v>369</v>
      </c>
    </row>
    <row r="90" spans="1:7" ht="15">
      <c r="A90" s="491">
        <v>87</v>
      </c>
      <c r="B90" s="143" t="s">
        <v>26</v>
      </c>
      <c r="C90" s="146">
        <v>38975</v>
      </c>
      <c r="D90" s="266" t="s">
        <v>57</v>
      </c>
      <c r="E90" s="266" t="s">
        <v>60</v>
      </c>
      <c r="F90" s="249">
        <v>2115</v>
      </c>
      <c r="G90" s="152">
        <v>582</v>
      </c>
    </row>
    <row r="91" spans="1:7" ht="15">
      <c r="A91" s="491">
        <v>88</v>
      </c>
      <c r="B91" s="176" t="s">
        <v>26</v>
      </c>
      <c r="C91" s="115">
        <v>38975</v>
      </c>
      <c r="D91" s="172" t="s">
        <v>57</v>
      </c>
      <c r="E91" s="172" t="s">
        <v>60</v>
      </c>
      <c r="F91" s="243">
        <v>887</v>
      </c>
      <c r="G91" s="189">
        <v>160</v>
      </c>
    </row>
    <row r="92" spans="1:7" ht="15">
      <c r="A92" s="491">
        <v>89</v>
      </c>
      <c r="B92" s="144" t="s">
        <v>26</v>
      </c>
      <c r="C92" s="115">
        <v>38975</v>
      </c>
      <c r="D92" s="126" t="s">
        <v>57</v>
      </c>
      <c r="E92" s="126" t="s">
        <v>60</v>
      </c>
      <c r="F92" s="243">
        <v>284</v>
      </c>
      <c r="G92" s="189">
        <v>47</v>
      </c>
    </row>
    <row r="93" spans="1:7" ht="15">
      <c r="A93" s="491">
        <v>90</v>
      </c>
      <c r="B93" s="240" t="s">
        <v>26</v>
      </c>
      <c r="C93" s="115">
        <v>38975</v>
      </c>
      <c r="D93" s="126" t="s">
        <v>57</v>
      </c>
      <c r="E93" s="126" t="s">
        <v>60</v>
      </c>
      <c r="F93" s="243">
        <v>247</v>
      </c>
      <c r="G93" s="189">
        <v>41</v>
      </c>
    </row>
    <row r="94" spans="1:7" ht="15">
      <c r="A94" s="491">
        <v>91</v>
      </c>
      <c r="B94" s="142" t="s">
        <v>41</v>
      </c>
      <c r="C94" s="114">
        <v>39038</v>
      </c>
      <c r="D94" s="125" t="s">
        <v>56</v>
      </c>
      <c r="E94" s="124" t="s">
        <v>61</v>
      </c>
      <c r="F94" s="248">
        <v>7970</v>
      </c>
      <c r="G94" s="151">
        <v>1455</v>
      </c>
    </row>
    <row r="95" spans="1:7" ht="15">
      <c r="A95" s="491">
        <v>92</v>
      </c>
      <c r="B95" s="239" t="s">
        <v>41</v>
      </c>
      <c r="C95" s="114">
        <v>39038</v>
      </c>
      <c r="D95" s="125" t="s">
        <v>56</v>
      </c>
      <c r="E95" s="124" t="s">
        <v>61</v>
      </c>
      <c r="F95" s="244">
        <v>6458</v>
      </c>
      <c r="G95" s="188">
        <v>1814</v>
      </c>
    </row>
    <row r="96" spans="1:7" ht="15">
      <c r="A96" s="491">
        <v>93</v>
      </c>
      <c r="B96" s="175" t="s">
        <v>41</v>
      </c>
      <c r="C96" s="114">
        <v>39038</v>
      </c>
      <c r="D96" s="173" t="s">
        <v>56</v>
      </c>
      <c r="E96" s="173" t="s">
        <v>61</v>
      </c>
      <c r="F96" s="244">
        <v>2372</v>
      </c>
      <c r="G96" s="188">
        <v>338</v>
      </c>
    </row>
    <row r="97" spans="1:7" ht="15">
      <c r="A97" s="491">
        <v>94</v>
      </c>
      <c r="B97" s="142" t="s">
        <v>41</v>
      </c>
      <c r="C97" s="114">
        <v>39038</v>
      </c>
      <c r="D97" s="125" t="s">
        <v>56</v>
      </c>
      <c r="E97" s="124" t="s">
        <v>61</v>
      </c>
      <c r="F97" s="244">
        <v>1812</v>
      </c>
      <c r="G97" s="188">
        <v>360</v>
      </c>
    </row>
    <row r="98" spans="1:7" ht="15">
      <c r="A98" s="491">
        <v>95</v>
      </c>
      <c r="B98" s="239" t="s">
        <v>41</v>
      </c>
      <c r="C98" s="114">
        <v>39038</v>
      </c>
      <c r="D98" s="125" t="s">
        <v>56</v>
      </c>
      <c r="E98" s="124" t="s">
        <v>61</v>
      </c>
      <c r="F98" s="244">
        <v>986</v>
      </c>
      <c r="G98" s="188">
        <v>181</v>
      </c>
    </row>
    <row r="99" spans="1:7" ht="15">
      <c r="A99" s="491">
        <v>96</v>
      </c>
      <c r="B99" s="239" t="s">
        <v>41</v>
      </c>
      <c r="C99" s="114">
        <v>39038</v>
      </c>
      <c r="D99" s="264" t="s">
        <v>56</v>
      </c>
      <c r="E99" s="265" t="s">
        <v>61</v>
      </c>
      <c r="F99" s="248">
        <v>523</v>
      </c>
      <c r="G99" s="151">
        <v>69</v>
      </c>
    </row>
    <row r="100" spans="1:7" ht="15">
      <c r="A100" s="491">
        <v>97</v>
      </c>
      <c r="B100" s="142" t="s">
        <v>41</v>
      </c>
      <c r="C100" s="114">
        <v>39038</v>
      </c>
      <c r="D100" s="125" t="s">
        <v>56</v>
      </c>
      <c r="E100" s="124" t="s">
        <v>61</v>
      </c>
      <c r="F100" s="244">
        <v>406</v>
      </c>
      <c r="G100" s="188">
        <v>59</v>
      </c>
    </row>
    <row r="101" spans="1:7" ht="15">
      <c r="A101" s="491">
        <v>98</v>
      </c>
      <c r="B101" s="239" t="s">
        <v>41</v>
      </c>
      <c r="C101" s="114">
        <v>39038</v>
      </c>
      <c r="D101" s="125" t="s">
        <v>56</v>
      </c>
      <c r="E101" s="124" t="s">
        <v>61</v>
      </c>
      <c r="F101" s="248">
        <v>362</v>
      </c>
      <c r="G101" s="188">
        <v>51</v>
      </c>
    </row>
    <row r="102" spans="1:7" ht="15">
      <c r="A102" s="491">
        <v>99</v>
      </c>
      <c r="B102" s="142" t="s">
        <v>41</v>
      </c>
      <c r="C102" s="114">
        <v>39038</v>
      </c>
      <c r="D102" s="264" t="s">
        <v>56</v>
      </c>
      <c r="E102" s="265" t="s">
        <v>61</v>
      </c>
      <c r="F102" s="244">
        <v>237</v>
      </c>
      <c r="G102" s="188">
        <v>32</v>
      </c>
    </row>
    <row r="103" spans="1:7" ht="15">
      <c r="A103" s="491">
        <v>100</v>
      </c>
      <c r="B103" s="142" t="s">
        <v>41</v>
      </c>
      <c r="C103" s="114">
        <v>39038</v>
      </c>
      <c r="D103" s="264" t="s">
        <v>56</v>
      </c>
      <c r="E103" s="265" t="s">
        <v>61</v>
      </c>
      <c r="F103" s="248">
        <v>171</v>
      </c>
      <c r="G103" s="151">
        <v>23</v>
      </c>
    </row>
    <row r="104" spans="1:7" ht="15">
      <c r="A104" s="491">
        <v>101</v>
      </c>
      <c r="B104" s="143" t="s">
        <v>127</v>
      </c>
      <c r="C104" s="146">
        <v>39066</v>
      </c>
      <c r="D104" s="141" t="s">
        <v>58</v>
      </c>
      <c r="E104" s="141" t="s">
        <v>114</v>
      </c>
      <c r="F104" s="249">
        <v>41050.5</v>
      </c>
      <c r="G104" s="152">
        <v>5261</v>
      </c>
    </row>
    <row r="105" spans="1:7" ht="15">
      <c r="A105" s="491">
        <v>102</v>
      </c>
      <c r="B105" s="176" t="s">
        <v>127</v>
      </c>
      <c r="C105" s="115">
        <v>39066</v>
      </c>
      <c r="D105" s="172" t="s">
        <v>58</v>
      </c>
      <c r="E105" s="172" t="s">
        <v>114</v>
      </c>
      <c r="F105" s="243">
        <v>19306.5</v>
      </c>
      <c r="G105" s="189">
        <v>3088</v>
      </c>
    </row>
    <row r="106" spans="1:7" ht="15">
      <c r="A106" s="491">
        <v>103</v>
      </c>
      <c r="B106" s="144" t="s">
        <v>127</v>
      </c>
      <c r="C106" s="115">
        <v>39066</v>
      </c>
      <c r="D106" s="126" t="s">
        <v>58</v>
      </c>
      <c r="E106" s="126" t="s">
        <v>114</v>
      </c>
      <c r="F106" s="243">
        <v>6896.5</v>
      </c>
      <c r="G106" s="189">
        <v>1472</v>
      </c>
    </row>
    <row r="107" spans="1:7" ht="15">
      <c r="A107" s="491">
        <v>104</v>
      </c>
      <c r="B107" s="143" t="s">
        <v>127</v>
      </c>
      <c r="C107" s="146">
        <v>39066</v>
      </c>
      <c r="D107" s="266" t="s">
        <v>58</v>
      </c>
      <c r="E107" s="265" t="s">
        <v>114</v>
      </c>
      <c r="F107" s="249">
        <v>5538.5</v>
      </c>
      <c r="G107" s="152">
        <v>1614</v>
      </c>
    </row>
    <row r="108" spans="1:7" ht="15">
      <c r="A108" s="491">
        <v>105</v>
      </c>
      <c r="B108" s="240" t="s">
        <v>127</v>
      </c>
      <c r="C108" s="115">
        <v>39066</v>
      </c>
      <c r="D108" s="126" t="s">
        <v>58</v>
      </c>
      <c r="E108" s="126" t="s">
        <v>114</v>
      </c>
      <c r="F108" s="243">
        <v>4531.5</v>
      </c>
      <c r="G108" s="189">
        <v>906</v>
      </c>
    </row>
    <row r="109" spans="1:7" ht="15">
      <c r="A109" s="491">
        <v>106</v>
      </c>
      <c r="B109" s="241" t="s">
        <v>127</v>
      </c>
      <c r="C109" s="115">
        <v>39066</v>
      </c>
      <c r="D109" s="311" t="s">
        <v>58</v>
      </c>
      <c r="E109" s="311" t="s">
        <v>114</v>
      </c>
      <c r="F109" s="243">
        <v>3021</v>
      </c>
      <c r="G109" s="189">
        <v>605</v>
      </c>
    </row>
    <row r="110" spans="1:7" ht="15">
      <c r="A110" s="491">
        <v>107</v>
      </c>
      <c r="B110" s="144" t="s">
        <v>127</v>
      </c>
      <c r="C110" s="115">
        <v>39066</v>
      </c>
      <c r="D110" s="126" t="s">
        <v>58</v>
      </c>
      <c r="E110" s="126" t="s">
        <v>114</v>
      </c>
      <c r="F110" s="243">
        <v>2843</v>
      </c>
      <c r="G110" s="189">
        <v>581</v>
      </c>
    </row>
    <row r="111" spans="1:7" ht="15">
      <c r="A111" s="491">
        <v>108</v>
      </c>
      <c r="B111" s="326" t="s">
        <v>127</v>
      </c>
      <c r="C111" s="115">
        <v>39066</v>
      </c>
      <c r="D111" s="172" t="s">
        <v>58</v>
      </c>
      <c r="E111" s="172" t="s">
        <v>114</v>
      </c>
      <c r="F111" s="243">
        <v>2376</v>
      </c>
      <c r="G111" s="189">
        <v>475</v>
      </c>
    </row>
    <row r="112" spans="1:7" ht="15">
      <c r="A112" s="491">
        <v>109</v>
      </c>
      <c r="B112" s="240" t="s">
        <v>127</v>
      </c>
      <c r="C112" s="115">
        <v>39066</v>
      </c>
      <c r="D112" s="126" t="s">
        <v>58</v>
      </c>
      <c r="E112" s="126" t="s">
        <v>114</v>
      </c>
      <c r="F112" s="247">
        <v>2025</v>
      </c>
      <c r="G112" s="189">
        <v>379</v>
      </c>
    </row>
    <row r="113" spans="1:7" ht="15">
      <c r="A113" s="491">
        <v>110</v>
      </c>
      <c r="B113" s="240" t="s">
        <v>127</v>
      </c>
      <c r="C113" s="115">
        <v>39066</v>
      </c>
      <c r="D113" s="126" t="s">
        <v>58</v>
      </c>
      <c r="E113" s="126" t="s">
        <v>114</v>
      </c>
      <c r="F113" s="243">
        <v>1781</v>
      </c>
      <c r="G113" s="189">
        <v>334</v>
      </c>
    </row>
    <row r="114" spans="1:7" ht="15">
      <c r="A114" s="491">
        <v>111</v>
      </c>
      <c r="B114" s="275" t="s">
        <v>127</v>
      </c>
      <c r="C114" s="146">
        <v>39066</v>
      </c>
      <c r="D114" s="266" t="s">
        <v>58</v>
      </c>
      <c r="E114" s="266" t="s">
        <v>114</v>
      </c>
      <c r="F114" s="249">
        <v>831</v>
      </c>
      <c r="G114" s="152">
        <v>256</v>
      </c>
    </row>
    <row r="115" spans="1:7" ht="15">
      <c r="A115" s="491">
        <v>112</v>
      </c>
      <c r="B115" s="144" t="s">
        <v>127</v>
      </c>
      <c r="C115" s="115">
        <v>39066</v>
      </c>
      <c r="D115" s="274" t="s">
        <v>58</v>
      </c>
      <c r="E115" s="274" t="s">
        <v>114</v>
      </c>
      <c r="F115" s="243">
        <v>533</v>
      </c>
      <c r="G115" s="189">
        <v>148</v>
      </c>
    </row>
    <row r="116" spans="1:7" ht="15">
      <c r="A116" s="491">
        <v>113</v>
      </c>
      <c r="B116" s="240" t="s">
        <v>127</v>
      </c>
      <c r="C116" s="115">
        <v>39066</v>
      </c>
      <c r="D116" s="126" t="s">
        <v>12</v>
      </c>
      <c r="E116" s="126" t="s">
        <v>114</v>
      </c>
      <c r="F116" s="243">
        <v>160</v>
      </c>
      <c r="G116" s="189">
        <v>32</v>
      </c>
    </row>
    <row r="117" spans="1:7" ht="15">
      <c r="A117" s="491">
        <v>114</v>
      </c>
      <c r="B117" s="144" t="s">
        <v>127</v>
      </c>
      <c r="C117" s="115">
        <v>39066</v>
      </c>
      <c r="D117" s="274" t="s">
        <v>58</v>
      </c>
      <c r="E117" s="274" t="s">
        <v>114</v>
      </c>
      <c r="F117" s="243">
        <v>96</v>
      </c>
      <c r="G117" s="189">
        <v>10</v>
      </c>
    </row>
    <row r="118" spans="1:7" ht="15">
      <c r="A118" s="491">
        <v>115</v>
      </c>
      <c r="B118" s="143" t="s">
        <v>136</v>
      </c>
      <c r="C118" s="146">
        <v>38807</v>
      </c>
      <c r="D118" s="141" t="s">
        <v>73</v>
      </c>
      <c r="E118" s="141" t="s">
        <v>137</v>
      </c>
      <c r="F118" s="249">
        <v>1430</v>
      </c>
      <c r="G118" s="152">
        <v>286</v>
      </c>
    </row>
    <row r="119" spans="1:7" ht="15">
      <c r="A119" s="491">
        <v>116</v>
      </c>
      <c r="B119" s="144" t="s">
        <v>81</v>
      </c>
      <c r="C119" s="115">
        <v>39052</v>
      </c>
      <c r="D119" s="126" t="s">
        <v>55</v>
      </c>
      <c r="E119" s="126" t="s">
        <v>55</v>
      </c>
      <c r="F119" s="247">
        <v>6236</v>
      </c>
      <c r="G119" s="154">
        <v>855</v>
      </c>
    </row>
    <row r="120" spans="1:7" ht="15">
      <c r="A120" s="491">
        <v>117</v>
      </c>
      <c r="B120" s="144" t="s">
        <v>81</v>
      </c>
      <c r="C120" s="115">
        <v>39052</v>
      </c>
      <c r="D120" s="126" t="s">
        <v>55</v>
      </c>
      <c r="E120" s="126" t="s">
        <v>55</v>
      </c>
      <c r="F120" s="243">
        <v>2023</v>
      </c>
      <c r="G120" s="189">
        <v>433</v>
      </c>
    </row>
    <row r="121" spans="1:7" ht="15">
      <c r="A121" s="491">
        <v>118</v>
      </c>
      <c r="B121" s="176" t="s">
        <v>81</v>
      </c>
      <c r="C121" s="115">
        <v>39052</v>
      </c>
      <c r="D121" s="172" t="s">
        <v>55</v>
      </c>
      <c r="E121" s="172" t="s">
        <v>55</v>
      </c>
      <c r="F121" s="243">
        <v>1507</v>
      </c>
      <c r="G121" s="189">
        <v>276</v>
      </c>
    </row>
    <row r="122" spans="1:7" ht="15">
      <c r="A122" s="491">
        <v>119</v>
      </c>
      <c r="B122" s="326" t="s">
        <v>81</v>
      </c>
      <c r="C122" s="115">
        <v>39052</v>
      </c>
      <c r="D122" s="172" t="s">
        <v>55</v>
      </c>
      <c r="E122" s="172" t="s">
        <v>63</v>
      </c>
      <c r="F122" s="243">
        <v>1141</v>
      </c>
      <c r="G122" s="189">
        <v>202</v>
      </c>
    </row>
    <row r="123" spans="1:7" ht="15">
      <c r="A123" s="491">
        <v>120</v>
      </c>
      <c r="B123" s="240" t="s">
        <v>81</v>
      </c>
      <c r="C123" s="115">
        <v>39052</v>
      </c>
      <c r="D123" s="126" t="s">
        <v>55</v>
      </c>
      <c r="E123" s="126" t="s">
        <v>63</v>
      </c>
      <c r="F123" s="243">
        <v>287</v>
      </c>
      <c r="G123" s="189">
        <v>70</v>
      </c>
    </row>
    <row r="124" spans="1:7" ht="15">
      <c r="A124" s="491">
        <v>121</v>
      </c>
      <c r="B124" s="326" t="s">
        <v>81</v>
      </c>
      <c r="C124" s="115">
        <v>39052</v>
      </c>
      <c r="D124" s="172" t="s">
        <v>55</v>
      </c>
      <c r="E124" s="172" t="s">
        <v>63</v>
      </c>
      <c r="F124" s="243">
        <v>82</v>
      </c>
      <c r="G124" s="189">
        <v>20</v>
      </c>
    </row>
    <row r="125" spans="1:7" ht="15">
      <c r="A125" s="491">
        <v>122</v>
      </c>
      <c r="B125" s="142" t="s">
        <v>172</v>
      </c>
      <c r="C125" s="114">
        <v>38982</v>
      </c>
      <c r="D125" s="125" t="s">
        <v>56</v>
      </c>
      <c r="E125" s="124" t="s">
        <v>61</v>
      </c>
      <c r="F125" s="244">
        <v>880</v>
      </c>
      <c r="G125" s="188">
        <v>165</v>
      </c>
    </row>
    <row r="126" spans="1:7" ht="15">
      <c r="A126" s="491">
        <v>123</v>
      </c>
      <c r="B126" s="239" t="s">
        <v>172</v>
      </c>
      <c r="C126" s="114">
        <v>38982</v>
      </c>
      <c r="D126" s="125" t="s">
        <v>56</v>
      </c>
      <c r="E126" s="124" t="s">
        <v>61</v>
      </c>
      <c r="F126" s="244">
        <v>785</v>
      </c>
      <c r="G126" s="188">
        <v>151</v>
      </c>
    </row>
    <row r="127" spans="1:7" ht="15">
      <c r="A127" s="491">
        <v>124</v>
      </c>
      <c r="B127" s="140" t="s">
        <v>218</v>
      </c>
      <c r="C127" s="114">
        <v>38849</v>
      </c>
      <c r="D127" s="127" t="s">
        <v>182</v>
      </c>
      <c r="E127" s="127" t="s">
        <v>66</v>
      </c>
      <c r="F127" s="244">
        <v>354</v>
      </c>
      <c r="G127" s="188">
        <v>118</v>
      </c>
    </row>
    <row r="128" spans="1:7" ht="15">
      <c r="A128" s="491">
        <v>125</v>
      </c>
      <c r="B128" s="240" t="s">
        <v>272</v>
      </c>
      <c r="C128" s="117">
        <v>38982</v>
      </c>
      <c r="D128" s="126" t="s">
        <v>64</v>
      </c>
      <c r="E128" s="127" t="s">
        <v>273</v>
      </c>
      <c r="F128" s="251">
        <v>156</v>
      </c>
      <c r="G128" s="191">
        <v>52</v>
      </c>
    </row>
    <row r="129" spans="1:7" ht="15">
      <c r="A129" s="491">
        <v>126</v>
      </c>
      <c r="B129" s="241" t="s">
        <v>361</v>
      </c>
      <c r="C129" s="115">
        <v>38905</v>
      </c>
      <c r="D129" s="130" t="s">
        <v>23</v>
      </c>
      <c r="E129" s="129" t="s">
        <v>362</v>
      </c>
      <c r="F129" s="243">
        <v>1664</v>
      </c>
      <c r="G129" s="189">
        <v>416</v>
      </c>
    </row>
    <row r="130" spans="1:7" ht="15">
      <c r="A130" s="491">
        <v>127</v>
      </c>
      <c r="B130" s="326" t="s">
        <v>361</v>
      </c>
      <c r="C130" s="115">
        <v>38905</v>
      </c>
      <c r="D130" s="172" t="s">
        <v>23</v>
      </c>
      <c r="E130" s="172" t="s">
        <v>362</v>
      </c>
      <c r="F130" s="243">
        <v>1188</v>
      </c>
      <c r="G130" s="189">
        <v>297</v>
      </c>
    </row>
    <row r="131" spans="1:7" ht="15">
      <c r="A131" s="491">
        <v>128</v>
      </c>
      <c r="B131" s="142" t="s">
        <v>173</v>
      </c>
      <c r="C131" s="114">
        <v>38961</v>
      </c>
      <c r="D131" s="125" t="s">
        <v>56</v>
      </c>
      <c r="E131" s="124" t="s">
        <v>71</v>
      </c>
      <c r="F131" s="244">
        <v>349</v>
      </c>
      <c r="G131" s="188">
        <v>84</v>
      </c>
    </row>
    <row r="132" spans="1:7" ht="15">
      <c r="A132" s="491">
        <v>129</v>
      </c>
      <c r="B132" s="241" t="s">
        <v>320</v>
      </c>
      <c r="C132" s="115">
        <v>38359</v>
      </c>
      <c r="D132" s="311" t="s">
        <v>23</v>
      </c>
      <c r="E132" s="311" t="s">
        <v>321</v>
      </c>
      <c r="F132" s="243">
        <v>712</v>
      </c>
      <c r="G132" s="189">
        <v>178</v>
      </c>
    </row>
    <row r="133" spans="1:7" ht="15">
      <c r="A133" s="491">
        <v>130</v>
      </c>
      <c r="B133" s="143" t="s">
        <v>129</v>
      </c>
      <c r="C133" s="146">
        <v>39059</v>
      </c>
      <c r="D133" s="141" t="s">
        <v>58</v>
      </c>
      <c r="E133" s="141" t="s">
        <v>130</v>
      </c>
      <c r="F133" s="249">
        <v>10528</v>
      </c>
      <c r="G133" s="152">
        <v>2058</v>
      </c>
    </row>
    <row r="134" spans="1:7" ht="15">
      <c r="A134" s="491">
        <v>131</v>
      </c>
      <c r="B134" s="176" t="s">
        <v>129</v>
      </c>
      <c r="C134" s="115">
        <v>39059</v>
      </c>
      <c r="D134" s="172" t="s">
        <v>58</v>
      </c>
      <c r="E134" s="172" t="s">
        <v>130</v>
      </c>
      <c r="F134" s="243">
        <v>5718</v>
      </c>
      <c r="G134" s="189">
        <v>1187</v>
      </c>
    </row>
    <row r="135" spans="1:7" ht="15">
      <c r="A135" s="491">
        <v>132</v>
      </c>
      <c r="B135" s="144" t="s">
        <v>129</v>
      </c>
      <c r="C135" s="115">
        <v>39059</v>
      </c>
      <c r="D135" s="126" t="s">
        <v>58</v>
      </c>
      <c r="E135" s="126" t="s">
        <v>130</v>
      </c>
      <c r="F135" s="243">
        <v>2752.5</v>
      </c>
      <c r="G135" s="189">
        <v>997</v>
      </c>
    </row>
    <row r="136" spans="1:7" ht="15">
      <c r="A136" s="491">
        <v>133</v>
      </c>
      <c r="B136" s="144" t="s">
        <v>129</v>
      </c>
      <c r="C136" s="115">
        <v>39059</v>
      </c>
      <c r="D136" s="126" t="s">
        <v>58</v>
      </c>
      <c r="E136" s="126" t="s">
        <v>130</v>
      </c>
      <c r="F136" s="243">
        <v>2645</v>
      </c>
      <c r="G136" s="189">
        <v>552</v>
      </c>
    </row>
    <row r="137" spans="1:7" ht="15">
      <c r="A137" s="491">
        <v>134</v>
      </c>
      <c r="B137" s="275" t="s">
        <v>129</v>
      </c>
      <c r="C137" s="146">
        <v>39059</v>
      </c>
      <c r="D137" s="266" t="s">
        <v>58</v>
      </c>
      <c r="E137" s="266" t="s">
        <v>130</v>
      </c>
      <c r="F137" s="249">
        <v>299</v>
      </c>
      <c r="G137" s="152">
        <v>67</v>
      </c>
    </row>
    <row r="138" spans="1:7" ht="15">
      <c r="A138" s="491">
        <v>135</v>
      </c>
      <c r="B138" s="240" t="s">
        <v>129</v>
      </c>
      <c r="C138" s="115">
        <v>39059</v>
      </c>
      <c r="D138" s="126" t="s">
        <v>12</v>
      </c>
      <c r="E138" s="126" t="s">
        <v>130</v>
      </c>
      <c r="F138" s="243">
        <v>297</v>
      </c>
      <c r="G138" s="189">
        <v>64</v>
      </c>
    </row>
    <row r="139" spans="1:7" ht="15">
      <c r="A139" s="491">
        <v>136</v>
      </c>
      <c r="B139" s="239" t="s">
        <v>274</v>
      </c>
      <c r="C139" s="114">
        <v>39048</v>
      </c>
      <c r="D139" s="125" t="s">
        <v>56</v>
      </c>
      <c r="E139" s="124" t="s">
        <v>11</v>
      </c>
      <c r="F139" s="244">
        <v>191667</v>
      </c>
      <c r="G139" s="188">
        <v>20779</v>
      </c>
    </row>
    <row r="140" spans="1:7" ht="15">
      <c r="A140" s="491">
        <v>137</v>
      </c>
      <c r="B140" s="239" t="s">
        <v>274</v>
      </c>
      <c r="C140" s="114">
        <v>39048</v>
      </c>
      <c r="D140" s="125" t="s">
        <v>56</v>
      </c>
      <c r="E140" s="124" t="s">
        <v>11</v>
      </c>
      <c r="F140" s="244">
        <v>99293</v>
      </c>
      <c r="G140" s="188">
        <v>11789</v>
      </c>
    </row>
    <row r="141" spans="1:7" ht="15">
      <c r="A141" s="491">
        <v>138</v>
      </c>
      <c r="B141" s="239" t="s">
        <v>274</v>
      </c>
      <c r="C141" s="114">
        <v>39048</v>
      </c>
      <c r="D141" s="173" t="s">
        <v>56</v>
      </c>
      <c r="E141" s="173" t="s">
        <v>11</v>
      </c>
      <c r="F141" s="244">
        <v>24707</v>
      </c>
      <c r="G141" s="188">
        <v>4942</v>
      </c>
    </row>
    <row r="142" spans="1:7" ht="15">
      <c r="A142" s="491">
        <v>139</v>
      </c>
      <c r="B142" s="239" t="s">
        <v>274</v>
      </c>
      <c r="C142" s="114">
        <v>39048</v>
      </c>
      <c r="D142" s="125" t="s">
        <v>56</v>
      </c>
      <c r="E142" s="124" t="s">
        <v>11</v>
      </c>
      <c r="F142" s="248">
        <v>23989</v>
      </c>
      <c r="G142" s="151">
        <v>4418</v>
      </c>
    </row>
    <row r="143" spans="1:7" ht="15">
      <c r="A143" s="491">
        <v>140</v>
      </c>
      <c r="B143" s="239" t="s">
        <v>274</v>
      </c>
      <c r="C143" s="114">
        <v>39048</v>
      </c>
      <c r="D143" s="125" t="s">
        <v>56</v>
      </c>
      <c r="E143" s="124" t="s">
        <v>11</v>
      </c>
      <c r="F143" s="244">
        <v>13479</v>
      </c>
      <c r="G143" s="188">
        <v>2620</v>
      </c>
    </row>
    <row r="144" spans="1:7" ht="15">
      <c r="A144" s="491">
        <v>141</v>
      </c>
      <c r="B144" s="242" t="s">
        <v>274</v>
      </c>
      <c r="C144" s="114">
        <v>39048</v>
      </c>
      <c r="D144" s="310" t="s">
        <v>56</v>
      </c>
      <c r="E144" s="310" t="s">
        <v>11</v>
      </c>
      <c r="F144" s="244">
        <v>6621</v>
      </c>
      <c r="G144" s="188">
        <v>1562</v>
      </c>
    </row>
    <row r="145" spans="1:7" ht="15">
      <c r="A145" s="491">
        <v>142</v>
      </c>
      <c r="B145" s="239" t="s">
        <v>274</v>
      </c>
      <c r="C145" s="114">
        <v>39048</v>
      </c>
      <c r="D145" s="125" t="s">
        <v>56</v>
      </c>
      <c r="E145" s="124" t="s">
        <v>11</v>
      </c>
      <c r="F145" s="248">
        <v>3660</v>
      </c>
      <c r="G145" s="188">
        <v>633</v>
      </c>
    </row>
    <row r="146" spans="1:7" ht="15">
      <c r="A146" s="491">
        <v>143</v>
      </c>
      <c r="B146" s="322" t="s">
        <v>274</v>
      </c>
      <c r="C146" s="315">
        <v>39048</v>
      </c>
      <c r="D146" s="314" t="s">
        <v>56</v>
      </c>
      <c r="E146" s="314" t="s">
        <v>11</v>
      </c>
      <c r="F146" s="244">
        <v>3414</v>
      </c>
      <c r="G146" s="188">
        <v>960</v>
      </c>
    </row>
    <row r="147" spans="1:7" ht="15">
      <c r="A147" s="491">
        <v>144</v>
      </c>
      <c r="B147" s="239" t="s">
        <v>274</v>
      </c>
      <c r="C147" s="114">
        <v>39048</v>
      </c>
      <c r="D147" s="264" t="s">
        <v>56</v>
      </c>
      <c r="E147" s="265" t="s">
        <v>11</v>
      </c>
      <c r="F147" s="244">
        <v>2752</v>
      </c>
      <c r="G147" s="188">
        <v>553</v>
      </c>
    </row>
    <row r="148" spans="1:7" ht="15">
      <c r="A148" s="491">
        <v>145</v>
      </c>
      <c r="B148" s="325" t="s">
        <v>274</v>
      </c>
      <c r="C148" s="114">
        <v>39048</v>
      </c>
      <c r="D148" s="173" t="s">
        <v>56</v>
      </c>
      <c r="E148" s="173" t="s">
        <v>11</v>
      </c>
      <c r="F148" s="244">
        <v>1721</v>
      </c>
      <c r="G148" s="188">
        <v>460</v>
      </c>
    </row>
    <row r="149" spans="1:7" ht="15">
      <c r="A149" s="491">
        <v>146</v>
      </c>
      <c r="B149" s="239" t="s">
        <v>274</v>
      </c>
      <c r="C149" s="114">
        <v>39048</v>
      </c>
      <c r="D149" s="125" t="s">
        <v>56</v>
      </c>
      <c r="E149" s="124" t="s">
        <v>11</v>
      </c>
      <c r="F149" s="244">
        <v>875</v>
      </c>
      <c r="G149" s="188">
        <v>136</v>
      </c>
    </row>
    <row r="150" spans="1:7" ht="15">
      <c r="A150" s="491">
        <v>147</v>
      </c>
      <c r="B150" s="240" t="s">
        <v>407</v>
      </c>
      <c r="C150" s="115">
        <v>38828</v>
      </c>
      <c r="D150" s="126" t="s">
        <v>58</v>
      </c>
      <c r="E150" s="126" t="s">
        <v>66</v>
      </c>
      <c r="F150" s="243">
        <v>718</v>
      </c>
      <c r="G150" s="189">
        <v>179</v>
      </c>
    </row>
    <row r="151" spans="1:7" ht="15">
      <c r="A151" s="491">
        <v>148</v>
      </c>
      <c r="B151" s="240" t="s">
        <v>407</v>
      </c>
      <c r="C151" s="115">
        <v>38828</v>
      </c>
      <c r="D151" s="126" t="s">
        <v>66</v>
      </c>
      <c r="E151" s="126" t="s">
        <v>66</v>
      </c>
      <c r="F151" s="243">
        <v>440</v>
      </c>
      <c r="G151" s="189">
        <v>110</v>
      </c>
    </row>
    <row r="152" spans="1:7" ht="15">
      <c r="A152" s="491">
        <v>149</v>
      </c>
      <c r="B152" s="143" t="s">
        <v>21</v>
      </c>
      <c r="C152" s="146">
        <v>38996</v>
      </c>
      <c r="D152" s="141" t="s">
        <v>58</v>
      </c>
      <c r="E152" s="141" t="s">
        <v>59</v>
      </c>
      <c r="F152" s="249">
        <v>3021</v>
      </c>
      <c r="G152" s="152">
        <v>605</v>
      </c>
    </row>
    <row r="153" spans="1:7" ht="15">
      <c r="A153" s="491">
        <v>150</v>
      </c>
      <c r="B153" s="240" t="s">
        <v>21</v>
      </c>
      <c r="C153" s="115">
        <v>38996</v>
      </c>
      <c r="D153" s="126" t="s">
        <v>58</v>
      </c>
      <c r="E153" s="126" t="s">
        <v>59</v>
      </c>
      <c r="F153" s="243">
        <v>16</v>
      </c>
      <c r="G153" s="189">
        <v>2</v>
      </c>
    </row>
    <row r="154" spans="1:7" ht="15">
      <c r="A154" s="491">
        <v>151</v>
      </c>
      <c r="B154" s="241" t="s">
        <v>323</v>
      </c>
      <c r="C154" s="115">
        <v>37771</v>
      </c>
      <c r="D154" s="311" t="s">
        <v>23</v>
      </c>
      <c r="E154" s="311" t="s">
        <v>25</v>
      </c>
      <c r="F154" s="243">
        <v>476</v>
      </c>
      <c r="G154" s="189">
        <v>119</v>
      </c>
    </row>
    <row r="155" spans="1:7" ht="15">
      <c r="A155" s="491">
        <v>152</v>
      </c>
      <c r="B155" s="143" t="s">
        <v>75</v>
      </c>
      <c r="C155" s="146">
        <v>39045</v>
      </c>
      <c r="D155" s="141" t="s">
        <v>58</v>
      </c>
      <c r="E155" s="141" t="s">
        <v>76</v>
      </c>
      <c r="F155" s="249">
        <v>386155</v>
      </c>
      <c r="G155" s="152">
        <v>61261</v>
      </c>
    </row>
    <row r="156" spans="1:7" ht="15">
      <c r="A156" s="491">
        <v>153</v>
      </c>
      <c r="B156" s="176" t="s">
        <v>75</v>
      </c>
      <c r="C156" s="115">
        <v>39045</v>
      </c>
      <c r="D156" s="172" t="s">
        <v>58</v>
      </c>
      <c r="E156" s="172" t="s">
        <v>76</v>
      </c>
      <c r="F156" s="243">
        <v>185586</v>
      </c>
      <c r="G156" s="189">
        <v>32646</v>
      </c>
    </row>
    <row r="157" spans="1:7" ht="15">
      <c r="A157" s="491">
        <v>154</v>
      </c>
      <c r="B157" s="144" t="s">
        <v>75</v>
      </c>
      <c r="C157" s="115">
        <v>39045</v>
      </c>
      <c r="D157" s="126" t="s">
        <v>58</v>
      </c>
      <c r="E157" s="126" t="s">
        <v>76</v>
      </c>
      <c r="F157" s="243">
        <v>78557</v>
      </c>
      <c r="G157" s="189">
        <v>14471</v>
      </c>
    </row>
    <row r="158" spans="1:7" ht="15">
      <c r="A158" s="491">
        <v>155</v>
      </c>
      <c r="B158" s="240" t="s">
        <v>75</v>
      </c>
      <c r="C158" s="115">
        <v>39045</v>
      </c>
      <c r="D158" s="126" t="s">
        <v>58</v>
      </c>
      <c r="E158" s="126" t="s">
        <v>76</v>
      </c>
      <c r="F158" s="243">
        <v>38487.5</v>
      </c>
      <c r="G158" s="189">
        <v>9345</v>
      </c>
    </row>
    <row r="159" spans="1:7" ht="15">
      <c r="A159" s="491">
        <v>156</v>
      </c>
      <c r="B159" s="240" t="s">
        <v>75</v>
      </c>
      <c r="C159" s="115">
        <v>39045</v>
      </c>
      <c r="D159" s="126" t="s">
        <v>58</v>
      </c>
      <c r="E159" s="126" t="s">
        <v>76</v>
      </c>
      <c r="F159" s="243">
        <v>20659.5</v>
      </c>
      <c r="G159" s="189">
        <v>4132</v>
      </c>
    </row>
    <row r="160" spans="1:7" ht="15">
      <c r="A160" s="491">
        <v>157</v>
      </c>
      <c r="B160" s="144" t="s">
        <v>75</v>
      </c>
      <c r="C160" s="115">
        <v>39045</v>
      </c>
      <c r="D160" s="126" t="s">
        <v>58</v>
      </c>
      <c r="E160" s="126" t="s">
        <v>76</v>
      </c>
      <c r="F160" s="243">
        <v>19951.5</v>
      </c>
      <c r="G160" s="189">
        <v>4644</v>
      </c>
    </row>
    <row r="161" spans="1:7" ht="15">
      <c r="A161" s="491">
        <v>158</v>
      </c>
      <c r="B161" s="143" t="s">
        <v>75</v>
      </c>
      <c r="C161" s="146">
        <v>39045</v>
      </c>
      <c r="D161" s="266" t="s">
        <v>58</v>
      </c>
      <c r="E161" s="265" t="s">
        <v>76</v>
      </c>
      <c r="F161" s="249">
        <v>9203</v>
      </c>
      <c r="G161" s="152">
        <v>1591</v>
      </c>
    </row>
    <row r="162" spans="1:7" ht="15">
      <c r="A162" s="491">
        <v>159</v>
      </c>
      <c r="B162" s="240" t="s">
        <v>75</v>
      </c>
      <c r="C162" s="115">
        <v>39045</v>
      </c>
      <c r="D162" s="126" t="s">
        <v>58</v>
      </c>
      <c r="E162" s="126" t="s">
        <v>76</v>
      </c>
      <c r="F162" s="243">
        <v>8910</v>
      </c>
      <c r="G162" s="189">
        <v>2228</v>
      </c>
    </row>
    <row r="163" spans="1:7" ht="15">
      <c r="A163" s="491">
        <v>160</v>
      </c>
      <c r="B163" s="240" t="s">
        <v>75</v>
      </c>
      <c r="C163" s="115">
        <v>39045</v>
      </c>
      <c r="D163" s="126" t="s">
        <v>58</v>
      </c>
      <c r="E163" s="126" t="s">
        <v>76</v>
      </c>
      <c r="F163" s="247">
        <v>3795.5</v>
      </c>
      <c r="G163" s="189">
        <v>1018</v>
      </c>
    </row>
    <row r="164" spans="1:7" ht="15">
      <c r="A164" s="491">
        <v>161</v>
      </c>
      <c r="B164" s="240" t="s">
        <v>75</v>
      </c>
      <c r="C164" s="115">
        <v>39045</v>
      </c>
      <c r="D164" s="126" t="s">
        <v>58</v>
      </c>
      <c r="E164" s="126" t="s">
        <v>76</v>
      </c>
      <c r="F164" s="243">
        <v>3564</v>
      </c>
      <c r="G164" s="189">
        <v>891</v>
      </c>
    </row>
    <row r="165" spans="1:7" ht="15">
      <c r="A165" s="491">
        <v>162</v>
      </c>
      <c r="B165" s="144" t="s">
        <v>75</v>
      </c>
      <c r="C165" s="115">
        <v>39045</v>
      </c>
      <c r="D165" s="274" t="s">
        <v>58</v>
      </c>
      <c r="E165" s="274" t="s">
        <v>76</v>
      </c>
      <c r="F165" s="243">
        <v>2435</v>
      </c>
      <c r="G165" s="189">
        <v>487</v>
      </c>
    </row>
    <row r="166" spans="1:7" ht="15">
      <c r="A166" s="491">
        <v>163</v>
      </c>
      <c r="B166" s="326" t="s">
        <v>75</v>
      </c>
      <c r="C166" s="115">
        <v>39045</v>
      </c>
      <c r="D166" s="172" t="s">
        <v>58</v>
      </c>
      <c r="E166" s="172" t="s">
        <v>76</v>
      </c>
      <c r="F166" s="243">
        <v>2376</v>
      </c>
      <c r="G166" s="189">
        <v>475</v>
      </c>
    </row>
    <row r="167" spans="1:7" ht="15">
      <c r="A167" s="491">
        <v>164</v>
      </c>
      <c r="B167" s="240" t="s">
        <v>75</v>
      </c>
      <c r="C167" s="115">
        <v>39045</v>
      </c>
      <c r="D167" s="126" t="s">
        <v>58</v>
      </c>
      <c r="E167" s="126" t="s">
        <v>76</v>
      </c>
      <c r="F167" s="247">
        <v>2267.5</v>
      </c>
      <c r="G167" s="189">
        <v>561</v>
      </c>
    </row>
    <row r="168" spans="1:7" ht="15">
      <c r="A168" s="491">
        <v>165</v>
      </c>
      <c r="B168" s="326" t="s">
        <v>75</v>
      </c>
      <c r="C168" s="115">
        <v>39045</v>
      </c>
      <c r="D168" s="172" t="s">
        <v>58</v>
      </c>
      <c r="E168" s="172" t="s">
        <v>76</v>
      </c>
      <c r="F168" s="243">
        <v>1284</v>
      </c>
      <c r="G168" s="189">
        <v>303</v>
      </c>
    </row>
    <row r="169" spans="1:7" ht="15">
      <c r="A169" s="491">
        <v>166</v>
      </c>
      <c r="B169" s="275" t="s">
        <v>75</v>
      </c>
      <c r="C169" s="146">
        <v>39045</v>
      </c>
      <c r="D169" s="266" t="s">
        <v>58</v>
      </c>
      <c r="E169" s="266" t="s">
        <v>76</v>
      </c>
      <c r="F169" s="249">
        <v>1210</v>
      </c>
      <c r="G169" s="152">
        <v>300</v>
      </c>
    </row>
    <row r="170" spans="1:7" ht="15">
      <c r="A170" s="491">
        <v>167</v>
      </c>
      <c r="B170" s="326" t="s">
        <v>75</v>
      </c>
      <c r="C170" s="115">
        <v>39045</v>
      </c>
      <c r="D170" s="172" t="s">
        <v>58</v>
      </c>
      <c r="E170" s="172" t="s">
        <v>76</v>
      </c>
      <c r="F170" s="243">
        <v>1033</v>
      </c>
      <c r="G170" s="189">
        <v>241</v>
      </c>
    </row>
    <row r="171" spans="1:7" ht="15">
      <c r="A171" s="491">
        <v>168</v>
      </c>
      <c r="B171" s="240" t="s">
        <v>75</v>
      </c>
      <c r="C171" s="115">
        <v>39045</v>
      </c>
      <c r="D171" s="126" t="s">
        <v>12</v>
      </c>
      <c r="E171" s="126" t="s">
        <v>76</v>
      </c>
      <c r="F171" s="243">
        <v>836</v>
      </c>
      <c r="G171" s="189">
        <v>161</v>
      </c>
    </row>
    <row r="172" spans="1:7" ht="15">
      <c r="A172" s="491">
        <v>169</v>
      </c>
      <c r="B172" s="240" t="s">
        <v>75</v>
      </c>
      <c r="C172" s="115">
        <v>39045</v>
      </c>
      <c r="D172" s="126" t="s">
        <v>58</v>
      </c>
      <c r="E172" s="126" t="s">
        <v>76</v>
      </c>
      <c r="F172" s="243">
        <v>108</v>
      </c>
      <c r="G172" s="189">
        <v>13</v>
      </c>
    </row>
    <row r="173" spans="1:7" ht="15">
      <c r="A173" s="491">
        <v>170</v>
      </c>
      <c r="B173" s="241" t="s">
        <v>310</v>
      </c>
      <c r="C173" s="115">
        <v>37785</v>
      </c>
      <c r="D173" s="130" t="s">
        <v>23</v>
      </c>
      <c r="E173" s="129" t="s">
        <v>311</v>
      </c>
      <c r="F173" s="247">
        <v>592</v>
      </c>
      <c r="G173" s="189">
        <v>148</v>
      </c>
    </row>
    <row r="174" spans="1:7" ht="15">
      <c r="A174" s="491">
        <v>171</v>
      </c>
      <c r="B174" s="240" t="s">
        <v>406</v>
      </c>
      <c r="C174" s="115">
        <v>38436</v>
      </c>
      <c r="D174" s="126" t="s">
        <v>58</v>
      </c>
      <c r="E174" s="126" t="s">
        <v>66</v>
      </c>
      <c r="F174" s="243">
        <v>4533</v>
      </c>
      <c r="G174" s="189">
        <v>906</v>
      </c>
    </row>
    <row r="175" spans="1:7" ht="15">
      <c r="A175" s="491">
        <v>172</v>
      </c>
      <c r="B175" s="144" t="s">
        <v>210</v>
      </c>
      <c r="C175" s="115">
        <v>38072</v>
      </c>
      <c r="D175" s="127" t="s">
        <v>211</v>
      </c>
      <c r="E175" s="127" t="s">
        <v>212</v>
      </c>
      <c r="F175" s="243">
        <v>354</v>
      </c>
      <c r="G175" s="189">
        <v>118</v>
      </c>
    </row>
    <row r="176" spans="1:7" ht="15">
      <c r="A176" s="491">
        <v>173</v>
      </c>
      <c r="B176" s="175" t="s">
        <v>122</v>
      </c>
      <c r="C176" s="114">
        <v>39066</v>
      </c>
      <c r="D176" s="125" t="s">
        <v>56</v>
      </c>
      <c r="E176" s="124" t="s">
        <v>69</v>
      </c>
      <c r="F176" s="248">
        <v>1057112</v>
      </c>
      <c r="G176" s="151">
        <v>151061</v>
      </c>
    </row>
    <row r="177" spans="1:7" ht="15">
      <c r="A177" s="491">
        <v>174</v>
      </c>
      <c r="B177" s="175" t="s">
        <v>122</v>
      </c>
      <c r="C177" s="114">
        <v>39066</v>
      </c>
      <c r="D177" s="173" t="s">
        <v>56</v>
      </c>
      <c r="E177" s="173" t="s">
        <v>69</v>
      </c>
      <c r="F177" s="244">
        <f>222438-23</f>
        <v>222415</v>
      </c>
      <c r="G177" s="188">
        <v>33037</v>
      </c>
    </row>
    <row r="178" spans="1:7" ht="15">
      <c r="A178" s="491">
        <v>175</v>
      </c>
      <c r="B178" s="142" t="s">
        <v>122</v>
      </c>
      <c r="C178" s="114">
        <v>39066</v>
      </c>
      <c r="D178" s="125" t="s">
        <v>56</v>
      </c>
      <c r="E178" s="124" t="s">
        <v>69</v>
      </c>
      <c r="F178" s="244">
        <v>32518</v>
      </c>
      <c r="G178" s="188">
        <v>6240</v>
      </c>
    </row>
    <row r="179" spans="1:7" ht="15">
      <c r="A179" s="491">
        <v>176</v>
      </c>
      <c r="B179" s="175" t="s">
        <v>122</v>
      </c>
      <c r="C179" s="114">
        <v>39066</v>
      </c>
      <c r="D179" s="125" t="s">
        <v>56</v>
      </c>
      <c r="E179" s="124" t="s">
        <v>69</v>
      </c>
      <c r="F179" s="244">
        <v>14705</v>
      </c>
      <c r="G179" s="188">
        <v>4042</v>
      </c>
    </row>
    <row r="180" spans="1:7" ht="15">
      <c r="A180" s="491">
        <v>177</v>
      </c>
      <c r="B180" s="142" t="s">
        <v>122</v>
      </c>
      <c r="C180" s="114">
        <v>39066</v>
      </c>
      <c r="D180" s="125" t="s">
        <v>56</v>
      </c>
      <c r="E180" s="124" t="s">
        <v>69</v>
      </c>
      <c r="F180" s="244">
        <v>6718</v>
      </c>
      <c r="G180" s="188">
        <v>1655</v>
      </c>
    </row>
    <row r="181" spans="1:7" ht="15">
      <c r="A181" s="491">
        <v>178</v>
      </c>
      <c r="B181" s="239" t="s">
        <v>122</v>
      </c>
      <c r="C181" s="114">
        <v>39066</v>
      </c>
      <c r="D181" s="125" t="s">
        <v>56</v>
      </c>
      <c r="E181" s="124" t="s">
        <v>69</v>
      </c>
      <c r="F181" s="248">
        <v>2937</v>
      </c>
      <c r="G181" s="188">
        <v>674</v>
      </c>
    </row>
    <row r="182" spans="1:7" ht="15">
      <c r="A182" s="491">
        <v>179</v>
      </c>
      <c r="B182" s="142" t="s">
        <v>122</v>
      </c>
      <c r="C182" s="114">
        <v>39066</v>
      </c>
      <c r="D182" s="264" t="s">
        <v>56</v>
      </c>
      <c r="E182" s="265" t="s">
        <v>69</v>
      </c>
      <c r="F182" s="244">
        <v>2701</v>
      </c>
      <c r="G182" s="188">
        <v>740</v>
      </c>
    </row>
    <row r="183" spans="1:7" ht="15">
      <c r="A183" s="491">
        <v>180</v>
      </c>
      <c r="B183" s="239" t="s">
        <v>122</v>
      </c>
      <c r="C183" s="114">
        <v>39066</v>
      </c>
      <c r="D183" s="264" t="s">
        <v>56</v>
      </c>
      <c r="E183" s="265" t="s">
        <v>69</v>
      </c>
      <c r="F183" s="248">
        <v>2526</v>
      </c>
      <c r="G183" s="151">
        <v>706</v>
      </c>
    </row>
    <row r="184" spans="1:7" ht="15">
      <c r="A184" s="491">
        <v>181</v>
      </c>
      <c r="B184" s="142" t="s">
        <v>122</v>
      </c>
      <c r="C184" s="114">
        <v>39066</v>
      </c>
      <c r="D184" s="264" t="s">
        <v>56</v>
      </c>
      <c r="E184" s="265" t="s">
        <v>69</v>
      </c>
      <c r="F184" s="248">
        <v>500</v>
      </c>
      <c r="G184" s="151">
        <v>92</v>
      </c>
    </row>
    <row r="185" spans="1:7" ht="15">
      <c r="A185" s="491">
        <v>182</v>
      </c>
      <c r="B185" s="239" t="s">
        <v>122</v>
      </c>
      <c r="C185" s="114">
        <v>39066</v>
      </c>
      <c r="D185" s="125" t="s">
        <v>56</v>
      </c>
      <c r="E185" s="124" t="s">
        <v>69</v>
      </c>
      <c r="F185" s="244">
        <v>346</v>
      </c>
      <c r="G185" s="188">
        <v>65</v>
      </c>
    </row>
    <row r="186" spans="1:7" ht="15">
      <c r="A186" s="491">
        <v>183</v>
      </c>
      <c r="B186" s="239" t="s">
        <v>122</v>
      </c>
      <c r="C186" s="114">
        <v>39066</v>
      </c>
      <c r="D186" s="125" t="s">
        <v>56</v>
      </c>
      <c r="E186" s="124" t="s">
        <v>69</v>
      </c>
      <c r="F186" s="244">
        <v>252</v>
      </c>
      <c r="G186" s="188">
        <v>36</v>
      </c>
    </row>
    <row r="187" spans="1:7" ht="15">
      <c r="A187" s="491">
        <v>184</v>
      </c>
      <c r="B187" s="242" t="s">
        <v>122</v>
      </c>
      <c r="C187" s="114">
        <v>39066</v>
      </c>
      <c r="D187" s="310" t="s">
        <v>56</v>
      </c>
      <c r="E187" s="310" t="s">
        <v>69</v>
      </c>
      <c r="F187" s="244">
        <v>231</v>
      </c>
      <c r="G187" s="188">
        <v>33</v>
      </c>
    </row>
    <row r="188" spans="1:7" ht="15">
      <c r="A188" s="491">
        <v>185</v>
      </c>
      <c r="B188" s="325" t="s">
        <v>122</v>
      </c>
      <c r="C188" s="114">
        <v>39066</v>
      </c>
      <c r="D188" s="173" t="s">
        <v>56</v>
      </c>
      <c r="E188" s="173" t="s">
        <v>69</v>
      </c>
      <c r="F188" s="244">
        <v>168</v>
      </c>
      <c r="G188" s="188">
        <v>24</v>
      </c>
    </row>
    <row r="189" spans="1:7" ht="15">
      <c r="A189" s="491">
        <v>186</v>
      </c>
      <c r="B189" s="322" t="s">
        <v>122</v>
      </c>
      <c r="C189" s="315">
        <v>39066</v>
      </c>
      <c r="D189" s="314" t="s">
        <v>56</v>
      </c>
      <c r="E189" s="314" t="s">
        <v>69</v>
      </c>
      <c r="F189" s="244">
        <v>168</v>
      </c>
      <c r="G189" s="188">
        <v>24</v>
      </c>
    </row>
    <row r="190" spans="1:7" ht="15">
      <c r="A190" s="491">
        <v>187</v>
      </c>
      <c r="B190" s="239" t="s">
        <v>122</v>
      </c>
      <c r="C190" s="114">
        <v>39066</v>
      </c>
      <c r="D190" s="125" t="s">
        <v>56</v>
      </c>
      <c r="E190" s="124" t="s">
        <v>69</v>
      </c>
      <c r="F190" s="248">
        <v>140</v>
      </c>
      <c r="G190" s="188">
        <v>20</v>
      </c>
    </row>
    <row r="191" spans="1:7" ht="15">
      <c r="A191" s="491">
        <v>188</v>
      </c>
      <c r="B191" s="325" t="s">
        <v>122</v>
      </c>
      <c r="C191" s="114">
        <v>39066</v>
      </c>
      <c r="D191" s="173" t="s">
        <v>56</v>
      </c>
      <c r="E191" s="173" t="s">
        <v>69</v>
      </c>
      <c r="F191" s="244">
        <v>126</v>
      </c>
      <c r="G191" s="188">
        <v>18</v>
      </c>
    </row>
    <row r="192" spans="1:7" ht="15">
      <c r="A192" s="491">
        <v>189</v>
      </c>
      <c r="B192" s="239" t="s">
        <v>122</v>
      </c>
      <c r="C192" s="114">
        <v>39066</v>
      </c>
      <c r="D192" s="125" t="s">
        <v>56</v>
      </c>
      <c r="E192" s="124" t="s">
        <v>69</v>
      </c>
      <c r="F192" s="248">
        <v>112</v>
      </c>
      <c r="G192" s="151">
        <v>16</v>
      </c>
    </row>
    <row r="193" spans="1:7" ht="15">
      <c r="A193" s="491">
        <v>190</v>
      </c>
      <c r="B193" s="325" t="s">
        <v>122</v>
      </c>
      <c r="C193" s="114">
        <v>39066</v>
      </c>
      <c r="D193" s="173" t="s">
        <v>56</v>
      </c>
      <c r="E193" s="173" t="s">
        <v>69</v>
      </c>
      <c r="F193" s="244">
        <v>84</v>
      </c>
      <c r="G193" s="188">
        <v>12</v>
      </c>
    </row>
    <row r="194" spans="1:7" ht="15">
      <c r="A194" s="491">
        <v>191</v>
      </c>
      <c r="B194" s="143" t="s">
        <v>112</v>
      </c>
      <c r="C194" s="146">
        <v>39066</v>
      </c>
      <c r="D194" s="141" t="s">
        <v>58</v>
      </c>
      <c r="E194" s="141" t="s">
        <v>59</v>
      </c>
      <c r="F194" s="249">
        <v>144826</v>
      </c>
      <c r="G194" s="152">
        <v>18766</v>
      </c>
    </row>
    <row r="195" spans="1:7" ht="15">
      <c r="A195" s="491">
        <v>192</v>
      </c>
      <c r="B195" s="176" t="s">
        <v>112</v>
      </c>
      <c r="C195" s="115">
        <v>39066</v>
      </c>
      <c r="D195" s="172" t="s">
        <v>58</v>
      </c>
      <c r="E195" s="172" t="s">
        <v>59</v>
      </c>
      <c r="F195" s="243">
        <v>34457</v>
      </c>
      <c r="G195" s="189">
        <v>4967</v>
      </c>
    </row>
    <row r="196" spans="1:7" ht="15">
      <c r="A196" s="491">
        <v>193</v>
      </c>
      <c r="B196" s="144" t="s">
        <v>112</v>
      </c>
      <c r="C196" s="115">
        <v>39066</v>
      </c>
      <c r="D196" s="126" t="s">
        <v>58</v>
      </c>
      <c r="E196" s="126" t="s">
        <v>59</v>
      </c>
      <c r="F196" s="243">
        <v>11124</v>
      </c>
      <c r="G196" s="189">
        <v>1852</v>
      </c>
    </row>
    <row r="197" spans="1:7" ht="15">
      <c r="A197" s="491">
        <v>194</v>
      </c>
      <c r="B197" s="144" t="s">
        <v>112</v>
      </c>
      <c r="C197" s="115">
        <v>39066</v>
      </c>
      <c r="D197" s="126" t="s">
        <v>58</v>
      </c>
      <c r="E197" s="126" t="s">
        <v>59</v>
      </c>
      <c r="F197" s="243">
        <v>6963</v>
      </c>
      <c r="G197" s="189">
        <v>1244</v>
      </c>
    </row>
    <row r="198" spans="1:7" ht="15">
      <c r="A198" s="491">
        <v>195</v>
      </c>
      <c r="B198" s="240" t="s">
        <v>112</v>
      </c>
      <c r="C198" s="115">
        <v>39066</v>
      </c>
      <c r="D198" s="126" t="s">
        <v>58</v>
      </c>
      <c r="E198" s="126" t="s">
        <v>59</v>
      </c>
      <c r="F198" s="243">
        <v>4855</v>
      </c>
      <c r="G198" s="189">
        <v>788</v>
      </c>
    </row>
    <row r="199" spans="1:7" ht="15">
      <c r="A199" s="491">
        <v>196</v>
      </c>
      <c r="B199" s="143" t="s">
        <v>112</v>
      </c>
      <c r="C199" s="146">
        <v>39066</v>
      </c>
      <c r="D199" s="266" t="s">
        <v>58</v>
      </c>
      <c r="E199" s="265" t="s">
        <v>59</v>
      </c>
      <c r="F199" s="249">
        <v>4250</v>
      </c>
      <c r="G199" s="152">
        <v>551</v>
      </c>
    </row>
    <row r="200" spans="1:7" ht="15">
      <c r="A200" s="491">
        <v>197</v>
      </c>
      <c r="B200" s="144" t="s">
        <v>112</v>
      </c>
      <c r="C200" s="115">
        <v>39066</v>
      </c>
      <c r="D200" s="274" t="s">
        <v>58</v>
      </c>
      <c r="E200" s="274" t="s">
        <v>59</v>
      </c>
      <c r="F200" s="243">
        <v>4097</v>
      </c>
      <c r="G200" s="189">
        <v>838</v>
      </c>
    </row>
    <row r="201" spans="1:7" ht="15">
      <c r="A201" s="491">
        <v>198</v>
      </c>
      <c r="B201" s="275" t="s">
        <v>112</v>
      </c>
      <c r="C201" s="146">
        <v>39066</v>
      </c>
      <c r="D201" s="266" t="s">
        <v>58</v>
      </c>
      <c r="E201" s="266" t="s">
        <v>59</v>
      </c>
      <c r="F201" s="249">
        <v>1477</v>
      </c>
      <c r="G201" s="152">
        <v>305</v>
      </c>
    </row>
    <row r="202" spans="1:7" ht="15">
      <c r="A202" s="491">
        <v>199</v>
      </c>
      <c r="B202" s="240" t="s">
        <v>112</v>
      </c>
      <c r="C202" s="115">
        <v>39066</v>
      </c>
      <c r="D202" s="126" t="s">
        <v>58</v>
      </c>
      <c r="E202" s="126" t="s">
        <v>59</v>
      </c>
      <c r="F202" s="247">
        <v>1425</v>
      </c>
      <c r="G202" s="189">
        <v>168</v>
      </c>
    </row>
    <row r="203" spans="1:7" ht="15">
      <c r="A203" s="491">
        <v>200</v>
      </c>
      <c r="B203" s="240" t="s">
        <v>112</v>
      </c>
      <c r="C203" s="115">
        <v>39066</v>
      </c>
      <c r="D203" s="126" t="s">
        <v>12</v>
      </c>
      <c r="E203" s="126" t="s">
        <v>59</v>
      </c>
      <c r="F203" s="243">
        <v>76</v>
      </c>
      <c r="G203" s="189">
        <v>19</v>
      </c>
    </row>
    <row r="204" spans="1:7" ht="15">
      <c r="A204" s="491">
        <v>201</v>
      </c>
      <c r="B204" s="241" t="s">
        <v>191</v>
      </c>
      <c r="C204" s="115">
        <v>38863</v>
      </c>
      <c r="D204" s="311" t="s">
        <v>23</v>
      </c>
      <c r="E204" s="311" t="s">
        <v>13</v>
      </c>
      <c r="F204" s="243">
        <v>1780</v>
      </c>
      <c r="G204" s="189">
        <v>445</v>
      </c>
    </row>
    <row r="205" spans="1:7" ht="15">
      <c r="A205" s="491">
        <v>202</v>
      </c>
      <c r="B205" s="241" t="s">
        <v>191</v>
      </c>
      <c r="C205" s="115">
        <v>38863</v>
      </c>
      <c r="D205" s="130" t="s">
        <v>23</v>
      </c>
      <c r="E205" s="129" t="s">
        <v>13</v>
      </c>
      <c r="F205" s="243">
        <v>952</v>
      </c>
      <c r="G205" s="189">
        <v>238</v>
      </c>
    </row>
    <row r="206" spans="1:7" ht="15">
      <c r="A206" s="491">
        <v>203</v>
      </c>
      <c r="B206" s="241" t="s">
        <v>191</v>
      </c>
      <c r="C206" s="115">
        <v>38863</v>
      </c>
      <c r="D206" s="130" t="s">
        <v>23</v>
      </c>
      <c r="E206" s="129" t="s">
        <v>13</v>
      </c>
      <c r="F206" s="243">
        <v>952</v>
      </c>
      <c r="G206" s="189">
        <v>238</v>
      </c>
    </row>
    <row r="207" spans="1:7" ht="15">
      <c r="A207" s="491">
        <v>204</v>
      </c>
      <c r="B207" s="241" t="s">
        <v>191</v>
      </c>
      <c r="C207" s="115">
        <v>38863</v>
      </c>
      <c r="D207" s="130" t="s">
        <v>23</v>
      </c>
      <c r="E207" s="129" t="s">
        <v>13</v>
      </c>
      <c r="F207" s="247">
        <v>353.6</v>
      </c>
      <c r="G207" s="189">
        <v>221</v>
      </c>
    </row>
    <row r="208" spans="1:7" ht="15">
      <c r="A208" s="491">
        <v>205</v>
      </c>
      <c r="B208" s="240" t="s">
        <v>131</v>
      </c>
      <c r="C208" s="115">
        <v>39024</v>
      </c>
      <c r="D208" s="126" t="s">
        <v>58</v>
      </c>
      <c r="E208" s="126" t="s">
        <v>33</v>
      </c>
      <c r="F208" s="247">
        <v>5313</v>
      </c>
      <c r="G208" s="189">
        <v>1142</v>
      </c>
    </row>
    <row r="209" spans="1:7" ht="15">
      <c r="A209" s="491">
        <v>206</v>
      </c>
      <c r="B209" s="176" t="s">
        <v>131</v>
      </c>
      <c r="C209" s="115">
        <v>39024</v>
      </c>
      <c r="D209" s="172" t="s">
        <v>58</v>
      </c>
      <c r="E209" s="172" t="s">
        <v>33</v>
      </c>
      <c r="F209" s="243">
        <v>2927</v>
      </c>
      <c r="G209" s="189">
        <v>723</v>
      </c>
    </row>
    <row r="210" spans="1:7" ht="15">
      <c r="A210" s="491">
        <v>207</v>
      </c>
      <c r="B210" s="487" t="s">
        <v>131</v>
      </c>
      <c r="C210" s="385">
        <v>39024</v>
      </c>
      <c r="D210" s="488" t="s">
        <v>58</v>
      </c>
      <c r="E210" s="488" t="s">
        <v>33</v>
      </c>
      <c r="F210" s="489">
        <v>2376</v>
      </c>
      <c r="G210" s="386">
        <v>475</v>
      </c>
    </row>
    <row r="211" spans="1:7" ht="15">
      <c r="A211" s="491">
        <v>208</v>
      </c>
      <c r="B211" s="143" t="s">
        <v>131</v>
      </c>
      <c r="C211" s="146">
        <v>39024</v>
      </c>
      <c r="D211" s="266" t="s">
        <v>58</v>
      </c>
      <c r="E211" s="265" t="s">
        <v>33</v>
      </c>
      <c r="F211" s="249">
        <v>1928</v>
      </c>
      <c r="G211" s="152">
        <v>386</v>
      </c>
    </row>
    <row r="212" spans="1:7" ht="15">
      <c r="A212" s="491">
        <v>209</v>
      </c>
      <c r="B212" s="326" t="s">
        <v>131</v>
      </c>
      <c r="C212" s="115">
        <v>39024</v>
      </c>
      <c r="D212" s="172" t="s">
        <v>58</v>
      </c>
      <c r="E212" s="172" t="s">
        <v>33</v>
      </c>
      <c r="F212" s="243">
        <v>1782</v>
      </c>
      <c r="G212" s="189">
        <v>446</v>
      </c>
    </row>
    <row r="213" spans="1:7" ht="15">
      <c r="A213" s="491">
        <v>210</v>
      </c>
      <c r="B213" s="143" t="s">
        <v>131</v>
      </c>
      <c r="C213" s="146">
        <v>39024</v>
      </c>
      <c r="D213" s="141" t="s">
        <v>58</v>
      </c>
      <c r="E213" s="141" t="s">
        <v>33</v>
      </c>
      <c r="F213" s="249">
        <v>1598</v>
      </c>
      <c r="G213" s="152">
        <v>301</v>
      </c>
    </row>
    <row r="214" spans="1:7" ht="15">
      <c r="A214" s="491">
        <v>211</v>
      </c>
      <c r="B214" s="144" t="s">
        <v>131</v>
      </c>
      <c r="C214" s="115">
        <v>39024</v>
      </c>
      <c r="D214" s="126" t="s">
        <v>58</v>
      </c>
      <c r="E214" s="126" t="s">
        <v>33</v>
      </c>
      <c r="F214" s="243">
        <v>1432</v>
      </c>
      <c r="G214" s="189">
        <v>434</v>
      </c>
    </row>
    <row r="215" spans="1:7" ht="15">
      <c r="A215" s="491">
        <v>212</v>
      </c>
      <c r="B215" s="240" t="s">
        <v>131</v>
      </c>
      <c r="C215" s="115">
        <v>39024</v>
      </c>
      <c r="D215" s="126" t="s">
        <v>58</v>
      </c>
      <c r="E215" s="126" t="s">
        <v>33</v>
      </c>
      <c r="F215" s="243">
        <v>1198</v>
      </c>
      <c r="G215" s="189">
        <v>255</v>
      </c>
    </row>
    <row r="216" spans="1:7" ht="15">
      <c r="A216" s="491">
        <v>213</v>
      </c>
      <c r="B216" s="144" t="s">
        <v>131</v>
      </c>
      <c r="C216" s="115">
        <v>39024</v>
      </c>
      <c r="D216" s="126" t="s">
        <v>58</v>
      </c>
      <c r="E216" s="126" t="s">
        <v>33</v>
      </c>
      <c r="F216" s="243">
        <v>1126</v>
      </c>
      <c r="G216" s="189">
        <v>363</v>
      </c>
    </row>
    <row r="217" spans="1:7" ht="15">
      <c r="A217" s="491">
        <v>214</v>
      </c>
      <c r="B217" s="144" t="s">
        <v>131</v>
      </c>
      <c r="C217" s="115">
        <v>39024</v>
      </c>
      <c r="D217" s="274" t="s">
        <v>58</v>
      </c>
      <c r="E217" s="274" t="s">
        <v>33</v>
      </c>
      <c r="F217" s="243">
        <v>224</v>
      </c>
      <c r="G217" s="189">
        <v>28</v>
      </c>
    </row>
    <row r="218" spans="1:7" ht="15">
      <c r="A218" s="491">
        <v>215</v>
      </c>
      <c r="B218" s="326" t="s">
        <v>131</v>
      </c>
      <c r="C218" s="115">
        <v>39024</v>
      </c>
      <c r="D218" s="172" t="s">
        <v>58</v>
      </c>
      <c r="E218" s="172" t="s">
        <v>33</v>
      </c>
      <c r="F218" s="243">
        <v>213</v>
      </c>
      <c r="G218" s="189">
        <v>48</v>
      </c>
    </row>
    <row r="219" spans="1:7" ht="15">
      <c r="A219" s="491">
        <v>216</v>
      </c>
      <c r="B219" s="240" t="s">
        <v>131</v>
      </c>
      <c r="C219" s="115">
        <v>39024</v>
      </c>
      <c r="D219" s="126" t="s">
        <v>58</v>
      </c>
      <c r="E219" s="126" t="s">
        <v>33</v>
      </c>
      <c r="F219" s="243">
        <v>8</v>
      </c>
      <c r="G219" s="189">
        <v>1</v>
      </c>
    </row>
    <row r="220" spans="1:7" ht="15">
      <c r="A220" s="491">
        <v>217</v>
      </c>
      <c r="B220" s="143" t="s">
        <v>125</v>
      </c>
      <c r="C220" s="146">
        <v>39073</v>
      </c>
      <c r="D220" s="141" t="s">
        <v>58</v>
      </c>
      <c r="E220" s="141" t="s">
        <v>58</v>
      </c>
      <c r="F220" s="249">
        <v>996891</v>
      </c>
      <c r="G220" s="152">
        <v>140459</v>
      </c>
    </row>
    <row r="221" spans="1:7" ht="15">
      <c r="A221" s="491">
        <v>218</v>
      </c>
      <c r="B221" s="176" t="s">
        <v>125</v>
      </c>
      <c r="C221" s="115">
        <v>39073</v>
      </c>
      <c r="D221" s="172" t="s">
        <v>58</v>
      </c>
      <c r="E221" s="172" t="s">
        <v>58</v>
      </c>
      <c r="F221" s="243">
        <v>491242.5</v>
      </c>
      <c r="G221" s="189">
        <v>66355</v>
      </c>
    </row>
    <row r="222" spans="1:7" ht="15">
      <c r="A222" s="491">
        <v>219</v>
      </c>
      <c r="B222" s="144" t="s">
        <v>125</v>
      </c>
      <c r="C222" s="115">
        <v>39073</v>
      </c>
      <c r="D222" s="126" t="s">
        <v>58</v>
      </c>
      <c r="E222" s="126" t="s">
        <v>58</v>
      </c>
      <c r="F222" s="243">
        <v>184490.5</v>
      </c>
      <c r="G222" s="189">
        <v>26647</v>
      </c>
    </row>
    <row r="223" spans="1:7" ht="15">
      <c r="A223" s="491">
        <v>220</v>
      </c>
      <c r="B223" s="240" t="s">
        <v>125</v>
      </c>
      <c r="C223" s="115">
        <v>39073</v>
      </c>
      <c r="D223" s="126" t="s">
        <v>58</v>
      </c>
      <c r="E223" s="126" t="s">
        <v>58</v>
      </c>
      <c r="F223" s="243">
        <v>82961.5</v>
      </c>
      <c r="G223" s="189">
        <v>26647</v>
      </c>
    </row>
    <row r="224" spans="1:7" ht="15">
      <c r="A224" s="491">
        <v>221</v>
      </c>
      <c r="B224" s="143" t="s">
        <v>125</v>
      </c>
      <c r="C224" s="146">
        <v>39073</v>
      </c>
      <c r="D224" s="266" t="s">
        <v>58</v>
      </c>
      <c r="E224" s="265" t="s">
        <v>58</v>
      </c>
      <c r="F224" s="249">
        <v>24501.5</v>
      </c>
      <c r="G224" s="152">
        <v>4854</v>
      </c>
    </row>
    <row r="225" spans="1:7" ht="15">
      <c r="A225" s="491">
        <v>222</v>
      </c>
      <c r="B225" s="144" t="s">
        <v>125</v>
      </c>
      <c r="C225" s="115">
        <v>39073</v>
      </c>
      <c r="D225" s="126" t="s">
        <v>58</v>
      </c>
      <c r="E225" s="126" t="s">
        <v>58</v>
      </c>
      <c r="F225" s="243">
        <v>17956.5</v>
      </c>
      <c r="G225" s="189">
        <v>3232</v>
      </c>
    </row>
    <row r="226" spans="1:7" ht="15">
      <c r="A226" s="491">
        <v>223</v>
      </c>
      <c r="B226" s="144" t="s">
        <v>125</v>
      </c>
      <c r="C226" s="115">
        <v>39073</v>
      </c>
      <c r="D226" s="274" t="s">
        <v>58</v>
      </c>
      <c r="E226" s="274" t="s">
        <v>58</v>
      </c>
      <c r="F226" s="243">
        <v>8405</v>
      </c>
      <c r="G226" s="189">
        <v>1984</v>
      </c>
    </row>
    <row r="227" spans="1:7" ht="15">
      <c r="A227" s="491">
        <v>224</v>
      </c>
      <c r="B227" s="240" t="s">
        <v>125</v>
      </c>
      <c r="C227" s="115">
        <v>39073</v>
      </c>
      <c r="D227" s="126" t="s">
        <v>58</v>
      </c>
      <c r="E227" s="126" t="s">
        <v>58</v>
      </c>
      <c r="F227" s="243">
        <v>3378.5</v>
      </c>
      <c r="G227" s="189">
        <v>1198</v>
      </c>
    </row>
    <row r="228" spans="1:7" ht="15">
      <c r="A228" s="491">
        <v>225</v>
      </c>
      <c r="B228" s="240" t="s">
        <v>125</v>
      </c>
      <c r="C228" s="115">
        <v>39073</v>
      </c>
      <c r="D228" s="126" t="s">
        <v>58</v>
      </c>
      <c r="E228" s="126" t="s">
        <v>58</v>
      </c>
      <c r="F228" s="247">
        <v>2380</v>
      </c>
      <c r="G228" s="189">
        <v>430</v>
      </c>
    </row>
    <row r="229" spans="1:7" ht="15">
      <c r="A229" s="491">
        <v>226</v>
      </c>
      <c r="B229" s="240" t="s">
        <v>125</v>
      </c>
      <c r="C229" s="115">
        <v>39073</v>
      </c>
      <c r="D229" s="126" t="s">
        <v>58</v>
      </c>
      <c r="E229" s="126" t="s">
        <v>58</v>
      </c>
      <c r="F229" s="243">
        <v>1510.5</v>
      </c>
      <c r="G229" s="189">
        <v>378</v>
      </c>
    </row>
    <row r="230" spans="1:7" ht="15">
      <c r="A230" s="491">
        <v>227</v>
      </c>
      <c r="B230" s="240" t="s">
        <v>125</v>
      </c>
      <c r="C230" s="115">
        <v>39073</v>
      </c>
      <c r="D230" s="126" t="s">
        <v>12</v>
      </c>
      <c r="E230" s="126" t="s">
        <v>58</v>
      </c>
      <c r="F230" s="243">
        <v>848</v>
      </c>
      <c r="G230" s="189">
        <v>350</v>
      </c>
    </row>
    <row r="231" spans="1:7" ht="15">
      <c r="A231" s="491">
        <v>228</v>
      </c>
      <c r="B231" s="240" t="s">
        <v>125</v>
      </c>
      <c r="C231" s="115">
        <v>39073</v>
      </c>
      <c r="D231" s="126" t="s">
        <v>58</v>
      </c>
      <c r="E231" s="126" t="s">
        <v>58</v>
      </c>
      <c r="F231" s="243">
        <v>497.5</v>
      </c>
      <c r="G231" s="189">
        <v>100</v>
      </c>
    </row>
    <row r="232" spans="1:7" ht="15">
      <c r="A232" s="491">
        <v>229</v>
      </c>
      <c r="B232" s="240" t="s">
        <v>125</v>
      </c>
      <c r="C232" s="115">
        <v>39073</v>
      </c>
      <c r="D232" s="126" t="s">
        <v>58</v>
      </c>
      <c r="E232" s="126" t="s">
        <v>58</v>
      </c>
      <c r="F232" s="243">
        <v>178</v>
      </c>
      <c r="G232" s="189">
        <v>18</v>
      </c>
    </row>
    <row r="233" spans="1:7" ht="15">
      <c r="A233" s="491">
        <v>230</v>
      </c>
      <c r="B233" s="323" t="s">
        <v>125</v>
      </c>
      <c r="C233" s="317">
        <v>39073</v>
      </c>
      <c r="D233" s="316" t="s">
        <v>58</v>
      </c>
      <c r="E233" s="316" t="s">
        <v>58</v>
      </c>
      <c r="F233" s="328">
        <v>140</v>
      </c>
      <c r="G233" s="330">
        <v>35</v>
      </c>
    </row>
    <row r="234" spans="1:7" ht="15">
      <c r="A234" s="491">
        <v>231</v>
      </c>
      <c r="B234" s="145" t="s">
        <v>216</v>
      </c>
      <c r="C234" s="115">
        <v>38779</v>
      </c>
      <c r="D234" s="130" t="s">
        <v>23</v>
      </c>
      <c r="E234" s="129" t="s">
        <v>217</v>
      </c>
      <c r="F234" s="243">
        <v>952</v>
      </c>
      <c r="G234" s="189">
        <v>238</v>
      </c>
    </row>
    <row r="235" spans="1:7" ht="15">
      <c r="A235" s="491">
        <v>232</v>
      </c>
      <c r="B235" s="142" t="s">
        <v>159</v>
      </c>
      <c r="C235" s="114">
        <v>38933</v>
      </c>
      <c r="D235" s="124" t="s">
        <v>48</v>
      </c>
      <c r="E235" s="124" t="s">
        <v>62</v>
      </c>
      <c r="F235" s="245">
        <v>1785</v>
      </c>
      <c r="G235" s="190">
        <v>255</v>
      </c>
    </row>
    <row r="236" spans="1:7" ht="15">
      <c r="A236" s="491">
        <v>233</v>
      </c>
      <c r="B236" s="175" t="s">
        <v>159</v>
      </c>
      <c r="C236" s="114">
        <v>38933</v>
      </c>
      <c r="D236" s="173" t="s">
        <v>48</v>
      </c>
      <c r="E236" s="173" t="s">
        <v>62</v>
      </c>
      <c r="F236" s="245">
        <v>598</v>
      </c>
      <c r="G236" s="190">
        <v>119</v>
      </c>
    </row>
    <row r="237" spans="1:7" ht="15">
      <c r="A237" s="491">
        <v>234</v>
      </c>
      <c r="B237" s="239" t="s">
        <v>159</v>
      </c>
      <c r="C237" s="114">
        <v>38933</v>
      </c>
      <c r="D237" s="124" t="s">
        <v>48</v>
      </c>
      <c r="E237" s="124" t="s">
        <v>62</v>
      </c>
      <c r="F237" s="245">
        <v>100</v>
      </c>
      <c r="G237" s="190">
        <v>20</v>
      </c>
    </row>
    <row r="238" spans="1:7" ht="15">
      <c r="A238" s="491">
        <v>235</v>
      </c>
      <c r="B238" s="239" t="s">
        <v>159</v>
      </c>
      <c r="C238" s="114">
        <v>38933</v>
      </c>
      <c r="D238" s="124" t="s">
        <v>48</v>
      </c>
      <c r="E238" s="124" t="s">
        <v>62</v>
      </c>
      <c r="F238" s="245">
        <v>72</v>
      </c>
      <c r="G238" s="190">
        <v>18</v>
      </c>
    </row>
    <row r="239" spans="1:7" ht="15">
      <c r="A239" s="491">
        <v>236</v>
      </c>
      <c r="B239" s="142" t="s">
        <v>78</v>
      </c>
      <c r="C239" s="114">
        <v>39059</v>
      </c>
      <c r="D239" s="125" t="s">
        <v>56</v>
      </c>
      <c r="E239" s="124" t="s">
        <v>11</v>
      </c>
      <c r="F239" s="244">
        <v>1910</v>
      </c>
      <c r="G239" s="188">
        <v>284</v>
      </c>
    </row>
    <row r="240" spans="1:7" ht="15">
      <c r="A240" s="491">
        <v>237</v>
      </c>
      <c r="B240" s="142" t="s">
        <v>78</v>
      </c>
      <c r="C240" s="114">
        <v>39059</v>
      </c>
      <c r="D240" s="125" t="s">
        <v>56</v>
      </c>
      <c r="E240" s="124" t="s">
        <v>11</v>
      </c>
      <c r="F240" s="248">
        <v>1109</v>
      </c>
      <c r="G240" s="151">
        <v>168</v>
      </c>
    </row>
    <row r="241" spans="1:7" ht="15">
      <c r="A241" s="491">
        <v>238</v>
      </c>
      <c r="B241" s="175" t="s">
        <v>78</v>
      </c>
      <c r="C241" s="114">
        <v>39059</v>
      </c>
      <c r="D241" s="173" t="s">
        <v>56</v>
      </c>
      <c r="E241" s="173" t="s">
        <v>11</v>
      </c>
      <c r="F241" s="244">
        <v>911</v>
      </c>
      <c r="G241" s="188">
        <v>163</v>
      </c>
    </row>
    <row r="242" spans="1:7" ht="15">
      <c r="A242" s="491">
        <v>239</v>
      </c>
      <c r="B242" s="239" t="s">
        <v>78</v>
      </c>
      <c r="C242" s="114">
        <v>39059</v>
      </c>
      <c r="D242" s="125" t="s">
        <v>56</v>
      </c>
      <c r="E242" s="124" t="s">
        <v>11</v>
      </c>
      <c r="F242" s="244">
        <v>492</v>
      </c>
      <c r="G242" s="188">
        <v>70</v>
      </c>
    </row>
    <row r="243" spans="1:7" ht="15">
      <c r="A243" s="491">
        <v>240</v>
      </c>
      <c r="B243" s="239" t="s">
        <v>78</v>
      </c>
      <c r="C243" s="114">
        <v>39059</v>
      </c>
      <c r="D243" s="125" t="s">
        <v>56</v>
      </c>
      <c r="E243" s="124" t="s">
        <v>11</v>
      </c>
      <c r="F243" s="248">
        <v>452</v>
      </c>
      <c r="G243" s="188">
        <v>72</v>
      </c>
    </row>
    <row r="244" spans="1:7" ht="15">
      <c r="A244" s="491">
        <v>241</v>
      </c>
      <c r="B244" s="239" t="s">
        <v>78</v>
      </c>
      <c r="C244" s="114">
        <v>39059</v>
      </c>
      <c r="D244" s="125" t="s">
        <v>56</v>
      </c>
      <c r="E244" s="124" t="s">
        <v>11</v>
      </c>
      <c r="F244" s="248">
        <v>190</v>
      </c>
      <c r="G244" s="188">
        <v>38</v>
      </c>
    </row>
    <row r="245" spans="1:7" ht="15">
      <c r="A245" s="491">
        <v>242</v>
      </c>
      <c r="B245" s="242" t="s">
        <v>78</v>
      </c>
      <c r="C245" s="114">
        <v>39059</v>
      </c>
      <c r="D245" s="310" t="s">
        <v>56</v>
      </c>
      <c r="E245" s="310" t="s">
        <v>11</v>
      </c>
      <c r="F245" s="244">
        <v>76</v>
      </c>
      <c r="G245" s="188">
        <v>12</v>
      </c>
    </row>
    <row r="246" spans="1:7" ht="15">
      <c r="A246" s="491">
        <v>243</v>
      </c>
      <c r="B246" s="325" t="s">
        <v>78</v>
      </c>
      <c r="C246" s="114">
        <v>39059</v>
      </c>
      <c r="D246" s="173" t="s">
        <v>56</v>
      </c>
      <c r="E246" s="173" t="s">
        <v>11</v>
      </c>
      <c r="F246" s="244">
        <v>71</v>
      </c>
      <c r="G246" s="188">
        <v>12</v>
      </c>
    </row>
    <row r="247" spans="1:7" ht="15">
      <c r="A247" s="491">
        <v>244</v>
      </c>
      <c r="B247" s="143" t="s">
        <v>111</v>
      </c>
      <c r="C247" s="146">
        <v>39066</v>
      </c>
      <c r="D247" s="126" t="s">
        <v>57</v>
      </c>
      <c r="E247" s="141" t="s">
        <v>65</v>
      </c>
      <c r="F247" s="249">
        <v>464996</v>
      </c>
      <c r="G247" s="152">
        <v>59280</v>
      </c>
    </row>
    <row r="248" spans="1:7" ht="15">
      <c r="A248" s="491">
        <v>245</v>
      </c>
      <c r="B248" s="176" t="s">
        <v>111</v>
      </c>
      <c r="C248" s="115">
        <v>39066</v>
      </c>
      <c r="D248" s="172" t="s">
        <v>57</v>
      </c>
      <c r="E248" s="172" t="s">
        <v>65</v>
      </c>
      <c r="F248" s="243">
        <v>113805</v>
      </c>
      <c r="G248" s="189">
        <v>17354</v>
      </c>
    </row>
    <row r="249" spans="1:7" ht="15">
      <c r="A249" s="491">
        <v>246</v>
      </c>
      <c r="B249" s="144" t="s">
        <v>111</v>
      </c>
      <c r="C249" s="115">
        <v>39066</v>
      </c>
      <c r="D249" s="126" t="s">
        <v>57</v>
      </c>
      <c r="E249" s="126" t="s">
        <v>65</v>
      </c>
      <c r="F249" s="243">
        <v>53915</v>
      </c>
      <c r="G249" s="189">
        <v>10777</v>
      </c>
    </row>
    <row r="250" spans="1:7" ht="15">
      <c r="A250" s="491">
        <v>247</v>
      </c>
      <c r="B250" s="240" t="s">
        <v>111</v>
      </c>
      <c r="C250" s="115">
        <v>39066</v>
      </c>
      <c r="D250" s="126" t="s">
        <v>57</v>
      </c>
      <c r="E250" s="126" t="s">
        <v>65</v>
      </c>
      <c r="F250" s="243">
        <v>25324</v>
      </c>
      <c r="G250" s="189">
        <v>4706</v>
      </c>
    </row>
    <row r="251" spans="1:7" ht="15">
      <c r="A251" s="491">
        <v>248</v>
      </c>
      <c r="B251" s="240" t="s">
        <v>111</v>
      </c>
      <c r="C251" s="115">
        <v>39066</v>
      </c>
      <c r="D251" s="126" t="s">
        <v>57</v>
      </c>
      <c r="E251" s="126" t="s">
        <v>65</v>
      </c>
      <c r="F251" s="247">
        <v>18828</v>
      </c>
      <c r="G251" s="189">
        <v>3600</v>
      </c>
    </row>
    <row r="252" spans="1:7" ht="15">
      <c r="A252" s="491">
        <v>249</v>
      </c>
      <c r="B252" s="144" t="s">
        <v>111</v>
      </c>
      <c r="C252" s="115">
        <v>39066</v>
      </c>
      <c r="D252" s="126" t="s">
        <v>57</v>
      </c>
      <c r="E252" s="126" t="s">
        <v>65</v>
      </c>
      <c r="F252" s="243">
        <v>13632</v>
      </c>
      <c r="G252" s="189">
        <v>2800</v>
      </c>
    </row>
    <row r="253" spans="1:7" ht="15">
      <c r="A253" s="491">
        <v>250</v>
      </c>
      <c r="B253" s="143" t="s">
        <v>111</v>
      </c>
      <c r="C253" s="146">
        <v>39066</v>
      </c>
      <c r="D253" s="266" t="s">
        <v>57</v>
      </c>
      <c r="E253" s="266" t="s">
        <v>65</v>
      </c>
      <c r="F253" s="249">
        <v>7655</v>
      </c>
      <c r="G253" s="152">
        <v>1253</v>
      </c>
    </row>
    <row r="254" spans="1:7" ht="15">
      <c r="A254" s="491">
        <v>251</v>
      </c>
      <c r="B254" s="144" t="s">
        <v>111</v>
      </c>
      <c r="C254" s="115">
        <v>39066</v>
      </c>
      <c r="D254" s="274" t="s">
        <v>57</v>
      </c>
      <c r="E254" s="274" t="s">
        <v>65</v>
      </c>
      <c r="F254" s="243">
        <v>1899</v>
      </c>
      <c r="G254" s="189">
        <v>287</v>
      </c>
    </row>
    <row r="255" spans="1:7" ht="15">
      <c r="A255" s="491">
        <v>252</v>
      </c>
      <c r="B255" s="241" t="s">
        <v>111</v>
      </c>
      <c r="C255" s="115">
        <v>39073</v>
      </c>
      <c r="D255" s="311" t="s">
        <v>57</v>
      </c>
      <c r="E255" s="311" t="s">
        <v>65</v>
      </c>
      <c r="F255" s="243">
        <v>1750</v>
      </c>
      <c r="G255" s="189">
        <v>525</v>
      </c>
    </row>
    <row r="256" spans="1:7" ht="15">
      <c r="A256" s="491">
        <v>253</v>
      </c>
      <c r="B256" s="240" t="s">
        <v>111</v>
      </c>
      <c r="C256" s="115">
        <v>39073</v>
      </c>
      <c r="D256" s="126" t="s">
        <v>57</v>
      </c>
      <c r="E256" s="126" t="s">
        <v>63</v>
      </c>
      <c r="F256" s="247">
        <v>1214</v>
      </c>
      <c r="G256" s="189">
        <v>237</v>
      </c>
    </row>
    <row r="257" spans="1:7" ht="15">
      <c r="A257" s="491">
        <v>254</v>
      </c>
      <c r="B257" s="240" t="s">
        <v>111</v>
      </c>
      <c r="C257" s="115">
        <v>39073</v>
      </c>
      <c r="D257" s="126" t="s">
        <v>57</v>
      </c>
      <c r="E257" s="126" t="s">
        <v>63</v>
      </c>
      <c r="F257" s="243">
        <v>1004</v>
      </c>
      <c r="G257" s="189">
        <v>160</v>
      </c>
    </row>
    <row r="258" spans="1:7" ht="15">
      <c r="A258" s="491">
        <v>255</v>
      </c>
      <c r="B258" s="275" t="s">
        <v>111</v>
      </c>
      <c r="C258" s="146">
        <v>39066</v>
      </c>
      <c r="D258" s="266" t="s">
        <v>57</v>
      </c>
      <c r="E258" s="266" t="s">
        <v>65</v>
      </c>
      <c r="F258" s="249">
        <v>482</v>
      </c>
      <c r="G258" s="152">
        <v>91</v>
      </c>
    </row>
    <row r="259" spans="1:7" ht="15">
      <c r="A259" s="491">
        <v>256</v>
      </c>
      <c r="B259" s="240" t="s">
        <v>111</v>
      </c>
      <c r="C259" s="115">
        <v>39073</v>
      </c>
      <c r="D259" s="126" t="s">
        <v>57</v>
      </c>
      <c r="E259" s="126" t="s">
        <v>63</v>
      </c>
      <c r="F259" s="243">
        <v>74</v>
      </c>
      <c r="G259" s="189">
        <v>11</v>
      </c>
    </row>
    <row r="260" spans="1:7" ht="15">
      <c r="A260" s="491">
        <v>257</v>
      </c>
      <c r="B260" s="145" t="s">
        <v>87</v>
      </c>
      <c r="C260" s="115">
        <v>38898</v>
      </c>
      <c r="D260" s="130" t="s">
        <v>23</v>
      </c>
      <c r="E260" s="129" t="s">
        <v>162</v>
      </c>
      <c r="F260" s="247">
        <v>1068</v>
      </c>
      <c r="G260" s="154">
        <v>356</v>
      </c>
    </row>
    <row r="261" spans="1:7" ht="15">
      <c r="A261" s="491">
        <v>258</v>
      </c>
      <c r="B261" s="145" t="s">
        <v>87</v>
      </c>
      <c r="C261" s="115">
        <v>38898</v>
      </c>
      <c r="D261" s="130" t="s">
        <v>23</v>
      </c>
      <c r="E261" s="129" t="s">
        <v>162</v>
      </c>
      <c r="F261" s="243">
        <v>454.3</v>
      </c>
      <c r="G261" s="189">
        <v>278</v>
      </c>
    </row>
    <row r="262" spans="1:7" ht="15">
      <c r="A262" s="491">
        <v>259</v>
      </c>
      <c r="B262" s="145" t="s">
        <v>87</v>
      </c>
      <c r="C262" s="115">
        <v>38898</v>
      </c>
      <c r="D262" s="130" t="s">
        <v>23</v>
      </c>
      <c r="E262" s="129" t="s">
        <v>162</v>
      </c>
      <c r="F262" s="243">
        <v>400</v>
      </c>
      <c r="G262" s="189">
        <v>80</v>
      </c>
    </row>
    <row r="263" spans="1:7" ht="15">
      <c r="A263" s="491">
        <v>260</v>
      </c>
      <c r="B263" s="176" t="s">
        <v>87</v>
      </c>
      <c r="C263" s="115">
        <v>38898</v>
      </c>
      <c r="D263" s="172" t="s">
        <v>23</v>
      </c>
      <c r="E263" s="172" t="s">
        <v>162</v>
      </c>
      <c r="F263" s="243">
        <v>30.5</v>
      </c>
      <c r="G263" s="189">
        <v>12</v>
      </c>
    </row>
    <row r="264" spans="1:7" ht="15">
      <c r="A264" s="491">
        <v>261</v>
      </c>
      <c r="B264" s="275" t="s">
        <v>15</v>
      </c>
      <c r="C264" s="146">
        <v>38947</v>
      </c>
      <c r="D264" s="266" t="s">
        <v>58</v>
      </c>
      <c r="E264" s="266" t="s">
        <v>59</v>
      </c>
      <c r="F264" s="249">
        <v>28400</v>
      </c>
      <c r="G264" s="152">
        <v>5667</v>
      </c>
    </row>
    <row r="265" spans="1:7" ht="15">
      <c r="A265" s="491">
        <v>262</v>
      </c>
      <c r="B265" s="240" t="s">
        <v>15</v>
      </c>
      <c r="C265" s="115">
        <v>38947</v>
      </c>
      <c r="D265" s="126" t="s">
        <v>58</v>
      </c>
      <c r="E265" s="126" t="s">
        <v>59</v>
      </c>
      <c r="F265" s="247">
        <v>4027.5</v>
      </c>
      <c r="G265" s="154">
        <v>806</v>
      </c>
    </row>
    <row r="266" spans="1:7" ht="15">
      <c r="A266" s="491">
        <v>263</v>
      </c>
      <c r="B266" s="143" t="s">
        <v>15</v>
      </c>
      <c r="C266" s="146">
        <v>38947</v>
      </c>
      <c r="D266" s="141" t="s">
        <v>58</v>
      </c>
      <c r="E266" s="141" t="s">
        <v>59</v>
      </c>
      <c r="F266" s="249">
        <v>1386</v>
      </c>
      <c r="G266" s="152">
        <v>318</v>
      </c>
    </row>
    <row r="267" spans="1:7" ht="15">
      <c r="A267" s="491">
        <v>264</v>
      </c>
      <c r="B267" s="176" t="s">
        <v>15</v>
      </c>
      <c r="C267" s="115">
        <v>38947</v>
      </c>
      <c r="D267" s="172" t="s">
        <v>58</v>
      </c>
      <c r="E267" s="172" t="s">
        <v>59</v>
      </c>
      <c r="F267" s="243">
        <v>611</v>
      </c>
      <c r="G267" s="189">
        <v>132</v>
      </c>
    </row>
    <row r="268" spans="1:7" ht="15">
      <c r="A268" s="491">
        <v>265</v>
      </c>
      <c r="B268" s="144" t="s">
        <v>15</v>
      </c>
      <c r="C268" s="115">
        <v>38947</v>
      </c>
      <c r="D268" s="274" t="s">
        <v>58</v>
      </c>
      <c r="E268" s="274" t="s">
        <v>59</v>
      </c>
      <c r="F268" s="243">
        <v>530</v>
      </c>
      <c r="G268" s="189">
        <v>105</v>
      </c>
    </row>
    <row r="269" spans="1:7" ht="15">
      <c r="A269" s="491">
        <v>266</v>
      </c>
      <c r="B269" s="144" t="s">
        <v>15</v>
      </c>
      <c r="C269" s="115">
        <v>38947</v>
      </c>
      <c r="D269" s="274" t="s">
        <v>58</v>
      </c>
      <c r="E269" s="274" t="s">
        <v>59</v>
      </c>
      <c r="F269" s="243">
        <v>416</v>
      </c>
      <c r="G269" s="189">
        <v>100</v>
      </c>
    </row>
    <row r="270" spans="1:7" ht="15">
      <c r="A270" s="491">
        <v>267</v>
      </c>
      <c r="B270" s="240" t="s">
        <v>15</v>
      </c>
      <c r="C270" s="115">
        <v>38947</v>
      </c>
      <c r="D270" s="126" t="s">
        <v>12</v>
      </c>
      <c r="E270" s="126" t="s">
        <v>59</v>
      </c>
      <c r="F270" s="243">
        <v>130</v>
      </c>
      <c r="G270" s="189">
        <v>18</v>
      </c>
    </row>
    <row r="271" spans="1:7" ht="15">
      <c r="A271" s="491">
        <v>268</v>
      </c>
      <c r="B271" s="242" t="s">
        <v>270</v>
      </c>
      <c r="C271" s="114">
        <v>38464</v>
      </c>
      <c r="D271" s="127" t="s">
        <v>46</v>
      </c>
      <c r="E271" s="127" t="s">
        <v>271</v>
      </c>
      <c r="F271" s="244">
        <v>5346</v>
      </c>
      <c r="G271" s="188">
        <v>1782</v>
      </c>
    </row>
    <row r="272" spans="1:7" ht="15">
      <c r="A272" s="491">
        <v>269</v>
      </c>
      <c r="B272" s="143" t="s">
        <v>36</v>
      </c>
      <c r="C272" s="146">
        <v>39031</v>
      </c>
      <c r="D272" s="141" t="s">
        <v>58</v>
      </c>
      <c r="E272" s="141" t="s">
        <v>59</v>
      </c>
      <c r="F272" s="249">
        <v>3021</v>
      </c>
      <c r="G272" s="152">
        <v>605</v>
      </c>
    </row>
    <row r="273" spans="1:7" ht="15">
      <c r="A273" s="491">
        <v>270</v>
      </c>
      <c r="B273" s="144" t="s">
        <v>36</v>
      </c>
      <c r="C273" s="115">
        <v>39031</v>
      </c>
      <c r="D273" s="126" t="s">
        <v>58</v>
      </c>
      <c r="E273" s="126" t="s">
        <v>59</v>
      </c>
      <c r="F273" s="243">
        <v>858</v>
      </c>
      <c r="G273" s="189">
        <v>170</v>
      </c>
    </row>
    <row r="274" spans="1:7" ht="15">
      <c r="A274" s="491">
        <v>271</v>
      </c>
      <c r="B274" s="240" t="s">
        <v>36</v>
      </c>
      <c r="C274" s="115">
        <v>39031</v>
      </c>
      <c r="D274" s="126" t="s">
        <v>58</v>
      </c>
      <c r="E274" s="126" t="s">
        <v>59</v>
      </c>
      <c r="F274" s="243">
        <v>32</v>
      </c>
      <c r="G274" s="189">
        <v>4</v>
      </c>
    </row>
    <row r="275" spans="1:7" ht="15">
      <c r="A275" s="491">
        <v>272</v>
      </c>
      <c r="B275" s="142" t="s">
        <v>91</v>
      </c>
      <c r="C275" s="114">
        <v>39010</v>
      </c>
      <c r="D275" s="125" t="s">
        <v>56</v>
      </c>
      <c r="E275" s="124" t="s">
        <v>71</v>
      </c>
      <c r="F275" s="248">
        <v>1876</v>
      </c>
      <c r="G275" s="151">
        <v>410</v>
      </c>
    </row>
    <row r="276" spans="1:7" ht="15">
      <c r="A276" s="491">
        <v>273</v>
      </c>
      <c r="B276" s="175" t="s">
        <v>91</v>
      </c>
      <c r="C276" s="114">
        <v>39010</v>
      </c>
      <c r="D276" s="173" t="s">
        <v>56</v>
      </c>
      <c r="E276" s="173" t="s">
        <v>71</v>
      </c>
      <c r="F276" s="244">
        <v>582</v>
      </c>
      <c r="G276" s="188">
        <v>86</v>
      </c>
    </row>
    <row r="277" spans="1:7" ht="15">
      <c r="A277" s="491">
        <v>274</v>
      </c>
      <c r="B277" s="142" t="s">
        <v>91</v>
      </c>
      <c r="C277" s="114">
        <v>39010</v>
      </c>
      <c r="D277" s="125" t="s">
        <v>56</v>
      </c>
      <c r="E277" s="124" t="s">
        <v>71</v>
      </c>
      <c r="F277" s="244">
        <v>267</v>
      </c>
      <c r="G277" s="188">
        <v>37</v>
      </c>
    </row>
    <row r="278" spans="1:7" ht="15">
      <c r="A278" s="491">
        <v>275</v>
      </c>
      <c r="B278" s="176" t="s">
        <v>43</v>
      </c>
      <c r="C278" s="115">
        <v>39038</v>
      </c>
      <c r="D278" s="172" t="s">
        <v>57</v>
      </c>
      <c r="E278" s="172" t="s">
        <v>71</v>
      </c>
      <c r="F278" s="243">
        <v>2705</v>
      </c>
      <c r="G278" s="189">
        <v>636</v>
      </c>
    </row>
    <row r="279" spans="1:7" ht="15">
      <c r="A279" s="491">
        <v>276</v>
      </c>
      <c r="B279" s="144" t="s">
        <v>43</v>
      </c>
      <c r="C279" s="115">
        <v>39038</v>
      </c>
      <c r="D279" s="126" t="s">
        <v>57</v>
      </c>
      <c r="E279" s="126" t="s">
        <v>71</v>
      </c>
      <c r="F279" s="243">
        <v>746</v>
      </c>
      <c r="G279" s="189">
        <v>319</v>
      </c>
    </row>
    <row r="280" spans="1:7" ht="15">
      <c r="A280" s="491">
        <v>277</v>
      </c>
      <c r="B280" s="143" t="s">
        <v>43</v>
      </c>
      <c r="C280" s="146">
        <v>39038</v>
      </c>
      <c r="D280" s="126" t="s">
        <v>57</v>
      </c>
      <c r="E280" s="141" t="s">
        <v>71</v>
      </c>
      <c r="F280" s="249">
        <v>197</v>
      </c>
      <c r="G280" s="152">
        <v>24</v>
      </c>
    </row>
    <row r="281" spans="1:7" ht="15">
      <c r="A281" s="491">
        <v>278</v>
      </c>
      <c r="B281" s="240" t="s">
        <v>77</v>
      </c>
      <c r="C281" s="115">
        <v>39045</v>
      </c>
      <c r="D281" s="126" t="s">
        <v>58</v>
      </c>
      <c r="E281" s="126" t="s">
        <v>39</v>
      </c>
      <c r="F281" s="243">
        <v>29071.5</v>
      </c>
      <c r="G281" s="189">
        <v>5809</v>
      </c>
    </row>
    <row r="282" spans="1:7" ht="15">
      <c r="A282" s="491">
        <v>279</v>
      </c>
      <c r="B282" s="240" t="s">
        <v>77</v>
      </c>
      <c r="C282" s="115">
        <v>39045</v>
      </c>
      <c r="D282" s="126" t="s">
        <v>58</v>
      </c>
      <c r="E282" s="126" t="s">
        <v>39</v>
      </c>
      <c r="F282" s="243">
        <v>20659.5</v>
      </c>
      <c r="G282" s="189">
        <v>4132</v>
      </c>
    </row>
    <row r="283" spans="1:7" ht="15">
      <c r="A283" s="491">
        <v>280</v>
      </c>
      <c r="B283" s="143" t="s">
        <v>77</v>
      </c>
      <c r="C283" s="146">
        <v>39045</v>
      </c>
      <c r="D283" s="141" t="s">
        <v>58</v>
      </c>
      <c r="E283" s="141" t="s">
        <v>39</v>
      </c>
      <c r="F283" s="249">
        <v>17062</v>
      </c>
      <c r="G283" s="152">
        <v>3367</v>
      </c>
    </row>
    <row r="284" spans="1:7" ht="15">
      <c r="A284" s="491">
        <v>281</v>
      </c>
      <c r="B284" s="176" t="s">
        <v>77</v>
      </c>
      <c r="C284" s="115">
        <v>39045</v>
      </c>
      <c r="D284" s="172" t="s">
        <v>58</v>
      </c>
      <c r="E284" s="172" t="s">
        <v>39</v>
      </c>
      <c r="F284" s="243">
        <v>5450</v>
      </c>
      <c r="G284" s="189">
        <v>985</v>
      </c>
    </row>
    <row r="285" spans="1:7" ht="15">
      <c r="A285" s="491">
        <v>282</v>
      </c>
      <c r="B285" s="144" t="s">
        <v>77</v>
      </c>
      <c r="C285" s="115">
        <v>39045</v>
      </c>
      <c r="D285" s="126" t="s">
        <v>58</v>
      </c>
      <c r="E285" s="126" t="s">
        <v>39</v>
      </c>
      <c r="F285" s="243">
        <v>5150</v>
      </c>
      <c r="G285" s="189">
        <v>717</v>
      </c>
    </row>
    <row r="286" spans="1:7" ht="15">
      <c r="A286" s="491">
        <v>283</v>
      </c>
      <c r="B286" s="143" t="s">
        <v>77</v>
      </c>
      <c r="C286" s="146">
        <v>39045</v>
      </c>
      <c r="D286" s="266" t="s">
        <v>58</v>
      </c>
      <c r="E286" s="265" t="s">
        <v>39</v>
      </c>
      <c r="F286" s="249">
        <v>2038</v>
      </c>
      <c r="G286" s="152">
        <v>401</v>
      </c>
    </row>
    <row r="287" spans="1:7" ht="15">
      <c r="A287" s="491">
        <v>284</v>
      </c>
      <c r="B287" s="144" t="s">
        <v>77</v>
      </c>
      <c r="C287" s="115">
        <v>39045</v>
      </c>
      <c r="D287" s="126" t="s">
        <v>58</v>
      </c>
      <c r="E287" s="126" t="s">
        <v>39</v>
      </c>
      <c r="F287" s="243">
        <v>960</v>
      </c>
      <c r="G287" s="189">
        <v>240</v>
      </c>
    </row>
    <row r="288" spans="1:7" ht="15">
      <c r="A288" s="491">
        <v>285</v>
      </c>
      <c r="B288" s="144" t="s">
        <v>77</v>
      </c>
      <c r="C288" s="115">
        <v>39045</v>
      </c>
      <c r="D288" s="274" t="s">
        <v>58</v>
      </c>
      <c r="E288" s="274" t="s">
        <v>39</v>
      </c>
      <c r="F288" s="243">
        <v>657</v>
      </c>
      <c r="G288" s="189">
        <v>144</v>
      </c>
    </row>
    <row r="289" spans="1:7" ht="15">
      <c r="A289" s="491">
        <v>286</v>
      </c>
      <c r="B289" s="144" t="s">
        <v>77</v>
      </c>
      <c r="C289" s="115">
        <v>39045</v>
      </c>
      <c r="D289" s="274" t="s">
        <v>58</v>
      </c>
      <c r="E289" s="274" t="s">
        <v>39</v>
      </c>
      <c r="F289" s="243">
        <v>44</v>
      </c>
      <c r="G289" s="189">
        <v>5</v>
      </c>
    </row>
    <row r="290" spans="1:7" ht="15">
      <c r="A290" s="491">
        <v>287</v>
      </c>
      <c r="B290" s="240" t="s">
        <v>77</v>
      </c>
      <c r="C290" s="115">
        <v>39045</v>
      </c>
      <c r="D290" s="126" t="s">
        <v>58</v>
      </c>
      <c r="E290" s="126" t="s">
        <v>39</v>
      </c>
      <c r="F290" s="243">
        <v>24</v>
      </c>
      <c r="G290" s="189">
        <v>3</v>
      </c>
    </row>
    <row r="291" spans="1:7" ht="15">
      <c r="A291" s="491">
        <v>288</v>
      </c>
      <c r="B291" s="242" t="s">
        <v>96</v>
      </c>
      <c r="C291" s="114">
        <v>39010</v>
      </c>
      <c r="D291" s="127" t="s">
        <v>45</v>
      </c>
      <c r="E291" s="127" t="s">
        <v>97</v>
      </c>
      <c r="F291" s="248">
        <v>37033.5</v>
      </c>
      <c r="G291" s="188">
        <v>5902</v>
      </c>
    </row>
    <row r="292" spans="1:7" ht="15">
      <c r="A292" s="491">
        <v>289</v>
      </c>
      <c r="B292" s="242" t="s">
        <v>96</v>
      </c>
      <c r="C292" s="114">
        <v>39010</v>
      </c>
      <c r="D292" s="127" t="s">
        <v>45</v>
      </c>
      <c r="E292" s="127" t="s">
        <v>97</v>
      </c>
      <c r="F292" s="244">
        <v>5940</v>
      </c>
      <c r="G292" s="188">
        <v>1980</v>
      </c>
    </row>
    <row r="293" spans="1:7" ht="15">
      <c r="A293" s="491">
        <v>290</v>
      </c>
      <c r="B293" s="140" t="s">
        <v>96</v>
      </c>
      <c r="C293" s="114">
        <v>39010</v>
      </c>
      <c r="D293" s="267" t="s">
        <v>45</v>
      </c>
      <c r="E293" s="267" t="s">
        <v>97</v>
      </c>
      <c r="F293" s="244">
        <v>5940</v>
      </c>
      <c r="G293" s="188">
        <v>1980</v>
      </c>
    </row>
    <row r="294" spans="1:7" ht="15">
      <c r="A294" s="491">
        <v>291</v>
      </c>
      <c r="B294" s="242" t="s">
        <v>96</v>
      </c>
      <c r="C294" s="114">
        <v>39010</v>
      </c>
      <c r="D294" s="127" t="s">
        <v>45</v>
      </c>
      <c r="E294" s="127" t="s">
        <v>97</v>
      </c>
      <c r="F294" s="244">
        <v>5940</v>
      </c>
      <c r="G294" s="188">
        <v>1980</v>
      </c>
    </row>
    <row r="295" spans="1:7" ht="15">
      <c r="A295" s="491">
        <v>292</v>
      </c>
      <c r="B295" s="242" t="s">
        <v>96</v>
      </c>
      <c r="C295" s="114">
        <v>39010</v>
      </c>
      <c r="D295" s="127" t="s">
        <v>45</v>
      </c>
      <c r="E295" s="127" t="s">
        <v>97</v>
      </c>
      <c r="F295" s="244">
        <v>5940</v>
      </c>
      <c r="G295" s="188">
        <v>1980</v>
      </c>
    </row>
    <row r="296" spans="1:7" ht="15">
      <c r="A296" s="491">
        <v>293</v>
      </c>
      <c r="B296" s="140" t="s">
        <v>96</v>
      </c>
      <c r="C296" s="114">
        <v>39010</v>
      </c>
      <c r="D296" s="127" t="s">
        <v>45</v>
      </c>
      <c r="E296" s="127" t="s">
        <v>97</v>
      </c>
      <c r="F296" s="244">
        <v>2834</v>
      </c>
      <c r="G296" s="188">
        <v>949</v>
      </c>
    </row>
    <row r="297" spans="1:7" ht="15">
      <c r="A297" s="491">
        <v>294</v>
      </c>
      <c r="B297" s="140" t="s">
        <v>96</v>
      </c>
      <c r="C297" s="114">
        <v>39010</v>
      </c>
      <c r="D297" s="127" t="s">
        <v>45</v>
      </c>
      <c r="E297" s="127" t="s">
        <v>97</v>
      </c>
      <c r="F297" s="248">
        <v>2245.5</v>
      </c>
      <c r="G297" s="151">
        <v>312</v>
      </c>
    </row>
    <row r="298" spans="1:7" ht="15">
      <c r="A298" s="491">
        <v>295</v>
      </c>
      <c r="B298" s="175" t="s">
        <v>96</v>
      </c>
      <c r="C298" s="114">
        <v>39010</v>
      </c>
      <c r="D298" s="173" t="s">
        <v>45</v>
      </c>
      <c r="E298" s="173" t="s">
        <v>97</v>
      </c>
      <c r="F298" s="244">
        <v>1320</v>
      </c>
      <c r="G298" s="188">
        <v>175</v>
      </c>
    </row>
    <row r="299" spans="1:7" ht="15">
      <c r="A299" s="491">
        <v>296</v>
      </c>
      <c r="B299" s="140" t="s">
        <v>96</v>
      </c>
      <c r="C299" s="114">
        <v>39010</v>
      </c>
      <c r="D299" s="127" t="s">
        <v>45</v>
      </c>
      <c r="E299" s="127" t="s">
        <v>97</v>
      </c>
      <c r="F299" s="244">
        <v>528</v>
      </c>
      <c r="G299" s="188">
        <v>80</v>
      </c>
    </row>
    <row r="300" spans="1:7" ht="15">
      <c r="A300" s="491">
        <v>297</v>
      </c>
      <c r="B300" s="242" t="s">
        <v>96</v>
      </c>
      <c r="C300" s="114">
        <v>39010</v>
      </c>
      <c r="D300" s="127" t="s">
        <v>45</v>
      </c>
      <c r="E300" s="127" t="s">
        <v>97</v>
      </c>
      <c r="F300" s="244">
        <v>224</v>
      </c>
      <c r="G300" s="188">
        <v>30</v>
      </c>
    </row>
    <row r="301" spans="1:7" ht="15">
      <c r="A301" s="491">
        <v>298</v>
      </c>
      <c r="B301" s="142" t="s">
        <v>52</v>
      </c>
      <c r="C301" s="114">
        <v>38800</v>
      </c>
      <c r="D301" s="124" t="s">
        <v>48</v>
      </c>
      <c r="E301" s="124" t="s">
        <v>70</v>
      </c>
      <c r="F301" s="250">
        <v>551</v>
      </c>
      <c r="G301" s="153">
        <v>90</v>
      </c>
    </row>
    <row r="302" spans="1:7" ht="15">
      <c r="A302" s="491">
        <v>299</v>
      </c>
      <c r="B302" s="239" t="s">
        <v>52</v>
      </c>
      <c r="C302" s="114">
        <v>38800</v>
      </c>
      <c r="D302" s="124" t="s">
        <v>48</v>
      </c>
      <c r="E302" s="124" t="s">
        <v>70</v>
      </c>
      <c r="F302" s="245">
        <v>200</v>
      </c>
      <c r="G302" s="190">
        <v>50</v>
      </c>
    </row>
    <row r="303" spans="1:7" ht="15">
      <c r="A303" s="491">
        <v>300</v>
      </c>
      <c r="B303" s="239" t="s">
        <v>193</v>
      </c>
      <c r="C303" s="114">
        <v>38618</v>
      </c>
      <c r="D303" s="124" t="s">
        <v>48</v>
      </c>
      <c r="E303" s="124" t="s">
        <v>194</v>
      </c>
      <c r="F303" s="245">
        <v>1188</v>
      </c>
      <c r="G303" s="190">
        <v>396</v>
      </c>
    </row>
    <row r="304" spans="1:7" ht="15">
      <c r="A304" s="491">
        <v>301</v>
      </c>
      <c r="B304" s="326" t="s">
        <v>83</v>
      </c>
      <c r="C304" s="115">
        <v>38877</v>
      </c>
      <c r="D304" s="172" t="s">
        <v>23</v>
      </c>
      <c r="E304" s="172" t="s">
        <v>27</v>
      </c>
      <c r="F304" s="243">
        <v>6416</v>
      </c>
      <c r="G304" s="189">
        <v>1604</v>
      </c>
    </row>
    <row r="305" spans="1:7" ht="15">
      <c r="A305" s="491">
        <v>302</v>
      </c>
      <c r="B305" s="241" t="s">
        <v>83</v>
      </c>
      <c r="C305" s="115">
        <v>38877</v>
      </c>
      <c r="D305" s="130" t="s">
        <v>23</v>
      </c>
      <c r="E305" s="129" t="s">
        <v>27</v>
      </c>
      <c r="F305" s="243">
        <v>5364.5</v>
      </c>
      <c r="G305" s="189">
        <v>1324</v>
      </c>
    </row>
    <row r="306" spans="1:7" ht="15">
      <c r="A306" s="491">
        <v>303</v>
      </c>
      <c r="B306" s="241" t="s">
        <v>83</v>
      </c>
      <c r="C306" s="115">
        <v>38877</v>
      </c>
      <c r="D306" s="130" t="s">
        <v>23</v>
      </c>
      <c r="E306" s="129" t="s">
        <v>27</v>
      </c>
      <c r="F306" s="247">
        <v>3636.5</v>
      </c>
      <c r="G306" s="154">
        <v>885</v>
      </c>
    </row>
    <row r="307" spans="1:7" ht="15">
      <c r="A307" s="491">
        <v>304</v>
      </c>
      <c r="B307" s="241" t="s">
        <v>83</v>
      </c>
      <c r="C307" s="115">
        <v>38877</v>
      </c>
      <c r="D307" s="311" t="s">
        <v>23</v>
      </c>
      <c r="E307" s="311" t="s">
        <v>27</v>
      </c>
      <c r="F307" s="243">
        <v>1580.5</v>
      </c>
      <c r="G307" s="189">
        <v>370</v>
      </c>
    </row>
    <row r="308" spans="1:7" ht="15">
      <c r="A308" s="491">
        <v>305</v>
      </c>
      <c r="B308" s="145" t="s">
        <v>83</v>
      </c>
      <c r="C308" s="115">
        <v>38877</v>
      </c>
      <c r="D308" s="130" t="s">
        <v>23</v>
      </c>
      <c r="E308" s="129" t="s">
        <v>27</v>
      </c>
      <c r="F308" s="243">
        <v>1105</v>
      </c>
      <c r="G308" s="189">
        <v>285</v>
      </c>
    </row>
    <row r="309" spans="1:7" ht="15">
      <c r="A309" s="491">
        <v>306</v>
      </c>
      <c r="B309" s="241" t="s">
        <v>83</v>
      </c>
      <c r="C309" s="115">
        <v>38877</v>
      </c>
      <c r="D309" s="130" t="s">
        <v>23</v>
      </c>
      <c r="E309" s="129" t="s">
        <v>27</v>
      </c>
      <c r="F309" s="243">
        <v>1086</v>
      </c>
      <c r="G309" s="189">
        <v>267</v>
      </c>
    </row>
    <row r="310" spans="1:7" ht="15">
      <c r="A310" s="491">
        <v>307</v>
      </c>
      <c r="B310" s="241" t="s">
        <v>83</v>
      </c>
      <c r="C310" s="115">
        <v>38877</v>
      </c>
      <c r="D310" s="130" t="s">
        <v>23</v>
      </c>
      <c r="E310" s="129" t="s">
        <v>27</v>
      </c>
      <c r="F310" s="243">
        <v>1075</v>
      </c>
      <c r="G310" s="189">
        <v>265</v>
      </c>
    </row>
    <row r="311" spans="1:7" ht="15">
      <c r="A311" s="491">
        <v>308</v>
      </c>
      <c r="B311" s="241" t="s">
        <v>83</v>
      </c>
      <c r="C311" s="115">
        <v>38877</v>
      </c>
      <c r="D311" s="130" t="s">
        <v>23</v>
      </c>
      <c r="E311" s="129" t="s">
        <v>27</v>
      </c>
      <c r="F311" s="243">
        <v>914</v>
      </c>
      <c r="G311" s="189">
        <v>239</v>
      </c>
    </row>
    <row r="312" spans="1:7" ht="15">
      <c r="A312" s="491">
        <v>309</v>
      </c>
      <c r="B312" s="241" t="s">
        <v>83</v>
      </c>
      <c r="C312" s="115">
        <v>38877</v>
      </c>
      <c r="D312" s="130" t="s">
        <v>23</v>
      </c>
      <c r="E312" s="129" t="s">
        <v>27</v>
      </c>
      <c r="F312" s="243">
        <v>832</v>
      </c>
      <c r="G312" s="189">
        <v>208</v>
      </c>
    </row>
    <row r="313" spans="1:7" ht="15">
      <c r="A313" s="491">
        <v>310</v>
      </c>
      <c r="B313" s="241" t="s">
        <v>83</v>
      </c>
      <c r="C313" s="115">
        <v>38877</v>
      </c>
      <c r="D313" s="130" t="s">
        <v>23</v>
      </c>
      <c r="E313" s="129" t="s">
        <v>27</v>
      </c>
      <c r="F313" s="247">
        <v>789.5</v>
      </c>
      <c r="G313" s="189">
        <v>177</v>
      </c>
    </row>
    <row r="314" spans="1:7" ht="15">
      <c r="A314" s="491">
        <v>311</v>
      </c>
      <c r="B314" s="176" t="s">
        <v>83</v>
      </c>
      <c r="C314" s="115">
        <v>38877</v>
      </c>
      <c r="D314" s="172" t="s">
        <v>23</v>
      </c>
      <c r="E314" s="172" t="s">
        <v>27</v>
      </c>
      <c r="F314" s="243">
        <v>755</v>
      </c>
      <c r="G314" s="189">
        <v>140</v>
      </c>
    </row>
    <row r="315" spans="1:7" ht="15">
      <c r="A315" s="491">
        <v>312</v>
      </c>
      <c r="B315" s="241" t="s">
        <v>83</v>
      </c>
      <c r="C315" s="115">
        <v>38877</v>
      </c>
      <c r="D315" s="130" t="s">
        <v>23</v>
      </c>
      <c r="E315" s="129" t="s">
        <v>27</v>
      </c>
      <c r="F315" s="243">
        <v>725</v>
      </c>
      <c r="G315" s="189">
        <v>145</v>
      </c>
    </row>
    <row r="316" spans="1:7" ht="15">
      <c r="A316" s="491">
        <v>313</v>
      </c>
      <c r="B316" s="145" t="s">
        <v>83</v>
      </c>
      <c r="C316" s="115">
        <v>38877</v>
      </c>
      <c r="D316" s="130" t="s">
        <v>23</v>
      </c>
      <c r="E316" s="129" t="s">
        <v>27</v>
      </c>
      <c r="F316" s="247">
        <v>160</v>
      </c>
      <c r="G316" s="154">
        <v>16</v>
      </c>
    </row>
    <row r="317" spans="1:7" ht="15">
      <c r="A317" s="491">
        <v>314</v>
      </c>
      <c r="B317" s="241" t="s">
        <v>83</v>
      </c>
      <c r="C317" s="115">
        <v>38877</v>
      </c>
      <c r="D317" s="130" t="s">
        <v>23</v>
      </c>
      <c r="E317" s="129" t="s">
        <v>27</v>
      </c>
      <c r="F317" s="247">
        <v>158</v>
      </c>
      <c r="G317" s="154">
        <v>37</v>
      </c>
    </row>
    <row r="318" spans="1:7" ht="15">
      <c r="A318" s="491">
        <v>315</v>
      </c>
      <c r="B318" s="241" t="s">
        <v>83</v>
      </c>
      <c r="C318" s="115">
        <v>38877</v>
      </c>
      <c r="D318" s="130" t="s">
        <v>23</v>
      </c>
      <c r="E318" s="129" t="s">
        <v>27</v>
      </c>
      <c r="F318" s="243">
        <v>81</v>
      </c>
      <c r="G318" s="189">
        <v>18</v>
      </c>
    </row>
    <row r="319" spans="1:7" ht="15">
      <c r="A319" s="491">
        <v>316</v>
      </c>
      <c r="B319" s="240" t="s">
        <v>247</v>
      </c>
      <c r="C319" s="115">
        <v>38821</v>
      </c>
      <c r="D319" s="126" t="s">
        <v>58</v>
      </c>
      <c r="E319" s="126" t="s">
        <v>59</v>
      </c>
      <c r="F319" s="247">
        <v>5035</v>
      </c>
      <c r="G319" s="189">
        <v>1007</v>
      </c>
    </row>
    <row r="320" spans="1:7" ht="15">
      <c r="A320" s="491">
        <v>317</v>
      </c>
      <c r="B320" s="240" t="s">
        <v>247</v>
      </c>
      <c r="C320" s="115">
        <v>38821</v>
      </c>
      <c r="D320" s="126" t="s">
        <v>58</v>
      </c>
      <c r="E320" s="126" t="s">
        <v>59</v>
      </c>
      <c r="F320" s="247">
        <v>4651.5</v>
      </c>
      <c r="G320" s="154">
        <v>884</v>
      </c>
    </row>
    <row r="321" spans="1:7" ht="15">
      <c r="A321" s="491">
        <v>318</v>
      </c>
      <c r="B321" s="326" t="s">
        <v>247</v>
      </c>
      <c r="C321" s="115">
        <v>38821</v>
      </c>
      <c r="D321" s="172" t="s">
        <v>58</v>
      </c>
      <c r="E321" s="172" t="s">
        <v>59</v>
      </c>
      <c r="F321" s="243">
        <v>3349</v>
      </c>
      <c r="G321" s="189">
        <v>645</v>
      </c>
    </row>
    <row r="322" spans="1:7" ht="15">
      <c r="A322" s="491">
        <v>319</v>
      </c>
      <c r="B322" s="144" t="s">
        <v>247</v>
      </c>
      <c r="C322" s="115">
        <v>38821</v>
      </c>
      <c r="D322" s="274" t="s">
        <v>58</v>
      </c>
      <c r="E322" s="274" t="s">
        <v>59</v>
      </c>
      <c r="F322" s="243">
        <v>610</v>
      </c>
      <c r="G322" s="189">
        <v>116</v>
      </c>
    </row>
    <row r="323" spans="1:7" ht="15">
      <c r="A323" s="491">
        <v>320</v>
      </c>
      <c r="B323" s="239" t="s">
        <v>493</v>
      </c>
      <c r="C323" s="114">
        <v>38947</v>
      </c>
      <c r="D323" s="125" t="s">
        <v>56</v>
      </c>
      <c r="E323" s="124" t="s">
        <v>71</v>
      </c>
      <c r="F323" s="244">
        <v>666</v>
      </c>
      <c r="G323" s="188">
        <v>150</v>
      </c>
    </row>
    <row r="324" spans="1:7" ht="15">
      <c r="A324" s="491">
        <v>321</v>
      </c>
      <c r="B324" s="144" t="s">
        <v>206</v>
      </c>
      <c r="C324" s="115">
        <v>37589</v>
      </c>
      <c r="D324" s="127" t="s">
        <v>46</v>
      </c>
      <c r="E324" s="127" t="s">
        <v>207</v>
      </c>
      <c r="F324" s="243">
        <v>354</v>
      </c>
      <c r="G324" s="189">
        <v>118</v>
      </c>
    </row>
    <row r="325" spans="1:7" ht="15">
      <c r="A325" s="491">
        <v>322</v>
      </c>
      <c r="B325" s="326" t="s">
        <v>195</v>
      </c>
      <c r="C325" s="115">
        <v>38982</v>
      </c>
      <c r="D325" s="172" t="s">
        <v>58</v>
      </c>
      <c r="E325" s="172" t="s">
        <v>196</v>
      </c>
      <c r="F325" s="243">
        <v>2376</v>
      </c>
      <c r="G325" s="189">
        <v>475</v>
      </c>
    </row>
    <row r="326" spans="1:7" ht="15">
      <c r="A326" s="491">
        <v>323</v>
      </c>
      <c r="B326" s="326" t="s">
        <v>195</v>
      </c>
      <c r="C326" s="115">
        <v>38982</v>
      </c>
      <c r="D326" s="172" t="s">
        <v>58</v>
      </c>
      <c r="E326" s="172" t="s">
        <v>196</v>
      </c>
      <c r="F326" s="243">
        <v>1782</v>
      </c>
      <c r="G326" s="189">
        <v>446</v>
      </c>
    </row>
    <row r="327" spans="1:7" ht="15">
      <c r="A327" s="491">
        <v>324</v>
      </c>
      <c r="B327" s="240" t="s">
        <v>195</v>
      </c>
      <c r="C327" s="115">
        <v>38982</v>
      </c>
      <c r="D327" s="126" t="s">
        <v>58</v>
      </c>
      <c r="E327" s="126" t="s">
        <v>196</v>
      </c>
      <c r="F327" s="243">
        <v>1510.5</v>
      </c>
      <c r="G327" s="189">
        <v>302</v>
      </c>
    </row>
    <row r="328" spans="1:7" ht="15">
      <c r="A328" s="491">
        <v>325</v>
      </c>
      <c r="B328" s="240" t="s">
        <v>195</v>
      </c>
      <c r="C328" s="115">
        <v>38982</v>
      </c>
      <c r="D328" s="126" t="s">
        <v>58</v>
      </c>
      <c r="E328" s="126" t="s">
        <v>196</v>
      </c>
      <c r="F328" s="243">
        <v>330</v>
      </c>
      <c r="G328" s="189">
        <v>66</v>
      </c>
    </row>
    <row r="329" spans="1:7" ht="15">
      <c r="A329" s="491">
        <v>326</v>
      </c>
      <c r="B329" s="240" t="s">
        <v>195</v>
      </c>
      <c r="C329" s="115">
        <v>38982</v>
      </c>
      <c r="D329" s="126" t="s">
        <v>58</v>
      </c>
      <c r="E329" s="126" t="s">
        <v>196</v>
      </c>
      <c r="F329" s="243">
        <v>184</v>
      </c>
      <c r="G329" s="189">
        <v>23</v>
      </c>
    </row>
    <row r="330" spans="1:7" ht="15">
      <c r="A330" s="491">
        <v>327</v>
      </c>
      <c r="B330" s="142" t="s">
        <v>128</v>
      </c>
      <c r="C330" s="114">
        <v>39038</v>
      </c>
      <c r="D330" s="124" t="s">
        <v>48</v>
      </c>
      <c r="E330" s="124" t="s">
        <v>42</v>
      </c>
      <c r="F330" s="250">
        <v>19312</v>
      </c>
      <c r="G330" s="153">
        <v>3691</v>
      </c>
    </row>
    <row r="331" spans="1:7" ht="15">
      <c r="A331" s="491">
        <v>328</v>
      </c>
      <c r="B331" s="175" t="s">
        <v>128</v>
      </c>
      <c r="C331" s="114">
        <v>39038</v>
      </c>
      <c r="D331" s="173" t="s">
        <v>48</v>
      </c>
      <c r="E331" s="173" t="s">
        <v>42</v>
      </c>
      <c r="F331" s="245">
        <v>9417</v>
      </c>
      <c r="G331" s="190">
        <v>2021</v>
      </c>
    </row>
    <row r="332" spans="1:7" ht="15">
      <c r="A332" s="491">
        <v>329</v>
      </c>
      <c r="B332" s="142" t="s">
        <v>128</v>
      </c>
      <c r="C332" s="114">
        <v>39038</v>
      </c>
      <c r="D332" s="124" t="s">
        <v>48</v>
      </c>
      <c r="E332" s="124" t="s">
        <v>42</v>
      </c>
      <c r="F332" s="245">
        <v>8894</v>
      </c>
      <c r="G332" s="190">
        <v>1715</v>
      </c>
    </row>
    <row r="333" spans="1:7" ht="15">
      <c r="A333" s="491">
        <v>330</v>
      </c>
      <c r="B333" s="325" t="s">
        <v>128</v>
      </c>
      <c r="C333" s="114">
        <v>39038</v>
      </c>
      <c r="D333" s="173" t="s">
        <v>48</v>
      </c>
      <c r="E333" s="173" t="s">
        <v>42</v>
      </c>
      <c r="F333" s="245">
        <v>3292</v>
      </c>
      <c r="G333" s="190">
        <v>658</v>
      </c>
    </row>
    <row r="334" spans="1:7" ht="15">
      <c r="A334" s="491">
        <v>331</v>
      </c>
      <c r="B334" s="239" t="s">
        <v>128</v>
      </c>
      <c r="C334" s="114">
        <v>39038</v>
      </c>
      <c r="D334" s="124" t="s">
        <v>48</v>
      </c>
      <c r="E334" s="124" t="s">
        <v>42</v>
      </c>
      <c r="F334" s="245">
        <v>3218.5</v>
      </c>
      <c r="G334" s="190">
        <v>562</v>
      </c>
    </row>
    <row r="335" spans="1:7" ht="15">
      <c r="A335" s="491">
        <v>332</v>
      </c>
      <c r="B335" s="239" t="s">
        <v>128</v>
      </c>
      <c r="C335" s="114">
        <v>39038</v>
      </c>
      <c r="D335" s="124" t="s">
        <v>48</v>
      </c>
      <c r="E335" s="124" t="s">
        <v>42</v>
      </c>
      <c r="F335" s="245">
        <v>1782</v>
      </c>
      <c r="G335" s="190">
        <v>267</v>
      </c>
    </row>
    <row r="336" spans="1:7" ht="15">
      <c r="A336" s="491">
        <v>333</v>
      </c>
      <c r="B336" s="142" t="s">
        <v>128</v>
      </c>
      <c r="C336" s="114">
        <v>39038</v>
      </c>
      <c r="D336" s="124" t="s">
        <v>48</v>
      </c>
      <c r="E336" s="124" t="s">
        <v>42</v>
      </c>
      <c r="F336" s="245">
        <v>825</v>
      </c>
      <c r="G336" s="190">
        <v>165</v>
      </c>
    </row>
    <row r="337" spans="1:7" ht="15">
      <c r="A337" s="491">
        <v>334</v>
      </c>
      <c r="B337" s="325" t="s">
        <v>128</v>
      </c>
      <c r="C337" s="114">
        <v>39038</v>
      </c>
      <c r="D337" s="173" t="s">
        <v>48</v>
      </c>
      <c r="E337" s="173" t="s">
        <v>42</v>
      </c>
      <c r="F337" s="245">
        <v>210</v>
      </c>
      <c r="G337" s="190">
        <v>35</v>
      </c>
    </row>
    <row r="338" spans="1:7" ht="15">
      <c r="A338" s="491">
        <v>335</v>
      </c>
      <c r="B338" s="325" t="s">
        <v>128</v>
      </c>
      <c r="C338" s="114">
        <v>39038</v>
      </c>
      <c r="D338" s="173" t="s">
        <v>48</v>
      </c>
      <c r="E338" s="173" t="s">
        <v>42</v>
      </c>
      <c r="F338" s="245">
        <v>102</v>
      </c>
      <c r="G338" s="190">
        <v>17</v>
      </c>
    </row>
    <row r="339" spans="1:7" ht="15">
      <c r="A339" s="491">
        <v>336</v>
      </c>
      <c r="B339" s="240" t="s">
        <v>294</v>
      </c>
      <c r="C339" s="117">
        <v>38828</v>
      </c>
      <c r="D339" s="126" t="s">
        <v>64</v>
      </c>
      <c r="E339" s="127" t="s">
        <v>295</v>
      </c>
      <c r="F339" s="251">
        <v>949</v>
      </c>
      <c r="G339" s="191">
        <v>190</v>
      </c>
    </row>
    <row r="340" spans="1:7" ht="15">
      <c r="A340" s="491">
        <v>337</v>
      </c>
      <c r="B340" s="241" t="s">
        <v>225</v>
      </c>
      <c r="C340" s="115">
        <v>38814</v>
      </c>
      <c r="D340" s="130" t="s">
        <v>23</v>
      </c>
      <c r="E340" s="129" t="s">
        <v>190</v>
      </c>
      <c r="F340" s="247">
        <v>4276</v>
      </c>
      <c r="G340" s="189">
        <v>1069</v>
      </c>
    </row>
    <row r="341" spans="1:7" ht="15">
      <c r="A341" s="491">
        <v>338</v>
      </c>
      <c r="B341" s="241" t="s">
        <v>225</v>
      </c>
      <c r="C341" s="115">
        <v>38814</v>
      </c>
      <c r="D341" s="130" t="s">
        <v>23</v>
      </c>
      <c r="E341" s="129" t="s">
        <v>190</v>
      </c>
      <c r="F341" s="243">
        <v>952</v>
      </c>
      <c r="G341" s="189">
        <v>238</v>
      </c>
    </row>
    <row r="342" spans="1:7" ht="15">
      <c r="A342" s="491">
        <v>339</v>
      </c>
      <c r="B342" s="176" t="s">
        <v>153</v>
      </c>
      <c r="C342" s="115">
        <v>39038</v>
      </c>
      <c r="D342" s="172" t="s">
        <v>58</v>
      </c>
      <c r="E342" s="172" t="s">
        <v>154</v>
      </c>
      <c r="F342" s="243">
        <v>2427</v>
      </c>
      <c r="G342" s="189">
        <v>457</v>
      </c>
    </row>
    <row r="343" spans="1:7" ht="15">
      <c r="A343" s="491">
        <v>340</v>
      </c>
      <c r="B343" s="326" t="s">
        <v>153</v>
      </c>
      <c r="C343" s="115">
        <v>39038</v>
      </c>
      <c r="D343" s="172" t="s">
        <v>58</v>
      </c>
      <c r="E343" s="172" t="s">
        <v>154</v>
      </c>
      <c r="F343" s="243">
        <v>2376</v>
      </c>
      <c r="G343" s="189">
        <v>475</v>
      </c>
    </row>
    <row r="344" spans="1:7" ht="15">
      <c r="A344" s="491">
        <v>341</v>
      </c>
      <c r="B344" s="240" t="s">
        <v>153</v>
      </c>
      <c r="C344" s="115">
        <v>39038</v>
      </c>
      <c r="D344" s="126" t="s">
        <v>58</v>
      </c>
      <c r="E344" s="126" t="s">
        <v>154</v>
      </c>
      <c r="F344" s="247">
        <v>2230</v>
      </c>
      <c r="G344" s="154">
        <v>446</v>
      </c>
    </row>
    <row r="345" spans="1:7" ht="15">
      <c r="A345" s="491">
        <v>342</v>
      </c>
      <c r="B345" s="240" t="s">
        <v>153</v>
      </c>
      <c r="C345" s="115">
        <v>39038</v>
      </c>
      <c r="D345" s="126" t="s">
        <v>58</v>
      </c>
      <c r="E345" s="126" t="s">
        <v>241</v>
      </c>
      <c r="F345" s="243">
        <v>1901</v>
      </c>
      <c r="G345" s="189">
        <v>475</v>
      </c>
    </row>
    <row r="346" spans="1:7" ht="15">
      <c r="A346" s="491">
        <v>343</v>
      </c>
      <c r="B346" s="240" t="s">
        <v>153</v>
      </c>
      <c r="C346" s="115">
        <v>39038</v>
      </c>
      <c r="D346" s="126" t="s">
        <v>58</v>
      </c>
      <c r="E346" s="126" t="s">
        <v>154</v>
      </c>
      <c r="F346" s="243">
        <v>1880</v>
      </c>
      <c r="G346" s="189">
        <v>376</v>
      </c>
    </row>
    <row r="347" spans="1:7" ht="15">
      <c r="A347" s="491">
        <v>344</v>
      </c>
      <c r="B347" s="144" t="s">
        <v>153</v>
      </c>
      <c r="C347" s="115">
        <v>39038</v>
      </c>
      <c r="D347" s="274" t="s">
        <v>58</v>
      </c>
      <c r="E347" s="274" t="s">
        <v>241</v>
      </c>
      <c r="F347" s="243">
        <v>1802</v>
      </c>
      <c r="G347" s="189">
        <v>212</v>
      </c>
    </row>
    <row r="348" spans="1:7" ht="15">
      <c r="A348" s="491">
        <v>345</v>
      </c>
      <c r="B348" s="326" t="s">
        <v>153</v>
      </c>
      <c r="C348" s="115">
        <v>39038</v>
      </c>
      <c r="D348" s="172" t="s">
        <v>58</v>
      </c>
      <c r="E348" s="172" t="s">
        <v>154</v>
      </c>
      <c r="F348" s="243">
        <v>1782</v>
      </c>
      <c r="G348" s="189">
        <v>446</v>
      </c>
    </row>
    <row r="349" spans="1:7" ht="15">
      <c r="A349" s="491">
        <v>346</v>
      </c>
      <c r="B349" s="144" t="s">
        <v>153</v>
      </c>
      <c r="C349" s="115">
        <v>39038</v>
      </c>
      <c r="D349" s="126" t="s">
        <v>58</v>
      </c>
      <c r="E349" s="126" t="s">
        <v>154</v>
      </c>
      <c r="F349" s="243">
        <v>1511</v>
      </c>
      <c r="G349" s="189">
        <v>303</v>
      </c>
    </row>
    <row r="350" spans="1:7" ht="15">
      <c r="A350" s="491">
        <v>347</v>
      </c>
      <c r="B350" s="240" t="s">
        <v>153</v>
      </c>
      <c r="C350" s="115">
        <v>39038</v>
      </c>
      <c r="D350" s="126" t="s">
        <v>58</v>
      </c>
      <c r="E350" s="126" t="s">
        <v>154</v>
      </c>
      <c r="F350" s="243">
        <v>1432</v>
      </c>
      <c r="G350" s="189">
        <v>205</v>
      </c>
    </row>
    <row r="351" spans="1:7" ht="15">
      <c r="A351" s="491">
        <v>348</v>
      </c>
      <c r="B351" s="143" t="s">
        <v>153</v>
      </c>
      <c r="C351" s="146">
        <v>39038</v>
      </c>
      <c r="D351" s="266" t="s">
        <v>58</v>
      </c>
      <c r="E351" s="265" t="s">
        <v>241</v>
      </c>
      <c r="F351" s="249">
        <v>1189</v>
      </c>
      <c r="G351" s="152">
        <v>238</v>
      </c>
    </row>
    <row r="352" spans="1:7" ht="15">
      <c r="A352" s="491">
        <v>349</v>
      </c>
      <c r="B352" s="144" t="s">
        <v>153</v>
      </c>
      <c r="C352" s="115">
        <v>39038</v>
      </c>
      <c r="D352" s="126" t="s">
        <v>58</v>
      </c>
      <c r="E352" s="126" t="s">
        <v>154</v>
      </c>
      <c r="F352" s="243">
        <v>460</v>
      </c>
      <c r="G352" s="189">
        <v>92</v>
      </c>
    </row>
    <row r="353" spans="1:7" ht="15">
      <c r="A353" s="491">
        <v>350</v>
      </c>
      <c r="B353" s="241" t="s">
        <v>153</v>
      </c>
      <c r="C353" s="115">
        <v>39038</v>
      </c>
      <c r="D353" s="311" t="s">
        <v>58</v>
      </c>
      <c r="E353" s="311" t="s">
        <v>154</v>
      </c>
      <c r="F353" s="243">
        <v>286</v>
      </c>
      <c r="G353" s="189">
        <v>63</v>
      </c>
    </row>
    <row r="354" spans="1:7" ht="15">
      <c r="A354" s="491">
        <v>351</v>
      </c>
      <c r="B354" s="240" t="s">
        <v>153</v>
      </c>
      <c r="C354" s="115">
        <v>39038</v>
      </c>
      <c r="D354" s="126" t="s">
        <v>58</v>
      </c>
      <c r="E354" s="126" t="s">
        <v>154</v>
      </c>
      <c r="F354" s="243">
        <v>216</v>
      </c>
      <c r="G354" s="189">
        <v>25</v>
      </c>
    </row>
    <row r="355" spans="1:7" ht="15">
      <c r="A355" s="491">
        <v>352</v>
      </c>
      <c r="B355" s="323" t="s">
        <v>153</v>
      </c>
      <c r="C355" s="317">
        <v>39038</v>
      </c>
      <c r="D355" s="316" t="s">
        <v>58</v>
      </c>
      <c r="E355" s="316" t="s">
        <v>154</v>
      </c>
      <c r="F355" s="328">
        <v>188</v>
      </c>
      <c r="G355" s="330">
        <v>42</v>
      </c>
    </row>
    <row r="356" spans="1:7" ht="15">
      <c r="A356" s="491">
        <v>353</v>
      </c>
      <c r="B356" s="241" t="s">
        <v>197</v>
      </c>
      <c r="C356" s="115">
        <v>38982</v>
      </c>
      <c r="D356" s="130" t="s">
        <v>23</v>
      </c>
      <c r="E356" s="129" t="s">
        <v>198</v>
      </c>
      <c r="F356" s="243">
        <v>3560</v>
      </c>
      <c r="G356" s="189">
        <v>890</v>
      </c>
    </row>
    <row r="357" spans="1:7" ht="15">
      <c r="A357" s="491">
        <v>354</v>
      </c>
      <c r="B357" s="145" t="s">
        <v>197</v>
      </c>
      <c r="C357" s="115">
        <v>38982</v>
      </c>
      <c r="D357" s="130" t="s">
        <v>23</v>
      </c>
      <c r="E357" s="129" t="s">
        <v>198</v>
      </c>
      <c r="F357" s="243">
        <v>1780</v>
      </c>
      <c r="G357" s="189">
        <v>445</v>
      </c>
    </row>
    <row r="358" spans="1:7" ht="15">
      <c r="A358" s="491">
        <v>355</v>
      </c>
      <c r="B358" s="240" t="s">
        <v>383</v>
      </c>
      <c r="C358" s="115">
        <v>38478</v>
      </c>
      <c r="D358" s="126" t="s">
        <v>58</v>
      </c>
      <c r="E358" s="126" t="s">
        <v>59</v>
      </c>
      <c r="F358" s="247">
        <v>8367</v>
      </c>
      <c r="G358" s="154">
        <v>1675</v>
      </c>
    </row>
    <row r="359" spans="1:7" ht="15">
      <c r="A359" s="491">
        <v>356</v>
      </c>
      <c r="B359" s="241" t="s">
        <v>157</v>
      </c>
      <c r="C359" s="115">
        <v>39045</v>
      </c>
      <c r="D359" s="130" t="s">
        <v>23</v>
      </c>
      <c r="E359" s="129" t="s">
        <v>158</v>
      </c>
      <c r="F359" s="247">
        <v>1068</v>
      </c>
      <c r="G359" s="189">
        <v>267</v>
      </c>
    </row>
    <row r="360" spans="1:7" ht="15">
      <c r="A360" s="491">
        <v>357</v>
      </c>
      <c r="B360" s="176" t="s">
        <v>157</v>
      </c>
      <c r="C360" s="115">
        <v>39045</v>
      </c>
      <c r="D360" s="172" t="s">
        <v>23</v>
      </c>
      <c r="E360" s="172" t="s">
        <v>158</v>
      </c>
      <c r="F360" s="243">
        <v>851.5</v>
      </c>
      <c r="G360" s="189">
        <v>142</v>
      </c>
    </row>
    <row r="361" spans="1:7" ht="15">
      <c r="A361" s="491">
        <v>358</v>
      </c>
      <c r="B361" s="241" t="s">
        <v>157</v>
      </c>
      <c r="C361" s="115">
        <v>39045</v>
      </c>
      <c r="D361" s="130" t="s">
        <v>23</v>
      </c>
      <c r="E361" s="129" t="s">
        <v>521</v>
      </c>
      <c r="F361" s="243">
        <v>304</v>
      </c>
      <c r="G361" s="189">
        <v>52</v>
      </c>
    </row>
    <row r="362" spans="1:7" ht="15">
      <c r="A362" s="491">
        <v>359</v>
      </c>
      <c r="B362" s="145" t="s">
        <v>157</v>
      </c>
      <c r="C362" s="115">
        <v>39045</v>
      </c>
      <c r="D362" s="130" t="s">
        <v>23</v>
      </c>
      <c r="E362" s="129" t="s">
        <v>158</v>
      </c>
      <c r="F362" s="243">
        <v>290.5</v>
      </c>
      <c r="G362" s="189">
        <v>39</v>
      </c>
    </row>
    <row r="363" spans="1:7" ht="15">
      <c r="A363" s="491">
        <v>360</v>
      </c>
      <c r="B363" s="241" t="s">
        <v>157</v>
      </c>
      <c r="C363" s="115">
        <v>39045</v>
      </c>
      <c r="D363" s="130" t="s">
        <v>23</v>
      </c>
      <c r="E363" s="129" t="s">
        <v>158</v>
      </c>
      <c r="F363" s="243">
        <v>259</v>
      </c>
      <c r="G363" s="189">
        <v>55</v>
      </c>
    </row>
    <row r="364" spans="1:7" ht="15">
      <c r="A364" s="491">
        <v>361</v>
      </c>
      <c r="B364" s="241" t="s">
        <v>157</v>
      </c>
      <c r="C364" s="115">
        <v>39045</v>
      </c>
      <c r="D364" s="130" t="s">
        <v>23</v>
      </c>
      <c r="E364" s="129" t="s">
        <v>158</v>
      </c>
      <c r="F364" s="243">
        <v>236</v>
      </c>
      <c r="G364" s="189">
        <v>97</v>
      </c>
    </row>
    <row r="365" spans="1:7" ht="15">
      <c r="A365" s="491">
        <v>362</v>
      </c>
      <c r="B365" s="145" t="s">
        <v>157</v>
      </c>
      <c r="C365" s="115">
        <v>39045</v>
      </c>
      <c r="D365" s="130" t="s">
        <v>23</v>
      </c>
      <c r="E365" s="129" t="s">
        <v>158</v>
      </c>
      <c r="F365" s="243">
        <v>176</v>
      </c>
      <c r="G365" s="189">
        <v>68</v>
      </c>
    </row>
    <row r="366" spans="1:7" ht="15">
      <c r="A366" s="491">
        <v>363</v>
      </c>
      <c r="B366" s="241" t="s">
        <v>157</v>
      </c>
      <c r="C366" s="115">
        <v>39045</v>
      </c>
      <c r="D366" s="130" t="s">
        <v>23</v>
      </c>
      <c r="E366" s="129" t="s">
        <v>158</v>
      </c>
      <c r="F366" s="243">
        <v>74</v>
      </c>
      <c r="G366" s="189">
        <v>14</v>
      </c>
    </row>
    <row r="367" spans="1:7" ht="15">
      <c r="A367" s="491">
        <v>364</v>
      </c>
      <c r="B367" s="145" t="s">
        <v>266</v>
      </c>
      <c r="C367" s="115">
        <v>39045</v>
      </c>
      <c r="D367" s="268" t="s">
        <v>23</v>
      </c>
      <c r="E367" s="269" t="s">
        <v>158</v>
      </c>
      <c r="F367" s="247">
        <v>372</v>
      </c>
      <c r="G367" s="154">
        <v>124</v>
      </c>
    </row>
    <row r="368" spans="1:7" ht="15">
      <c r="A368" s="491">
        <v>365</v>
      </c>
      <c r="B368" s="142" t="s">
        <v>121</v>
      </c>
      <c r="C368" s="114">
        <v>39073</v>
      </c>
      <c r="D368" s="124" t="s">
        <v>48</v>
      </c>
      <c r="E368" s="124" t="s">
        <v>33</v>
      </c>
      <c r="F368" s="250">
        <v>1289903.5</v>
      </c>
      <c r="G368" s="153">
        <v>169709</v>
      </c>
    </row>
    <row r="369" spans="1:7" ht="15">
      <c r="A369" s="491">
        <v>366</v>
      </c>
      <c r="B369" s="175" t="s">
        <v>121</v>
      </c>
      <c r="C369" s="114">
        <v>39073</v>
      </c>
      <c r="D369" s="173" t="s">
        <v>48</v>
      </c>
      <c r="E369" s="173" t="s">
        <v>33</v>
      </c>
      <c r="F369" s="245">
        <v>386658</v>
      </c>
      <c r="G369" s="190">
        <v>52723</v>
      </c>
    </row>
    <row r="370" spans="1:7" ht="15">
      <c r="A370" s="491">
        <v>367</v>
      </c>
      <c r="B370" s="142" t="s">
        <v>121</v>
      </c>
      <c r="C370" s="114">
        <v>39073</v>
      </c>
      <c r="D370" s="124" t="s">
        <v>48</v>
      </c>
      <c r="E370" s="124" t="s">
        <v>33</v>
      </c>
      <c r="F370" s="245">
        <v>174047.5</v>
      </c>
      <c r="G370" s="190">
        <v>26534</v>
      </c>
    </row>
    <row r="371" spans="1:7" ht="15">
      <c r="A371" s="491">
        <v>368</v>
      </c>
      <c r="B371" s="239" t="s">
        <v>121</v>
      </c>
      <c r="C371" s="114">
        <v>39073</v>
      </c>
      <c r="D371" s="124" t="s">
        <v>48</v>
      </c>
      <c r="E371" s="124" t="s">
        <v>33</v>
      </c>
      <c r="F371" s="245">
        <v>53640.5</v>
      </c>
      <c r="G371" s="190">
        <v>10972</v>
      </c>
    </row>
    <row r="372" spans="1:7" ht="15">
      <c r="A372" s="491">
        <v>369</v>
      </c>
      <c r="B372" s="142" t="s">
        <v>121</v>
      </c>
      <c r="C372" s="114">
        <v>39073</v>
      </c>
      <c r="D372" s="265" t="s">
        <v>48</v>
      </c>
      <c r="E372" s="265" t="s">
        <v>33</v>
      </c>
      <c r="F372" s="245">
        <v>19067</v>
      </c>
      <c r="G372" s="190">
        <v>3834</v>
      </c>
    </row>
    <row r="373" spans="1:7" ht="15">
      <c r="A373" s="491">
        <v>370</v>
      </c>
      <c r="B373" s="239" t="s">
        <v>121</v>
      </c>
      <c r="C373" s="114">
        <v>39073</v>
      </c>
      <c r="D373" s="265" t="s">
        <v>48</v>
      </c>
      <c r="E373" s="265" t="s">
        <v>33</v>
      </c>
      <c r="F373" s="250">
        <v>16336.5</v>
      </c>
      <c r="G373" s="153">
        <v>3779</v>
      </c>
    </row>
    <row r="374" spans="1:7" ht="15">
      <c r="A374" s="491">
        <v>371</v>
      </c>
      <c r="B374" s="239" t="s">
        <v>121</v>
      </c>
      <c r="C374" s="114">
        <v>39073</v>
      </c>
      <c r="D374" s="124" t="s">
        <v>48</v>
      </c>
      <c r="E374" s="124" t="s">
        <v>33</v>
      </c>
      <c r="F374" s="250">
        <v>13202</v>
      </c>
      <c r="G374" s="190">
        <v>2814</v>
      </c>
    </row>
    <row r="375" spans="1:7" ht="15">
      <c r="A375" s="491">
        <v>372</v>
      </c>
      <c r="B375" s="142" t="s">
        <v>121</v>
      </c>
      <c r="C375" s="114">
        <v>39073</v>
      </c>
      <c r="D375" s="124" t="s">
        <v>48</v>
      </c>
      <c r="E375" s="124" t="s">
        <v>33</v>
      </c>
      <c r="F375" s="245">
        <v>11222</v>
      </c>
      <c r="G375" s="190">
        <v>2184</v>
      </c>
    </row>
    <row r="376" spans="1:7" ht="15">
      <c r="A376" s="491">
        <v>373</v>
      </c>
      <c r="B376" s="142" t="s">
        <v>121</v>
      </c>
      <c r="C376" s="114">
        <v>39073</v>
      </c>
      <c r="D376" s="265" t="s">
        <v>48</v>
      </c>
      <c r="E376" s="265" t="s">
        <v>33</v>
      </c>
      <c r="F376" s="250">
        <v>4695</v>
      </c>
      <c r="G376" s="153">
        <v>945</v>
      </c>
    </row>
    <row r="377" spans="1:7" ht="15">
      <c r="A377" s="491">
        <v>374</v>
      </c>
      <c r="B377" s="239" t="s">
        <v>121</v>
      </c>
      <c r="C377" s="114">
        <v>39073</v>
      </c>
      <c r="D377" s="124" t="s">
        <v>48</v>
      </c>
      <c r="E377" s="124" t="s">
        <v>33</v>
      </c>
      <c r="F377" s="245">
        <v>4541</v>
      </c>
      <c r="G377" s="190">
        <v>777</v>
      </c>
    </row>
    <row r="378" spans="1:7" ht="15">
      <c r="A378" s="491">
        <v>375</v>
      </c>
      <c r="B378" s="322" t="s">
        <v>121</v>
      </c>
      <c r="C378" s="315">
        <v>39073</v>
      </c>
      <c r="D378" s="314" t="s">
        <v>48</v>
      </c>
      <c r="E378" s="314" t="s">
        <v>33</v>
      </c>
      <c r="F378" s="245">
        <v>3319</v>
      </c>
      <c r="G378" s="190">
        <v>761</v>
      </c>
    </row>
    <row r="379" spans="1:7" ht="15">
      <c r="A379" s="491">
        <v>376</v>
      </c>
      <c r="B379" s="325" t="s">
        <v>121</v>
      </c>
      <c r="C379" s="114">
        <v>39073</v>
      </c>
      <c r="D379" s="173" t="s">
        <v>48</v>
      </c>
      <c r="E379" s="173" t="s">
        <v>33</v>
      </c>
      <c r="F379" s="245">
        <v>1437</v>
      </c>
      <c r="G379" s="190">
        <v>298</v>
      </c>
    </row>
    <row r="380" spans="1:7" ht="15">
      <c r="A380" s="491">
        <v>377</v>
      </c>
      <c r="B380" s="239" t="s">
        <v>121</v>
      </c>
      <c r="C380" s="114">
        <v>39073</v>
      </c>
      <c r="D380" s="124" t="s">
        <v>48</v>
      </c>
      <c r="E380" s="124" t="s">
        <v>33</v>
      </c>
      <c r="F380" s="245">
        <v>1360</v>
      </c>
      <c r="G380" s="190">
        <v>312</v>
      </c>
    </row>
    <row r="381" spans="1:7" ht="15">
      <c r="A381" s="491">
        <v>378</v>
      </c>
      <c r="B381" s="325" t="s">
        <v>121</v>
      </c>
      <c r="C381" s="114">
        <v>39073</v>
      </c>
      <c r="D381" s="173" t="s">
        <v>48</v>
      </c>
      <c r="E381" s="173" t="s">
        <v>33</v>
      </c>
      <c r="F381" s="245">
        <v>554</v>
      </c>
      <c r="G381" s="190">
        <v>128</v>
      </c>
    </row>
    <row r="382" spans="1:7" ht="15">
      <c r="A382" s="491">
        <v>379</v>
      </c>
      <c r="B382" s="242" t="s">
        <v>121</v>
      </c>
      <c r="C382" s="114">
        <v>39073</v>
      </c>
      <c r="D382" s="310" t="s">
        <v>48</v>
      </c>
      <c r="E382" s="310" t="s">
        <v>324</v>
      </c>
      <c r="F382" s="245">
        <v>400</v>
      </c>
      <c r="G382" s="190">
        <v>80</v>
      </c>
    </row>
    <row r="383" spans="1:7" ht="15">
      <c r="A383" s="491">
        <v>380</v>
      </c>
      <c r="B383" s="239" t="s">
        <v>121</v>
      </c>
      <c r="C383" s="114">
        <v>39073</v>
      </c>
      <c r="D383" s="124" t="s">
        <v>48</v>
      </c>
      <c r="E383" s="124" t="s">
        <v>33</v>
      </c>
      <c r="F383" s="245">
        <v>295</v>
      </c>
      <c r="G383" s="190">
        <v>59</v>
      </c>
    </row>
    <row r="384" spans="1:7" ht="15">
      <c r="A384" s="491">
        <v>381</v>
      </c>
      <c r="B384" s="239" t="s">
        <v>121</v>
      </c>
      <c r="C384" s="114">
        <v>39073</v>
      </c>
      <c r="D384" s="124" t="s">
        <v>48</v>
      </c>
      <c r="E384" s="124" t="s">
        <v>33</v>
      </c>
      <c r="F384" s="245">
        <v>273</v>
      </c>
      <c r="G384" s="190">
        <v>41</v>
      </c>
    </row>
    <row r="385" spans="1:7" ht="15">
      <c r="A385" s="491">
        <v>382</v>
      </c>
      <c r="B385" s="239" t="s">
        <v>121</v>
      </c>
      <c r="C385" s="114">
        <v>39073</v>
      </c>
      <c r="D385" s="124" t="s">
        <v>48</v>
      </c>
      <c r="E385" s="124" t="s">
        <v>324</v>
      </c>
      <c r="F385" s="245">
        <v>272</v>
      </c>
      <c r="G385" s="190">
        <v>68</v>
      </c>
    </row>
    <row r="386" spans="1:7" ht="15">
      <c r="A386" s="491">
        <v>383</v>
      </c>
      <c r="B386" s="239" t="s">
        <v>121</v>
      </c>
      <c r="C386" s="114">
        <v>39073</v>
      </c>
      <c r="D386" s="124" t="s">
        <v>48</v>
      </c>
      <c r="E386" s="124" t="s">
        <v>33</v>
      </c>
      <c r="F386" s="245">
        <v>213</v>
      </c>
      <c r="G386" s="190">
        <v>31</v>
      </c>
    </row>
    <row r="387" spans="1:7" ht="15">
      <c r="A387" s="491">
        <v>384</v>
      </c>
      <c r="B387" s="239" t="s">
        <v>121</v>
      </c>
      <c r="C387" s="114">
        <v>39073</v>
      </c>
      <c r="D387" s="124" t="s">
        <v>48</v>
      </c>
      <c r="E387" s="124" t="s">
        <v>33</v>
      </c>
      <c r="F387" s="250">
        <v>145</v>
      </c>
      <c r="G387" s="190">
        <v>29</v>
      </c>
    </row>
    <row r="388" spans="1:7" ht="15">
      <c r="A388" s="491">
        <v>385</v>
      </c>
      <c r="B388" s="239" t="s">
        <v>482</v>
      </c>
      <c r="C388" s="114">
        <v>38933</v>
      </c>
      <c r="D388" s="125" t="s">
        <v>56</v>
      </c>
      <c r="E388" s="124" t="s">
        <v>11</v>
      </c>
      <c r="F388" s="244">
        <v>832</v>
      </c>
      <c r="G388" s="188">
        <v>110</v>
      </c>
    </row>
    <row r="389" spans="1:7" ht="15">
      <c r="A389" s="491">
        <v>386</v>
      </c>
      <c r="B389" s="241" t="s">
        <v>240</v>
      </c>
      <c r="C389" s="115">
        <v>38779</v>
      </c>
      <c r="D389" s="268" t="s">
        <v>23</v>
      </c>
      <c r="E389" s="269" t="s">
        <v>192</v>
      </c>
      <c r="F389" s="247">
        <v>3560</v>
      </c>
      <c r="G389" s="154">
        <v>890</v>
      </c>
    </row>
    <row r="390" spans="1:7" ht="15">
      <c r="A390" s="491">
        <v>387</v>
      </c>
      <c r="B390" s="241" t="s">
        <v>240</v>
      </c>
      <c r="C390" s="115">
        <v>38779</v>
      </c>
      <c r="D390" s="130" t="s">
        <v>23</v>
      </c>
      <c r="E390" s="129" t="s">
        <v>388</v>
      </c>
      <c r="F390" s="243">
        <v>1780</v>
      </c>
      <c r="G390" s="189">
        <v>445</v>
      </c>
    </row>
    <row r="391" spans="1:7" ht="15">
      <c r="A391" s="491">
        <v>388</v>
      </c>
      <c r="B391" s="241" t="s">
        <v>240</v>
      </c>
      <c r="C391" s="115">
        <v>38779</v>
      </c>
      <c r="D391" s="130" t="s">
        <v>23</v>
      </c>
      <c r="E391" s="129" t="s">
        <v>388</v>
      </c>
      <c r="F391" s="243">
        <v>1780</v>
      </c>
      <c r="G391" s="189">
        <v>445</v>
      </c>
    </row>
    <row r="392" spans="1:7" ht="15">
      <c r="A392" s="491">
        <v>389</v>
      </c>
      <c r="B392" s="241" t="s">
        <v>240</v>
      </c>
      <c r="C392" s="115">
        <v>38779</v>
      </c>
      <c r="D392" s="130" t="s">
        <v>23</v>
      </c>
      <c r="E392" s="129" t="s">
        <v>192</v>
      </c>
      <c r="F392" s="243">
        <v>952</v>
      </c>
      <c r="G392" s="189">
        <v>238</v>
      </c>
    </row>
    <row r="393" spans="1:7" ht="15">
      <c r="A393" s="491">
        <v>390</v>
      </c>
      <c r="B393" s="241" t="s">
        <v>308</v>
      </c>
      <c r="C393" s="115">
        <v>38856</v>
      </c>
      <c r="D393" s="130" t="s">
        <v>23</v>
      </c>
      <c r="E393" s="129" t="s">
        <v>309</v>
      </c>
      <c r="F393" s="247">
        <v>1664</v>
      </c>
      <c r="G393" s="189">
        <v>416</v>
      </c>
    </row>
    <row r="394" spans="1:7" ht="15">
      <c r="A394" s="491">
        <v>391</v>
      </c>
      <c r="B394" s="241" t="s">
        <v>308</v>
      </c>
      <c r="C394" s="115">
        <v>38856</v>
      </c>
      <c r="D394" s="130" t="s">
        <v>23</v>
      </c>
      <c r="E394" s="129" t="s">
        <v>25</v>
      </c>
      <c r="F394" s="247">
        <v>1664</v>
      </c>
      <c r="G394" s="154">
        <v>416</v>
      </c>
    </row>
    <row r="395" spans="1:7" ht="15">
      <c r="A395" s="491">
        <v>392</v>
      </c>
      <c r="B395" s="241" t="s">
        <v>226</v>
      </c>
      <c r="C395" s="115">
        <v>38548</v>
      </c>
      <c r="D395" s="130" t="s">
        <v>23</v>
      </c>
      <c r="E395" s="129" t="s">
        <v>201</v>
      </c>
      <c r="F395" s="247">
        <v>236</v>
      </c>
      <c r="G395" s="189">
        <v>59</v>
      </c>
    </row>
    <row r="396" spans="1:7" ht="15">
      <c r="A396" s="491">
        <v>393</v>
      </c>
      <c r="B396" s="240" t="s">
        <v>436</v>
      </c>
      <c r="C396" s="115">
        <v>38261</v>
      </c>
      <c r="D396" s="127" t="s">
        <v>46</v>
      </c>
      <c r="E396" s="127" t="s">
        <v>271</v>
      </c>
      <c r="F396" s="243">
        <v>831</v>
      </c>
      <c r="G396" s="189">
        <v>277</v>
      </c>
    </row>
    <row r="397" spans="1:7" ht="15">
      <c r="A397" s="491">
        <v>394</v>
      </c>
      <c r="B397" s="240" t="s">
        <v>436</v>
      </c>
      <c r="C397" s="115">
        <v>38261</v>
      </c>
      <c r="D397" s="127" t="s">
        <v>519</v>
      </c>
      <c r="E397" s="127" t="s">
        <v>271</v>
      </c>
      <c r="F397" s="243">
        <v>594</v>
      </c>
      <c r="G397" s="189">
        <v>198</v>
      </c>
    </row>
    <row r="398" spans="1:7" ht="15">
      <c r="A398" s="491">
        <v>395</v>
      </c>
      <c r="B398" s="176" t="s">
        <v>152</v>
      </c>
      <c r="C398" s="115">
        <v>37246</v>
      </c>
      <c r="D398" s="173" t="s">
        <v>46</v>
      </c>
      <c r="E398" s="173" t="s">
        <v>150</v>
      </c>
      <c r="F398" s="244">
        <v>6255</v>
      </c>
      <c r="G398" s="188">
        <v>2085</v>
      </c>
    </row>
    <row r="399" spans="1:7" ht="15">
      <c r="A399" s="491">
        <v>396</v>
      </c>
      <c r="B399" s="176" t="s">
        <v>151</v>
      </c>
      <c r="C399" s="115">
        <v>37610</v>
      </c>
      <c r="D399" s="173" t="s">
        <v>46</v>
      </c>
      <c r="E399" s="173" t="s">
        <v>150</v>
      </c>
      <c r="F399" s="243">
        <v>6255</v>
      </c>
      <c r="G399" s="189">
        <v>2085</v>
      </c>
    </row>
    <row r="400" spans="1:7" ht="15">
      <c r="A400" s="491">
        <v>397</v>
      </c>
      <c r="B400" s="175" t="s">
        <v>149</v>
      </c>
      <c r="C400" s="114">
        <v>37974</v>
      </c>
      <c r="D400" s="173" t="s">
        <v>46</v>
      </c>
      <c r="E400" s="173" t="s">
        <v>150</v>
      </c>
      <c r="F400" s="244">
        <v>6255</v>
      </c>
      <c r="G400" s="188">
        <v>2085</v>
      </c>
    </row>
    <row r="401" spans="1:7" ht="15">
      <c r="A401" s="491">
        <v>398</v>
      </c>
      <c r="B401" s="326" t="s">
        <v>344</v>
      </c>
      <c r="C401" s="115">
        <v>38660</v>
      </c>
      <c r="D401" s="172" t="s">
        <v>23</v>
      </c>
      <c r="E401" s="172" t="s">
        <v>201</v>
      </c>
      <c r="F401" s="243">
        <v>4276</v>
      </c>
      <c r="G401" s="189">
        <v>1069</v>
      </c>
    </row>
    <row r="402" spans="1:7" ht="15">
      <c r="A402" s="491">
        <v>399</v>
      </c>
      <c r="B402" s="145" t="s">
        <v>263</v>
      </c>
      <c r="C402" s="115">
        <v>38688</v>
      </c>
      <c r="D402" s="268" t="s">
        <v>23</v>
      </c>
      <c r="E402" s="269" t="s">
        <v>85</v>
      </c>
      <c r="F402" s="247">
        <v>1664</v>
      </c>
      <c r="G402" s="154">
        <v>416</v>
      </c>
    </row>
    <row r="403" spans="1:7" ht="15">
      <c r="A403" s="491">
        <v>400</v>
      </c>
      <c r="B403" s="241" t="s">
        <v>263</v>
      </c>
      <c r="C403" s="115">
        <v>38688</v>
      </c>
      <c r="D403" s="130" t="s">
        <v>23</v>
      </c>
      <c r="E403" s="129" t="s">
        <v>85</v>
      </c>
      <c r="F403" s="243">
        <v>1188</v>
      </c>
      <c r="G403" s="189">
        <v>297</v>
      </c>
    </row>
    <row r="404" spans="1:7" ht="15">
      <c r="A404" s="491">
        <v>401</v>
      </c>
      <c r="B404" s="241" t="s">
        <v>263</v>
      </c>
      <c r="C404" s="115">
        <v>38688</v>
      </c>
      <c r="D404" s="130" t="s">
        <v>23</v>
      </c>
      <c r="E404" s="129" t="s">
        <v>85</v>
      </c>
      <c r="F404" s="243">
        <v>952</v>
      </c>
      <c r="G404" s="189">
        <v>238</v>
      </c>
    </row>
    <row r="405" spans="1:7" ht="15">
      <c r="A405" s="491">
        <v>402</v>
      </c>
      <c r="B405" s="176" t="s">
        <v>156</v>
      </c>
      <c r="C405" s="115">
        <v>38842</v>
      </c>
      <c r="D405" s="172" t="s">
        <v>57</v>
      </c>
      <c r="E405" s="172" t="s">
        <v>60</v>
      </c>
      <c r="F405" s="243">
        <v>1155</v>
      </c>
      <c r="G405" s="189">
        <v>350</v>
      </c>
    </row>
    <row r="406" spans="1:7" ht="15">
      <c r="A406" s="491">
        <v>403</v>
      </c>
      <c r="B406" s="242" t="s">
        <v>290</v>
      </c>
      <c r="C406" s="114">
        <v>38296</v>
      </c>
      <c r="D406" s="127" t="s">
        <v>46</v>
      </c>
      <c r="E406" s="127" t="s">
        <v>182</v>
      </c>
      <c r="F406" s="244">
        <v>5346</v>
      </c>
      <c r="G406" s="188">
        <v>1782</v>
      </c>
    </row>
    <row r="407" spans="1:7" ht="15">
      <c r="A407" s="491">
        <v>404</v>
      </c>
      <c r="B407" s="240" t="s">
        <v>517</v>
      </c>
      <c r="C407" s="115">
        <v>38968</v>
      </c>
      <c r="D407" s="126" t="s">
        <v>58</v>
      </c>
      <c r="E407" s="126" t="s">
        <v>59</v>
      </c>
      <c r="F407" s="243">
        <v>1209</v>
      </c>
      <c r="G407" s="189">
        <v>300</v>
      </c>
    </row>
    <row r="408" spans="1:7" ht="15">
      <c r="A408" s="491">
        <v>405</v>
      </c>
      <c r="B408" s="240" t="s">
        <v>293</v>
      </c>
      <c r="C408" s="115">
        <v>39038</v>
      </c>
      <c r="D408" s="126" t="s">
        <v>58</v>
      </c>
      <c r="E408" s="126" t="s">
        <v>66</v>
      </c>
      <c r="F408" s="243">
        <v>2376</v>
      </c>
      <c r="G408" s="189">
        <v>475</v>
      </c>
    </row>
    <row r="409" spans="1:7" ht="15">
      <c r="A409" s="491">
        <v>406</v>
      </c>
      <c r="B409" s="140" t="s">
        <v>248</v>
      </c>
      <c r="C409" s="114">
        <v>38996</v>
      </c>
      <c r="D409" s="267" t="s">
        <v>73</v>
      </c>
      <c r="E409" s="267" t="s">
        <v>135</v>
      </c>
      <c r="F409" s="244">
        <v>1737</v>
      </c>
      <c r="G409" s="188">
        <v>255</v>
      </c>
    </row>
    <row r="410" spans="1:7" ht="15">
      <c r="A410" s="491">
        <v>407</v>
      </c>
      <c r="B410" s="144" t="s">
        <v>105</v>
      </c>
      <c r="C410" s="115">
        <v>38954</v>
      </c>
      <c r="D410" s="126" t="s">
        <v>57</v>
      </c>
      <c r="E410" s="126" t="s">
        <v>65</v>
      </c>
      <c r="F410" s="243">
        <v>1156</v>
      </c>
      <c r="G410" s="189">
        <v>350</v>
      </c>
    </row>
    <row r="411" spans="1:7" ht="15">
      <c r="A411" s="491">
        <v>408</v>
      </c>
      <c r="B411" s="144" t="s">
        <v>105</v>
      </c>
      <c r="C411" s="115"/>
      <c r="D411" s="126"/>
      <c r="E411" s="126"/>
      <c r="F411" s="243">
        <v>649</v>
      </c>
      <c r="G411" s="189">
        <v>127</v>
      </c>
    </row>
    <row r="412" spans="1:7" ht="15">
      <c r="A412" s="491">
        <v>409</v>
      </c>
      <c r="B412" s="240" t="s">
        <v>105</v>
      </c>
      <c r="C412" s="115">
        <v>38954</v>
      </c>
      <c r="D412" s="126" t="s">
        <v>57</v>
      </c>
      <c r="E412" s="126" t="s">
        <v>60</v>
      </c>
      <c r="F412" s="243">
        <v>535</v>
      </c>
      <c r="G412" s="189">
        <v>107</v>
      </c>
    </row>
    <row r="413" spans="1:7" ht="15">
      <c r="A413" s="491">
        <v>410</v>
      </c>
      <c r="B413" s="143" t="s">
        <v>105</v>
      </c>
      <c r="C413" s="146">
        <v>38954</v>
      </c>
      <c r="D413" s="126" t="s">
        <v>57</v>
      </c>
      <c r="E413" s="141" t="s">
        <v>65</v>
      </c>
      <c r="F413" s="249">
        <v>413</v>
      </c>
      <c r="G413" s="152">
        <v>100</v>
      </c>
    </row>
    <row r="414" spans="1:7" ht="15">
      <c r="A414" s="491">
        <v>411</v>
      </c>
      <c r="B414" s="239" t="s">
        <v>409</v>
      </c>
      <c r="C414" s="114">
        <v>38786</v>
      </c>
      <c r="D414" s="124" t="s">
        <v>46</v>
      </c>
      <c r="E414" s="124" t="s">
        <v>410</v>
      </c>
      <c r="F414" s="253">
        <v>144</v>
      </c>
      <c r="G414" s="192">
        <v>36</v>
      </c>
    </row>
    <row r="415" spans="1:7" ht="15">
      <c r="A415" s="491">
        <v>412</v>
      </c>
      <c r="B415" s="142" t="s">
        <v>166</v>
      </c>
      <c r="C415" s="114">
        <v>38639</v>
      </c>
      <c r="D415" s="124" t="s">
        <v>48</v>
      </c>
      <c r="E415" s="124" t="s">
        <v>25</v>
      </c>
      <c r="F415" s="245">
        <v>1946</v>
      </c>
      <c r="G415" s="190">
        <v>278</v>
      </c>
    </row>
    <row r="416" spans="1:7" ht="15">
      <c r="A416" s="491">
        <v>413</v>
      </c>
      <c r="B416" s="240" t="s">
        <v>168</v>
      </c>
      <c r="C416" s="115">
        <v>38800</v>
      </c>
      <c r="D416" s="126" t="s">
        <v>58</v>
      </c>
      <c r="E416" s="126" t="s">
        <v>59</v>
      </c>
      <c r="F416" s="247">
        <v>3021</v>
      </c>
      <c r="G416" s="154">
        <v>604</v>
      </c>
    </row>
    <row r="417" spans="1:7" ht="15">
      <c r="A417" s="491">
        <v>414</v>
      </c>
      <c r="B417" s="144" t="s">
        <v>168</v>
      </c>
      <c r="C417" s="115">
        <v>38800</v>
      </c>
      <c r="D417" s="126" t="s">
        <v>58</v>
      </c>
      <c r="E417" s="126" t="s">
        <v>59</v>
      </c>
      <c r="F417" s="243">
        <v>1510</v>
      </c>
      <c r="G417" s="189">
        <v>302</v>
      </c>
    </row>
    <row r="418" spans="1:7" ht="15">
      <c r="A418" s="491">
        <v>415</v>
      </c>
      <c r="B418" s="242" t="s">
        <v>296</v>
      </c>
      <c r="C418" s="114">
        <v>39073</v>
      </c>
      <c r="D418" s="125" t="s">
        <v>56</v>
      </c>
      <c r="E418" s="124" t="s">
        <v>11</v>
      </c>
      <c r="F418" s="248">
        <v>736993</v>
      </c>
      <c r="G418" s="151">
        <v>80041</v>
      </c>
    </row>
    <row r="419" spans="1:7" ht="15">
      <c r="A419" s="491">
        <v>416</v>
      </c>
      <c r="B419" s="242" t="s">
        <v>296</v>
      </c>
      <c r="C419" s="114">
        <v>39073</v>
      </c>
      <c r="D419" s="173" t="s">
        <v>56</v>
      </c>
      <c r="E419" s="173" t="s">
        <v>11</v>
      </c>
      <c r="F419" s="244">
        <v>318216</v>
      </c>
      <c r="G419" s="188">
        <v>36145</v>
      </c>
    </row>
    <row r="420" spans="1:7" ht="15">
      <c r="A420" s="491">
        <v>417</v>
      </c>
      <c r="B420" s="242" t="s">
        <v>296</v>
      </c>
      <c r="C420" s="114">
        <v>39073</v>
      </c>
      <c r="D420" s="125" t="s">
        <v>56</v>
      </c>
      <c r="E420" s="124" t="s">
        <v>11</v>
      </c>
      <c r="F420" s="244">
        <v>148350</v>
      </c>
      <c r="G420" s="188">
        <v>17661</v>
      </c>
    </row>
    <row r="421" spans="1:7" ht="15">
      <c r="A421" s="491">
        <v>418</v>
      </c>
      <c r="B421" s="242" t="s">
        <v>296</v>
      </c>
      <c r="C421" s="114">
        <v>39073</v>
      </c>
      <c r="D421" s="125" t="s">
        <v>56</v>
      </c>
      <c r="E421" s="124" t="s">
        <v>11</v>
      </c>
      <c r="F421" s="244">
        <v>83269</v>
      </c>
      <c r="G421" s="188">
        <v>10172</v>
      </c>
    </row>
    <row r="422" spans="1:7" ht="15">
      <c r="A422" s="491">
        <v>419</v>
      </c>
      <c r="B422" s="242" t="s">
        <v>296</v>
      </c>
      <c r="C422" s="114">
        <v>39073</v>
      </c>
      <c r="D422" s="125" t="s">
        <v>56</v>
      </c>
      <c r="E422" s="124" t="s">
        <v>11</v>
      </c>
      <c r="F422" s="244">
        <v>13464</v>
      </c>
      <c r="G422" s="188">
        <v>1277</v>
      </c>
    </row>
    <row r="423" spans="1:7" ht="15">
      <c r="A423" s="491">
        <v>420</v>
      </c>
      <c r="B423" s="242" t="s">
        <v>296</v>
      </c>
      <c r="C423" s="114">
        <v>39073</v>
      </c>
      <c r="D423" s="264" t="s">
        <v>56</v>
      </c>
      <c r="E423" s="265" t="s">
        <v>11</v>
      </c>
      <c r="F423" s="248">
        <v>3459</v>
      </c>
      <c r="G423" s="151">
        <v>1543</v>
      </c>
    </row>
    <row r="424" spans="1:7" ht="15">
      <c r="A424" s="491">
        <v>421</v>
      </c>
      <c r="B424" s="242" t="s">
        <v>296</v>
      </c>
      <c r="C424" s="114">
        <v>39073</v>
      </c>
      <c r="D424" s="264" t="s">
        <v>56</v>
      </c>
      <c r="E424" s="265" t="s">
        <v>11</v>
      </c>
      <c r="F424" s="248">
        <v>2344</v>
      </c>
      <c r="G424" s="151">
        <v>389</v>
      </c>
    </row>
    <row r="425" spans="1:7" ht="15">
      <c r="A425" s="491">
        <v>422</v>
      </c>
      <c r="B425" s="242" t="s">
        <v>296</v>
      </c>
      <c r="C425" s="114">
        <v>39073</v>
      </c>
      <c r="D425" s="264" t="s">
        <v>56</v>
      </c>
      <c r="E425" s="265" t="s">
        <v>11</v>
      </c>
      <c r="F425" s="244">
        <v>2218</v>
      </c>
      <c r="G425" s="188">
        <v>444</v>
      </c>
    </row>
    <row r="426" spans="1:7" ht="15">
      <c r="A426" s="491">
        <v>423</v>
      </c>
      <c r="B426" s="242" t="s">
        <v>296</v>
      </c>
      <c r="C426" s="114">
        <v>39073</v>
      </c>
      <c r="D426" s="125" t="s">
        <v>56</v>
      </c>
      <c r="E426" s="124" t="s">
        <v>11</v>
      </c>
      <c r="F426" s="244">
        <v>2077</v>
      </c>
      <c r="G426" s="188">
        <v>644</v>
      </c>
    </row>
    <row r="427" spans="1:7" ht="15">
      <c r="A427" s="491">
        <v>424</v>
      </c>
      <c r="B427" s="242" t="s">
        <v>296</v>
      </c>
      <c r="C427" s="114">
        <v>39073</v>
      </c>
      <c r="D427" s="310" t="s">
        <v>56</v>
      </c>
      <c r="E427" s="310" t="s">
        <v>11</v>
      </c>
      <c r="F427" s="244">
        <v>1365</v>
      </c>
      <c r="G427" s="188">
        <v>228</v>
      </c>
    </row>
    <row r="428" spans="1:7" ht="15">
      <c r="A428" s="491">
        <v>425</v>
      </c>
      <c r="B428" s="239" t="s">
        <v>296</v>
      </c>
      <c r="C428" s="114">
        <v>39073</v>
      </c>
      <c r="D428" s="125" t="s">
        <v>56</v>
      </c>
      <c r="E428" s="124" t="s">
        <v>11</v>
      </c>
      <c r="F428" s="248">
        <v>1317</v>
      </c>
      <c r="G428" s="188">
        <v>223</v>
      </c>
    </row>
    <row r="429" spans="1:7" ht="15">
      <c r="A429" s="491">
        <v>426</v>
      </c>
      <c r="B429" s="242" t="s">
        <v>296</v>
      </c>
      <c r="C429" s="114">
        <v>39073</v>
      </c>
      <c r="D429" s="125" t="s">
        <v>56</v>
      </c>
      <c r="E429" s="124" t="s">
        <v>11</v>
      </c>
      <c r="F429" s="248">
        <v>1073</v>
      </c>
      <c r="G429" s="188">
        <v>200</v>
      </c>
    </row>
    <row r="430" spans="1:7" ht="15">
      <c r="A430" s="491">
        <v>427</v>
      </c>
      <c r="B430" s="239" t="s">
        <v>296</v>
      </c>
      <c r="C430" s="114">
        <v>39073</v>
      </c>
      <c r="D430" s="125" t="s">
        <v>56</v>
      </c>
      <c r="E430" s="124" t="s">
        <v>11</v>
      </c>
      <c r="F430" s="244">
        <v>628</v>
      </c>
      <c r="G430" s="188">
        <v>89</v>
      </c>
    </row>
    <row r="431" spans="1:7" ht="15">
      <c r="A431" s="491">
        <v>428</v>
      </c>
      <c r="B431" s="242" t="s">
        <v>317</v>
      </c>
      <c r="C431" s="114">
        <v>38968</v>
      </c>
      <c r="D431" s="310" t="s">
        <v>48</v>
      </c>
      <c r="E431" s="310" t="s">
        <v>70</v>
      </c>
      <c r="F431" s="245">
        <v>996</v>
      </c>
      <c r="G431" s="190">
        <v>166</v>
      </c>
    </row>
    <row r="432" spans="1:7" ht="15">
      <c r="A432" s="491">
        <v>429</v>
      </c>
      <c r="B432" s="241" t="s">
        <v>115</v>
      </c>
      <c r="C432" s="115">
        <v>39066</v>
      </c>
      <c r="D432" s="130" t="s">
        <v>23</v>
      </c>
      <c r="E432" s="129" t="s">
        <v>25</v>
      </c>
      <c r="F432" s="243">
        <v>1664</v>
      </c>
      <c r="G432" s="189">
        <v>416</v>
      </c>
    </row>
    <row r="433" spans="1:7" ht="15">
      <c r="A433" s="491">
        <v>430</v>
      </c>
      <c r="B433" s="145" t="s">
        <v>115</v>
      </c>
      <c r="C433" s="115">
        <v>39066</v>
      </c>
      <c r="D433" s="268" t="s">
        <v>23</v>
      </c>
      <c r="E433" s="269" t="s">
        <v>25</v>
      </c>
      <c r="F433" s="243">
        <v>1068</v>
      </c>
      <c r="G433" s="189">
        <v>267</v>
      </c>
    </row>
    <row r="434" spans="1:7" ht="15">
      <c r="A434" s="491">
        <v>431</v>
      </c>
      <c r="B434" s="241" t="s">
        <v>115</v>
      </c>
      <c r="C434" s="115">
        <v>39066</v>
      </c>
      <c r="D434" s="311" t="s">
        <v>23</v>
      </c>
      <c r="E434" s="311" t="s">
        <v>25</v>
      </c>
      <c r="F434" s="243">
        <v>793</v>
      </c>
      <c r="G434" s="189">
        <v>109</v>
      </c>
    </row>
    <row r="435" spans="1:7" ht="15">
      <c r="A435" s="491">
        <v>432</v>
      </c>
      <c r="B435" s="241" t="s">
        <v>115</v>
      </c>
      <c r="C435" s="115">
        <v>39066</v>
      </c>
      <c r="D435" s="130" t="s">
        <v>23</v>
      </c>
      <c r="E435" s="129" t="s">
        <v>199</v>
      </c>
      <c r="F435" s="243">
        <v>420</v>
      </c>
      <c r="G435" s="189">
        <v>84</v>
      </c>
    </row>
    <row r="436" spans="1:7" ht="15">
      <c r="A436" s="491">
        <v>433</v>
      </c>
      <c r="B436" s="176" t="s">
        <v>115</v>
      </c>
      <c r="C436" s="115">
        <v>39066</v>
      </c>
      <c r="D436" s="172" t="s">
        <v>23</v>
      </c>
      <c r="E436" s="172" t="s">
        <v>25</v>
      </c>
      <c r="F436" s="243">
        <v>268</v>
      </c>
      <c r="G436" s="189">
        <v>28</v>
      </c>
    </row>
    <row r="437" spans="1:7" ht="15">
      <c r="A437" s="491">
        <v>434</v>
      </c>
      <c r="B437" s="145" t="s">
        <v>115</v>
      </c>
      <c r="C437" s="115">
        <v>39066</v>
      </c>
      <c r="D437" s="268" t="s">
        <v>23</v>
      </c>
      <c r="E437" s="269" t="s">
        <v>199</v>
      </c>
      <c r="F437" s="243">
        <v>235</v>
      </c>
      <c r="G437" s="189">
        <v>41</v>
      </c>
    </row>
    <row r="438" spans="1:7" ht="15">
      <c r="A438" s="491">
        <v>435</v>
      </c>
      <c r="B438" s="145" t="s">
        <v>115</v>
      </c>
      <c r="C438" s="115">
        <v>39066</v>
      </c>
      <c r="D438" s="130" t="s">
        <v>23</v>
      </c>
      <c r="E438" s="129" t="s">
        <v>25</v>
      </c>
      <c r="F438" s="247">
        <v>212</v>
      </c>
      <c r="G438" s="154">
        <v>23</v>
      </c>
    </row>
    <row r="439" spans="1:7" ht="15">
      <c r="A439" s="491">
        <v>436</v>
      </c>
      <c r="B439" s="326" t="s">
        <v>115</v>
      </c>
      <c r="C439" s="115">
        <v>39066</v>
      </c>
      <c r="D439" s="172" t="s">
        <v>23</v>
      </c>
      <c r="E439" s="172" t="s">
        <v>199</v>
      </c>
      <c r="F439" s="243">
        <v>147</v>
      </c>
      <c r="G439" s="189">
        <v>36</v>
      </c>
    </row>
    <row r="440" spans="1:7" ht="15">
      <c r="A440" s="491">
        <v>437</v>
      </c>
      <c r="B440" s="143" t="s">
        <v>227</v>
      </c>
      <c r="C440" s="146">
        <v>38989</v>
      </c>
      <c r="D440" s="266" t="s">
        <v>66</v>
      </c>
      <c r="E440" s="265" t="s">
        <v>66</v>
      </c>
      <c r="F440" s="249">
        <v>1135</v>
      </c>
      <c r="G440" s="152">
        <v>216</v>
      </c>
    </row>
    <row r="441" spans="1:7" ht="15">
      <c r="A441" s="491">
        <v>438</v>
      </c>
      <c r="B441" s="240" t="s">
        <v>227</v>
      </c>
      <c r="C441" s="115">
        <v>38989</v>
      </c>
      <c r="D441" s="266" t="s">
        <v>66</v>
      </c>
      <c r="E441" s="126" t="s">
        <v>66</v>
      </c>
      <c r="F441" s="247">
        <v>397</v>
      </c>
      <c r="G441" s="189">
        <v>77</v>
      </c>
    </row>
    <row r="442" spans="1:7" ht="15">
      <c r="A442" s="491">
        <v>439</v>
      </c>
      <c r="B442" s="175" t="s">
        <v>146</v>
      </c>
      <c r="C442" s="114">
        <v>39073</v>
      </c>
      <c r="D442" s="173" t="s">
        <v>73</v>
      </c>
      <c r="E442" s="173" t="s">
        <v>135</v>
      </c>
      <c r="F442" s="244">
        <v>28388</v>
      </c>
      <c r="G442" s="188">
        <v>4133</v>
      </c>
    </row>
    <row r="443" spans="1:7" ht="15">
      <c r="A443" s="491">
        <v>440</v>
      </c>
      <c r="B443" s="140" t="s">
        <v>146</v>
      </c>
      <c r="C443" s="114">
        <v>39073</v>
      </c>
      <c r="D443" s="127" t="s">
        <v>73</v>
      </c>
      <c r="E443" s="127" t="s">
        <v>135</v>
      </c>
      <c r="F443" s="244">
        <v>3756</v>
      </c>
      <c r="G443" s="188">
        <v>644</v>
      </c>
    </row>
    <row r="444" spans="1:7" ht="15">
      <c r="A444" s="491">
        <v>441</v>
      </c>
      <c r="B444" s="242" t="s">
        <v>146</v>
      </c>
      <c r="C444" s="114">
        <v>39073</v>
      </c>
      <c r="D444" s="127" t="s">
        <v>73</v>
      </c>
      <c r="E444" s="127" t="s">
        <v>135</v>
      </c>
      <c r="F444" s="244">
        <v>3051</v>
      </c>
      <c r="G444" s="188">
        <v>698</v>
      </c>
    </row>
    <row r="445" spans="1:7" ht="15">
      <c r="A445" s="491">
        <v>442</v>
      </c>
      <c r="B445" s="242" t="s">
        <v>146</v>
      </c>
      <c r="C445" s="114">
        <v>39073</v>
      </c>
      <c r="D445" s="127" t="s">
        <v>73</v>
      </c>
      <c r="E445" s="127" t="s">
        <v>135</v>
      </c>
      <c r="F445" s="244">
        <v>1594</v>
      </c>
      <c r="G445" s="188">
        <v>314</v>
      </c>
    </row>
    <row r="446" spans="1:7" ht="15">
      <c r="A446" s="491">
        <v>443</v>
      </c>
      <c r="B446" s="140" t="s">
        <v>146</v>
      </c>
      <c r="C446" s="114">
        <v>39073</v>
      </c>
      <c r="D446" s="267" t="s">
        <v>73</v>
      </c>
      <c r="E446" s="267" t="s">
        <v>135</v>
      </c>
      <c r="F446" s="244">
        <v>1243</v>
      </c>
      <c r="G446" s="188">
        <v>259</v>
      </c>
    </row>
    <row r="447" spans="1:7" ht="15">
      <c r="A447" s="491">
        <v>444</v>
      </c>
      <c r="B447" s="140" t="s">
        <v>146</v>
      </c>
      <c r="C447" s="114">
        <v>39073</v>
      </c>
      <c r="D447" s="267" t="s">
        <v>73</v>
      </c>
      <c r="E447" s="267" t="s">
        <v>135</v>
      </c>
      <c r="F447" s="248">
        <v>950</v>
      </c>
      <c r="G447" s="151">
        <v>179</v>
      </c>
    </row>
    <row r="448" spans="1:7" ht="15">
      <c r="A448" s="491">
        <v>445</v>
      </c>
      <c r="B448" s="140" t="s">
        <v>146</v>
      </c>
      <c r="C448" s="114">
        <v>39073</v>
      </c>
      <c r="D448" s="127" t="s">
        <v>73</v>
      </c>
      <c r="E448" s="127" t="s">
        <v>135</v>
      </c>
      <c r="F448" s="244">
        <v>584.5</v>
      </c>
      <c r="G448" s="188">
        <v>144</v>
      </c>
    </row>
    <row r="449" spans="1:7" ht="15">
      <c r="A449" s="491">
        <v>446</v>
      </c>
      <c r="B449" s="144" t="s">
        <v>167</v>
      </c>
      <c r="C449" s="115">
        <v>38436</v>
      </c>
      <c r="D449" s="126" t="s">
        <v>58</v>
      </c>
      <c r="E449" s="126" t="s">
        <v>59</v>
      </c>
      <c r="F449" s="243">
        <v>1510</v>
      </c>
      <c r="G449" s="189">
        <v>302</v>
      </c>
    </row>
    <row r="450" spans="1:7" ht="15">
      <c r="A450" s="491">
        <v>447</v>
      </c>
      <c r="B450" s="144" t="s">
        <v>167</v>
      </c>
      <c r="C450" s="115">
        <v>38436</v>
      </c>
      <c r="D450" s="126" t="s">
        <v>58</v>
      </c>
      <c r="E450" s="126" t="s">
        <v>59</v>
      </c>
      <c r="F450" s="243">
        <v>201</v>
      </c>
      <c r="G450" s="189">
        <v>47</v>
      </c>
    </row>
    <row r="451" spans="1:7" ht="15">
      <c r="A451" s="491">
        <v>448</v>
      </c>
      <c r="B451" s="240" t="s">
        <v>167</v>
      </c>
      <c r="C451" s="115">
        <v>38436</v>
      </c>
      <c r="D451" s="126" t="s">
        <v>58</v>
      </c>
      <c r="E451" s="126" t="s">
        <v>59</v>
      </c>
      <c r="F451" s="243">
        <v>201</v>
      </c>
      <c r="G451" s="189">
        <v>47</v>
      </c>
    </row>
    <row r="452" spans="1:7" ht="15">
      <c r="A452" s="491">
        <v>449</v>
      </c>
      <c r="B452" s="142" t="s">
        <v>32</v>
      </c>
      <c r="C452" s="114">
        <v>39024</v>
      </c>
      <c r="D452" s="125" t="s">
        <v>56</v>
      </c>
      <c r="E452" s="124" t="s">
        <v>71</v>
      </c>
      <c r="F452" s="248">
        <v>4639</v>
      </c>
      <c r="G452" s="151">
        <v>1240</v>
      </c>
    </row>
    <row r="453" spans="1:7" ht="15">
      <c r="A453" s="491">
        <v>450</v>
      </c>
      <c r="B453" s="239" t="s">
        <v>32</v>
      </c>
      <c r="C453" s="114">
        <v>39024</v>
      </c>
      <c r="D453" s="125" t="s">
        <v>56</v>
      </c>
      <c r="E453" s="124" t="s">
        <v>71</v>
      </c>
      <c r="F453" s="244">
        <v>3468</v>
      </c>
      <c r="G453" s="188">
        <v>968</v>
      </c>
    </row>
    <row r="454" spans="1:7" ht="15">
      <c r="A454" s="491">
        <v>451</v>
      </c>
      <c r="B454" s="175" t="s">
        <v>32</v>
      </c>
      <c r="C454" s="114">
        <v>39024</v>
      </c>
      <c r="D454" s="173" t="s">
        <v>56</v>
      </c>
      <c r="E454" s="173" t="s">
        <v>71</v>
      </c>
      <c r="F454" s="244">
        <v>1123</v>
      </c>
      <c r="G454" s="188">
        <v>375</v>
      </c>
    </row>
    <row r="455" spans="1:7" ht="15">
      <c r="A455" s="491">
        <v>452</v>
      </c>
      <c r="B455" s="142" t="s">
        <v>32</v>
      </c>
      <c r="C455" s="114">
        <v>39024</v>
      </c>
      <c r="D455" s="125" t="s">
        <v>56</v>
      </c>
      <c r="E455" s="124" t="s">
        <v>71</v>
      </c>
      <c r="F455" s="244">
        <v>130</v>
      </c>
      <c r="G455" s="188">
        <v>20</v>
      </c>
    </row>
    <row r="456" spans="1:7" ht="15">
      <c r="A456" s="491">
        <v>453</v>
      </c>
      <c r="B456" s="142" t="s">
        <v>249</v>
      </c>
      <c r="C456" s="114">
        <v>39024</v>
      </c>
      <c r="D456" s="264" t="s">
        <v>56</v>
      </c>
      <c r="E456" s="265" t="s">
        <v>11</v>
      </c>
      <c r="F456" s="244">
        <v>719</v>
      </c>
      <c r="G456" s="188">
        <v>90</v>
      </c>
    </row>
    <row r="457" spans="1:7" ht="15">
      <c r="A457" s="491">
        <v>454</v>
      </c>
      <c r="B457" s="239" t="s">
        <v>249</v>
      </c>
      <c r="C457" s="114">
        <v>39003</v>
      </c>
      <c r="D457" s="125" t="s">
        <v>56</v>
      </c>
      <c r="E457" s="124" t="s">
        <v>11</v>
      </c>
      <c r="F457" s="244">
        <v>596</v>
      </c>
      <c r="G457" s="188">
        <v>79</v>
      </c>
    </row>
    <row r="458" spans="1:7" ht="15">
      <c r="A458" s="491">
        <v>455</v>
      </c>
      <c r="B458" s="119" t="s">
        <v>384</v>
      </c>
      <c r="C458" s="117">
        <v>39024</v>
      </c>
      <c r="D458" s="128" t="s">
        <v>64</v>
      </c>
      <c r="E458" s="128" t="s">
        <v>62</v>
      </c>
      <c r="F458" s="252">
        <v>4269</v>
      </c>
      <c r="G458" s="155">
        <v>855</v>
      </c>
    </row>
    <row r="459" spans="1:7" ht="15">
      <c r="A459" s="491">
        <v>456</v>
      </c>
      <c r="B459" s="177" t="s">
        <v>100</v>
      </c>
      <c r="C459" s="117">
        <v>39059</v>
      </c>
      <c r="D459" s="174" t="s">
        <v>64</v>
      </c>
      <c r="E459" s="174" t="s">
        <v>101</v>
      </c>
      <c r="F459" s="251">
        <v>8747</v>
      </c>
      <c r="G459" s="191">
        <v>1379</v>
      </c>
    </row>
    <row r="460" spans="1:7" ht="15">
      <c r="A460" s="491">
        <v>457</v>
      </c>
      <c r="B460" s="119" t="s">
        <v>100</v>
      </c>
      <c r="C460" s="117">
        <v>39059</v>
      </c>
      <c r="D460" s="128" t="s">
        <v>64</v>
      </c>
      <c r="E460" s="128" t="s">
        <v>101</v>
      </c>
      <c r="F460" s="252">
        <v>4587</v>
      </c>
      <c r="G460" s="155">
        <v>707</v>
      </c>
    </row>
    <row r="461" spans="1:7" ht="15">
      <c r="A461" s="491">
        <v>458</v>
      </c>
      <c r="B461" s="234" t="s">
        <v>100</v>
      </c>
      <c r="C461" s="117">
        <v>39059</v>
      </c>
      <c r="D461" s="128" t="s">
        <v>64</v>
      </c>
      <c r="E461" s="128" t="s">
        <v>101</v>
      </c>
      <c r="F461" s="251">
        <v>4297</v>
      </c>
      <c r="G461" s="191">
        <v>700</v>
      </c>
    </row>
    <row r="462" spans="1:7" ht="15">
      <c r="A462" s="491">
        <v>459</v>
      </c>
      <c r="B462" s="327" t="s">
        <v>100</v>
      </c>
      <c r="C462" s="321">
        <v>39059</v>
      </c>
      <c r="D462" s="320" t="s">
        <v>64</v>
      </c>
      <c r="E462" s="320" t="s">
        <v>101</v>
      </c>
      <c r="F462" s="329">
        <v>424</v>
      </c>
      <c r="G462" s="331">
        <v>61</v>
      </c>
    </row>
    <row r="463" spans="1:7" ht="15">
      <c r="A463" s="491">
        <v>460</v>
      </c>
      <c r="B463" s="333" t="s">
        <v>100</v>
      </c>
      <c r="C463" s="117">
        <v>39059</v>
      </c>
      <c r="D463" s="174" t="s">
        <v>64</v>
      </c>
      <c r="E463" s="174" t="s">
        <v>101</v>
      </c>
      <c r="F463" s="251">
        <v>110</v>
      </c>
      <c r="G463" s="191">
        <v>18</v>
      </c>
    </row>
    <row r="464" spans="1:7" ht="15">
      <c r="A464" s="491">
        <v>461</v>
      </c>
      <c r="B464" s="145" t="s">
        <v>213</v>
      </c>
      <c r="C464" s="115">
        <v>38191</v>
      </c>
      <c r="D464" s="130" t="s">
        <v>23</v>
      </c>
      <c r="E464" s="129" t="s">
        <v>190</v>
      </c>
      <c r="F464" s="243">
        <v>803.2</v>
      </c>
      <c r="G464" s="189">
        <v>502</v>
      </c>
    </row>
    <row r="465" spans="1:7" ht="15">
      <c r="A465" s="491">
        <v>462</v>
      </c>
      <c r="B465" s="241" t="s">
        <v>213</v>
      </c>
      <c r="C465" s="115">
        <v>38191</v>
      </c>
      <c r="D465" s="130" t="s">
        <v>23</v>
      </c>
      <c r="E465" s="129" t="s">
        <v>190</v>
      </c>
      <c r="F465" s="247">
        <v>476</v>
      </c>
      <c r="G465" s="189">
        <v>119</v>
      </c>
    </row>
    <row r="466" spans="1:7" ht="15">
      <c r="A466" s="491">
        <v>463</v>
      </c>
      <c r="B466" s="326" t="s">
        <v>213</v>
      </c>
      <c r="C466" s="115">
        <v>38191</v>
      </c>
      <c r="D466" s="172" t="s">
        <v>23</v>
      </c>
      <c r="E466" s="172" t="s">
        <v>190</v>
      </c>
      <c r="F466" s="243">
        <v>435.2</v>
      </c>
      <c r="G466" s="189">
        <v>272</v>
      </c>
    </row>
    <row r="467" spans="1:7" ht="15">
      <c r="A467" s="491">
        <v>464</v>
      </c>
      <c r="B467" s="145" t="s">
        <v>243</v>
      </c>
      <c r="C467" s="115">
        <v>37869</v>
      </c>
      <c r="D467" s="268" t="s">
        <v>23</v>
      </c>
      <c r="E467" s="269" t="s">
        <v>27</v>
      </c>
      <c r="F467" s="243">
        <v>952</v>
      </c>
      <c r="G467" s="189">
        <v>238</v>
      </c>
    </row>
    <row r="468" spans="1:7" ht="15">
      <c r="A468" s="491">
        <v>465</v>
      </c>
      <c r="B468" s="145" t="s">
        <v>246</v>
      </c>
      <c r="C468" s="115">
        <v>38751</v>
      </c>
      <c r="D468" s="268" t="s">
        <v>23</v>
      </c>
      <c r="E468" s="269" t="s">
        <v>27</v>
      </c>
      <c r="F468" s="243">
        <v>245.5</v>
      </c>
      <c r="G468" s="189">
        <v>97</v>
      </c>
    </row>
    <row r="469" spans="1:7" ht="15">
      <c r="A469" s="491">
        <v>466</v>
      </c>
      <c r="B469" s="239" t="s">
        <v>160</v>
      </c>
      <c r="C469" s="114">
        <v>39003</v>
      </c>
      <c r="D469" s="125" t="s">
        <v>56</v>
      </c>
      <c r="E469" s="124" t="s">
        <v>144</v>
      </c>
      <c r="F469" s="244">
        <v>544</v>
      </c>
      <c r="G469" s="188">
        <v>133</v>
      </c>
    </row>
    <row r="470" spans="1:7" ht="15">
      <c r="A470" s="491">
        <v>467</v>
      </c>
      <c r="B470" s="175" t="s">
        <v>160</v>
      </c>
      <c r="C470" s="114">
        <v>39003</v>
      </c>
      <c r="D470" s="173" t="s">
        <v>56</v>
      </c>
      <c r="E470" s="173" t="s">
        <v>144</v>
      </c>
      <c r="F470" s="244">
        <v>513</v>
      </c>
      <c r="G470" s="188">
        <v>162</v>
      </c>
    </row>
    <row r="471" spans="1:7" ht="15">
      <c r="A471" s="491">
        <v>468</v>
      </c>
      <c r="B471" s="240" t="s">
        <v>82</v>
      </c>
      <c r="C471" s="115">
        <v>39010</v>
      </c>
      <c r="D471" s="126" t="s">
        <v>58</v>
      </c>
      <c r="E471" s="126" t="s">
        <v>71</v>
      </c>
      <c r="F471" s="243">
        <v>20659.5</v>
      </c>
      <c r="G471" s="189">
        <v>4132</v>
      </c>
    </row>
    <row r="472" spans="1:7" ht="15">
      <c r="A472" s="491">
        <v>469</v>
      </c>
      <c r="B472" s="143" t="s">
        <v>82</v>
      </c>
      <c r="C472" s="146">
        <v>39010</v>
      </c>
      <c r="D472" s="141" t="s">
        <v>58</v>
      </c>
      <c r="E472" s="141" t="s">
        <v>71</v>
      </c>
      <c r="F472" s="249">
        <v>13340</v>
      </c>
      <c r="G472" s="152">
        <v>1914</v>
      </c>
    </row>
    <row r="473" spans="1:7" ht="15">
      <c r="A473" s="491">
        <v>470</v>
      </c>
      <c r="B473" s="240" t="s">
        <v>82</v>
      </c>
      <c r="C473" s="115">
        <v>39010</v>
      </c>
      <c r="D473" s="126" t="s">
        <v>58</v>
      </c>
      <c r="E473" s="126" t="s">
        <v>71</v>
      </c>
      <c r="F473" s="243">
        <v>5274.5</v>
      </c>
      <c r="G473" s="189">
        <v>1016</v>
      </c>
    </row>
    <row r="474" spans="1:7" ht="15">
      <c r="A474" s="491">
        <v>471</v>
      </c>
      <c r="B474" s="176" t="s">
        <v>82</v>
      </c>
      <c r="C474" s="115">
        <v>39010</v>
      </c>
      <c r="D474" s="172" t="s">
        <v>58</v>
      </c>
      <c r="E474" s="172" t="s">
        <v>71</v>
      </c>
      <c r="F474" s="243">
        <v>3471</v>
      </c>
      <c r="G474" s="189">
        <v>491</v>
      </c>
    </row>
    <row r="475" spans="1:7" ht="15">
      <c r="A475" s="491">
        <v>472</v>
      </c>
      <c r="B475" s="240" t="s">
        <v>82</v>
      </c>
      <c r="C475" s="115">
        <v>39010</v>
      </c>
      <c r="D475" s="126" t="s">
        <v>58</v>
      </c>
      <c r="E475" s="126" t="s">
        <v>71</v>
      </c>
      <c r="F475" s="243">
        <v>3021</v>
      </c>
      <c r="G475" s="189">
        <v>604</v>
      </c>
    </row>
    <row r="476" spans="1:7" ht="15">
      <c r="A476" s="491">
        <v>473</v>
      </c>
      <c r="B476" s="143" t="s">
        <v>82</v>
      </c>
      <c r="C476" s="146">
        <v>39010</v>
      </c>
      <c r="D476" s="266" t="s">
        <v>58</v>
      </c>
      <c r="E476" s="265" t="s">
        <v>71</v>
      </c>
      <c r="F476" s="249">
        <v>2629</v>
      </c>
      <c r="G476" s="152">
        <v>519</v>
      </c>
    </row>
    <row r="477" spans="1:7" ht="15">
      <c r="A477" s="491">
        <v>474</v>
      </c>
      <c r="B477" s="144" t="s">
        <v>82</v>
      </c>
      <c r="C477" s="115">
        <v>39010</v>
      </c>
      <c r="D477" s="126" t="s">
        <v>58</v>
      </c>
      <c r="E477" s="126" t="s">
        <v>71</v>
      </c>
      <c r="F477" s="243">
        <v>2097</v>
      </c>
      <c r="G477" s="189">
        <v>307</v>
      </c>
    </row>
    <row r="478" spans="1:7" ht="15">
      <c r="A478" s="491">
        <v>475</v>
      </c>
      <c r="B478" s="240" t="s">
        <v>82</v>
      </c>
      <c r="C478" s="115">
        <v>39010</v>
      </c>
      <c r="D478" s="126" t="s">
        <v>58</v>
      </c>
      <c r="E478" s="126" t="s">
        <v>71</v>
      </c>
      <c r="F478" s="243">
        <v>2013.5</v>
      </c>
      <c r="G478" s="189">
        <v>503</v>
      </c>
    </row>
    <row r="479" spans="1:7" ht="15">
      <c r="A479" s="491">
        <v>476</v>
      </c>
      <c r="B479" s="326" t="s">
        <v>82</v>
      </c>
      <c r="C479" s="115">
        <v>39010</v>
      </c>
      <c r="D479" s="172" t="s">
        <v>58</v>
      </c>
      <c r="E479" s="172" t="s">
        <v>71</v>
      </c>
      <c r="F479" s="243">
        <v>369</v>
      </c>
      <c r="G479" s="189">
        <v>113</v>
      </c>
    </row>
    <row r="480" spans="1:7" ht="15">
      <c r="A480" s="491">
        <v>477</v>
      </c>
      <c r="B480" s="241" t="s">
        <v>82</v>
      </c>
      <c r="C480" s="115">
        <v>39010</v>
      </c>
      <c r="D480" s="311" t="s">
        <v>58</v>
      </c>
      <c r="E480" s="311" t="s">
        <v>71</v>
      </c>
      <c r="F480" s="243">
        <v>347</v>
      </c>
      <c r="G480" s="189">
        <v>128</v>
      </c>
    </row>
    <row r="481" spans="1:7" ht="15">
      <c r="A481" s="491">
        <v>478</v>
      </c>
      <c r="B481" s="323" t="s">
        <v>82</v>
      </c>
      <c r="C481" s="317">
        <v>39010</v>
      </c>
      <c r="D481" s="316" t="s">
        <v>58</v>
      </c>
      <c r="E481" s="316" t="s">
        <v>71</v>
      </c>
      <c r="F481" s="328">
        <v>318</v>
      </c>
      <c r="G481" s="330">
        <v>123</v>
      </c>
    </row>
    <row r="482" spans="1:7" ht="15">
      <c r="A482" s="491">
        <v>479</v>
      </c>
      <c r="B482" s="240" t="s">
        <v>82</v>
      </c>
      <c r="C482" s="115">
        <v>39010</v>
      </c>
      <c r="D482" s="126" t="s">
        <v>58</v>
      </c>
      <c r="E482" s="126" t="s">
        <v>71</v>
      </c>
      <c r="F482" s="243">
        <v>180</v>
      </c>
      <c r="G482" s="189">
        <v>60</v>
      </c>
    </row>
    <row r="483" spans="1:7" ht="15">
      <c r="A483" s="491">
        <v>480</v>
      </c>
      <c r="B483" s="240" t="s">
        <v>82</v>
      </c>
      <c r="C483" s="115">
        <v>39010</v>
      </c>
      <c r="D483" s="126" t="s">
        <v>58</v>
      </c>
      <c r="E483" s="126" t="s">
        <v>71</v>
      </c>
      <c r="F483" s="247">
        <v>130</v>
      </c>
      <c r="G483" s="189">
        <v>18</v>
      </c>
    </row>
    <row r="484" spans="1:7" ht="15">
      <c r="A484" s="491">
        <v>481</v>
      </c>
      <c r="B484" s="240" t="s">
        <v>82</v>
      </c>
      <c r="C484" s="115">
        <v>39010</v>
      </c>
      <c r="D484" s="126" t="s">
        <v>58</v>
      </c>
      <c r="E484" s="126" t="s">
        <v>71</v>
      </c>
      <c r="F484" s="243">
        <v>100</v>
      </c>
      <c r="G484" s="189">
        <v>12</v>
      </c>
    </row>
    <row r="485" spans="1:7" ht="15">
      <c r="A485" s="491">
        <v>482</v>
      </c>
      <c r="B485" s="144" t="s">
        <v>82</v>
      </c>
      <c r="C485" s="115">
        <v>39010</v>
      </c>
      <c r="D485" s="274" t="s">
        <v>58</v>
      </c>
      <c r="E485" s="274" t="s">
        <v>71</v>
      </c>
      <c r="F485" s="243">
        <v>49</v>
      </c>
      <c r="G485" s="189">
        <v>7</v>
      </c>
    </row>
    <row r="486" spans="1:7" ht="15">
      <c r="A486" s="491">
        <v>483</v>
      </c>
      <c r="B486" s="241" t="s">
        <v>228</v>
      </c>
      <c r="C486" s="115">
        <v>38758</v>
      </c>
      <c r="D486" s="268" t="s">
        <v>23</v>
      </c>
      <c r="E486" s="269" t="s">
        <v>229</v>
      </c>
      <c r="F486" s="247">
        <v>4276</v>
      </c>
      <c r="G486" s="154">
        <v>1069</v>
      </c>
    </row>
    <row r="487" spans="1:7" ht="15">
      <c r="A487" s="491">
        <v>484</v>
      </c>
      <c r="B487" s="241" t="s">
        <v>228</v>
      </c>
      <c r="C487" s="115">
        <v>38758</v>
      </c>
      <c r="D487" s="130" t="s">
        <v>23</v>
      </c>
      <c r="E487" s="129" t="s">
        <v>229</v>
      </c>
      <c r="F487" s="247">
        <v>3560</v>
      </c>
      <c r="G487" s="189">
        <v>890</v>
      </c>
    </row>
    <row r="488" spans="1:7" ht="15">
      <c r="A488" s="491">
        <v>485</v>
      </c>
      <c r="B488" s="241" t="s">
        <v>228</v>
      </c>
      <c r="C488" s="115">
        <v>38758</v>
      </c>
      <c r="D488" s="130" t="s">
        <v>23</v>
      </c>
      <c r="E488" s="129" t="s">
        <v>229</v>
      </c>
      <c r="F488" s="247">
        <v>1008</v>
      </c>
      <c r="G488" s="189">
        <v>252</v>
      </c>
    </row>
    <row r="489" spans="1:7" ht="15">
      <c r="A489" s="491">
        <v>486</v>
      </c>
      <c r="B489" s="241" t="s">
        <v>228</v>
      </c>
      <c r="C489" s="115">
        <v>38758</v>
      </c>
      <c r="D489" s="130" t="s">
        <v>23</v>
      </c>
      <c r="E489" s="129" t="s">
        <v>229</v>
      </c>
      <c r="F489" s="243">
        <v>952</v>
      </c>
      <c r="G489" s="189">
        <v>238</v>
      </c>
    </row>
    <row r="490" spans="1:7" ht="15">
      <c r="A490" s="491">
        <v>487</v>
      </c>
      <c r="B490" s="140" t="s">
        <v>155</v>
      </c>
      <c r="C490" s="114">
        <v>39052</v>
      </c>
      <c r="D490" s="127" t="s">
        <v>73</v>
      </c>
      <c r="E490" s="127" t="s">
        <v>135</v>
      </c>
      <c r="F490" s="244">
        <v>1617</v>
      </c>
      <c r="G490" s="188">
        <v>271</v>
      </c>
    </row>
    <row r="491" spans="1:7" ht="15">
      <c r="A491" s="491">
        <v>488</v>
      </c>
      <c r="B491" s="175" t="s">
        <v>155</v>
      </c>
      <c r="C491" s="146">
        <v>39073</v>
      </c>
      <c r="D491" s="141" t="s">
        <v>73</v>
      </c>
      <c r="E491" s="141" t="s">
        <v>135</v>
      </c>
      <c r="F491" s="249">
        <v>1562.5</v>
      </c>
      <c r="G491" s="152">
        <v>266</v>
      </c>
    </row>
    <row r="492" spans="1:7" ht="15">
      <c r="A492" s="491">
        <v>489</v>
      </c>
      <c r="B492" s="175" t="s">
        <v>155</v>
      </c>
      <c r="C492" s="114">
        <v>39052</v>
      </c>
      <c r="D492" s="173" t="s">
        <v>73</v>
      </c>
      <c r="E492" s="173" t="s">
        <v>135</v>
      </c>
      <c r="F492" s="244">
        <v>1522</v>
      </c>
      <c r="G492" s="188">
        <v>316</v>
      </c>
    </row>
    <row r="493" spans="1:7" ht="15">
      <c r="A493" s="491">
        <v>490</v>
      </c>
      <c r="B493" s="140" t="s">
        <v>155</v>
      </c>
      <c r="C493" s="114">
        <v>39052</v>
      </c>
      <c r="D493" s="267" t="s">
        <v>73</v>
      </c>
      <c r="E493" s="267" t="s">
        <v>135</v>
      </c>
      <c r="F493" s="248">
        <v>1188</v>
      </c>
      <c r="G493" s="151">
        <v>198</v>
      </c>
    </row>
    <row r="494" spans="1:7" ht="15">
      <c r="A494" s="491">
        <v>491</v>
      </c>
      <c r="B494" s="325" t="s">
        <v>155</v>
      </c>
      <c r="C494" s="114">
        <v>39052</v>
      </c>
      <c r="D494" s="173" t="s">
        <v>73</v>
      </c>
      <c r="E494" s="173" t="s">
        <v>135</v>
      </c>
      <c r="F494" s="244">
        <v>1116</v>
      </c>
      <c r="G494" s="188">
        <v>185</v>
      </c>
    </row>
    <row r="495" spans="1:7" ht="15">
      <c r="A495" s="491">
        <v>492</v>
      </c>
      <c r="B495" s="242" t="s">
        <v>155</v>
      </c>
      <c r="C495" s="114">
        <v>39052</v>
      </c>
      <c r="D495" s="127" t="s">
        <v>73</v>
      </c>
      <c r="E495" s="127" t="s">
        <v>135</v>
      </c>
      <c r="F495" s="244">
        <v>301</v>
      </c>
      <c r="G495" s="188">
        <v>60</v>
      </c>
    </row>
    <row r="496" spans="1:7" ht="15">
      <c r="A496" s="491">
        <v>493</v>
      </c>
      <c r="B496" s="325" t="s">
        <v>155</v>
      </c>
      <c r="C496" s="114">
        <v>39052</v>
      </c>
      <c r="D496" s="173" t="s">
        <v>73</v>
      </c>
      <c r="E496" s="173" t="s">
        <v>135</v>
      </c>
      <c r="F496" s="244">
        <v>272</v>
      </c>
      <c r="G496" s="188">
        <v>68</v>
      </c>
    </row>
    <row r="497" spans="1:7" ht="15">
      <c r="A497" s="491">
        <v>494</v>
      </c>
      <c r="B497" s="175" t="s">
        <v>155</v>
      </c>
      <c r="C497" s="114">
        <v>39052</v>
      </c>
      <c r="D497" s="127" t="s">
        <v>73</v>
      </c>
      <c r="E497" s="127" t="s">
        <v>135</v>
      </c>
      <c r="F497" s="244">
        <v>197</v>
      </c>
      <c r="G497" s="188">
        <v>47</v>
      </c>
    </row>
    <row r="498" spans="1:7" ht="15">
      <c r="A498" s="491">
        <v>495</v>
      </c>
      <c r="B498" s="142" t="s">
        <v>113</v>
      </c>
      <c r="C498" s="114">
        <v>39066</v>
      </c>
      <c r="D498" s="125" t="s">
        <v>56</v>
      </c>
      <c r="E498" s="124" t="s">
        <v>71</v>
      </c>
      <c r="F498" s="248">
        <v>41071</v>
      </c>
      <c r="G498" s="151">
        <v>3570</v>
      </c>
    </row>
    <row r="499" spans="1:7" ht="15">
      <c r="A499" s="491">
        <v>496</v>
      </c>
      <c r="B499" s="175" t="s">
        <v>113</v>
      </c>
      <c r="C499" s="114">
        <v>39066</v>
      </c>
      <c r="D499" s="173" t="s">
        <v>56</v>
      </c>
      <c r="E499" s="173" t="s">
        <v>71</v>
      </c>
      <c r="F499" s="244">
        <v>3039</v>
      </c>
      <c r="G499" s="188">
        <v>371</v>
      </c>
    </row>
    <row r="500" spans="1:7" ht="15">
      <c r="A500" s="491">
        <v>497</v>
      </c>
      <c r="B500" s="239" t="s">
        <v>113</v>
      </c>
      <c r="C500" s="114">
        <v>39066</v>
      </c>
      <c r="D500" s="125" t="s">
        <v>56</v>
      </c>
      <c r="E500" s="124" t="s">
        <v>71</v>
      </c>
      <c r="F500" s="244">
        <v>2600</v>
      </c>
      <c r="G500" s="188">
        <v>361</v>
      </c>
    </row>
    <row r="501" spans="1:7" ht="15">
      <c r="A501" s="491">
        <v>498</v>
      </c>
      <c r="B501" s="242" t="s">
        <v>113</v>
      </c>
      <c r="C501" s="114">
        <v>39066</v>
      </c>
      <c r="D501" s="310" t="s">
        <v>56</v>
      </c>
      <c r="E501" s="310" t="s">
        <v>71</v>
      </c>
      <c r="F501" s="244">
        <v>2186</v>
      </c>
      <c r="G501" s="188">
        <v>301</v>
      </c>
    </row>
    <row r="502" spans="1:7" ht="15">
      <c r="A502" s="491">
        <v>499</v>
      </c>
      <c r="B502" s="239" t="s">
        <v>113</v>
      </c>
      <c r="C502" s="114">
        <v>39066</v>
      </c>
      <c r="D502" s="125" t="s">
        <v>56</v>
      </c>
      <c r="E502" s="124" t="s">
        <v>71</v>
      </c>
      <c r="F502" s="248">
        <v>2174</v>
      </c>
      <c r="G502" s="188">
        <v>300</v>
      </c>
    </row>
    <row r="503" spans="1:7" ht="15">
      <c r="A503" s="491">
        <v>500</v>
      </c>
      <c r="B503" s="239" t="s">
        <v>113</v>
      </c>
      <c r="C503" s="114">
        <v>39066</v>
      </c>
      <c r="D503" s="125" t="s">
        <v>56</v>
      </c>
      <c r="E503" s="124" t="s">
        <v>71</v>
      </c>
      <c r="F503" s="244">
        <v>2174</v>
      </c>
      <c r="G503" s="188">
        <v>300</v>
      </c>
    </row>
    <row r="504" spans="1:7" ht="15">
      <c r="A504" s="491">
        <v>501</v>
      </c>
      <c r="B504" s="239" t="s">
        <v>113</v>
      </c>
      <c r="C504" s="114">
        <v>39066</v>
      </c>
      <c r="D504" s="125" t="s">
        <v>56</v>
      </c>
      <c r="E504" s="124" t="s">
        <v>71</v>
      </c>
      <c r="F504" s="244">
        <v>1487</v>
      </c>
      <c r="G504" s="188">
        <v>239</v>
      </c>
    </row>
    <row r="505" spans="1:7" ht="15">
      <c r="A505" s="491">
        <v>502</v>
      </c>
      <c r="B505" s="142" t="s">
        <v>113</v>
      </c>
      <c r="C505" s="114">
        <v>39066</v>
      </c>
      <c r="D505" s="125" t="s">
        <v>56</v>
      </c>
      <c r="E505" s="124" t="s">
        <v>71</v>
      </c>
      <c r="F505" s="244">
        <v>1124</v>
      </c>
      <c r="G505" s="188">
        <v>164</v>
      </c>
    </row>
    <row r="506" spans="1:7" ht="15">
      <c r="A506" s="491">
        <v>503</v>
      </c>
      <c r="B506" s="142" t="s">
        <v>113</v>
      </c>
      <c r="C506" s="114">
        <v>39066</v>
      </c>
      <c r="D506" s="125" t="s">
        <v>56</v>
      </c>
      <c r="E506" s="124" t="s">
        <v>71</v>
      </c>
      <c r="F506" s="244">
        <v>762</v>
      </c>
      <c r="G506" s="188">
        <v>96</v>
      </c>
    </row>
    <row r="507" spans="1:7" ht="15">
      <c r="A507" s="491">
        <v>504</v>
      </c>
      <c r="B507" s="239" t="s">
        <v>113</v>
      </c>
      <c r="C507" s="114">
        <v>39066</v>
      </c>
      <c r="D507" s="264" t="s">
        <v>56</v>
      </c>
      <c r="E507" s="265" t="s">
        <v>71</v>
      </c>
      <c r="F507" s="248">
        <v>751</v>
      </c>
      <c r="G507" s="151">
        <v>88</v>
      </c>
    </row>
    <row r="508" spans="1:7" ht="15">
      <c r="A508" s="491">
        <v>505</v>
      </c>
      <c r="B508" s="325" t="s">
        <v>113</v>
      </c>
      <c r="C508" s="114">
        <v>39066</v>
      </c>
      <c r="D508" s="173" t="s">
        <v>56</v>
      </c>
      <c r="E508" s="173" t="s">
        <v>71</v>
      </c>
      <c r="F508" s="244">
        <v>252</v>
      </c>
      <c r="G508" s="188">
        <v>32</v>
      </c>
    </row>
    <row r="509" spans="1:7" ht="15">
      <c r="A509" s="491">
        <v>506</v>
      </c>
      <c r="B509" s="142" t="s">
        <v>113</v>
      </c>
      <c r="C509" s="114">
        <v>39066</v>
      </c>
      <c r="D509" s="264" t="s">
        <v>56</v>
      </c>
      <c r="E509" s="265" t="s">
        <v>71</v>
      </c>
      <c r="F509" s="244">
        <v>237</v>
      </c>
      <c r="G509" s="188">
        <v>46</v>
      </c>
    </row>
    <row r="510" spans="1:7" ht="15">
      <c r="A510" s="491">
        <v>507</v>
      </c>
      <c r="B510" s="239" t="s">
        <v>113</v>
      </c>
      <c r="C510" s="114">
        <v>39066</v>
      </c>
      <c r="D510" s="125" t="s">
        <v>56</v>
      </c>
      <c r="E510" s="124" t="s">
        <v>71</v>
      </c>
      <c r="F510" s="248">
        <v>234</v>
      </c>
      <c r="G510" s="188">
        <v>27</v>
      </c>
    </row>
    <row r="511" spans="1:7" ht="15">
      <c r="A511" s="491">
        <v>508</v>
      </c>
      <c r="B511" s="142" t="s">
        <v>113</v>
      </c>
      <c r="C511" s="114">
        <v>39066</v>
      </c>
      <c r="D511" s="264" t="s">
        <v>56</v>
      </c>
      <c r="E511" s="265" t="s">
        <v>71</v>
      </c>
      <c r="F511" s="248">
        <v>161</v>
      </c>
      <c r="G511" s="151">
        <v>29</v>
      </c>
    </row>
    <row r="512" spans="1:7" ht="15">
      <c r="A512" s="491">
        <v>509</v>
      </c>
      <c r="B512" s="145" t="s">
        <v>214</v>
      </c>
      <c r="C512" s="115">
        <v>38709</v>
      </c>
      <c r="D512" s="130" t="s">
        <v>23</v>
      </c>
      <c r="E512" s="129" t="s">
        <v>33</v>
      </c>
      <c r="F512" s="243">
        <v>3560</v>
      </c>
      <c r="G512" s="189">
        <v>890</v>
      </c>
    </row>
    <row r="513" spans="1:7" ht="15">
      <c r="A513" s="491">
        <v>510</v>
      </c>
      <c r="B513" s="143" t="s">
        <v>133</v>
      </c>
      <c r="C513" s="146">
        <v>39031</v>
      </c>
      <c r="D513" s="141" t="s">
        <v>58</v>
      </c>
      <c r="E513" s="141" t="s">
        <v>39</v>
      </c>
      <c r="F513" s="249">
        <v>570</v>
      </c>
      <c r="G513" s="152">
        <v>142</v>
      </c>
    </row>
    <row r="514" spans="1:7" ht="15">
      <c r="A514" s="491">
        <v>511</v>
      </c>
      <c r="B514" s="240" t="s">
        <v>133</v>
      </c>
      <c r="C514" s="115">
        <v>39031</v>
      </c>
      <c r="D514" s="126" t="s">
        <v>58</v>
      </c>
      <c r="E514" s="126" t="s">
        <v>39</v>
      </c>
      <c r="F514" s="243">
        <v>310</v>
      </c>
      <c r="G514" s="189">
        <v>69</v>
      </c>
    </row>
    <row r="515" spans="1:7" ht="15">
      <c r="A515" s="491">
        <v>512</v>
      </c>
      <c r="B515" s="240" t="s">
        <v>133</v>
      </c>
      <c r="C515" s="115">
        <v>39031</v>
      </c>
      <c r="D515" s="126" t="s">
        <v>12</v>
      </c>
      <c r="E515" s="126" t="s">
        <v>39</v>
      </c>
      <c r="F515" s="243">
        <v>254</v>
      </c>
      <c r="G515" s="189">
        <v>57</v>
      </c>
    </row>
    <row r="516" spans="1:7" ht="15">
      <c r="A516" s="491">
        <v>513</v>
      </c>
      <c r="B516" s="176" t="s">
        <v>133</v>
      </c>
      <c r="C516" s="115">
        <v>39031</v>
      </c>
      <c r="D516" s="172" t="s">
        <v>58</v>
      </c>
      <c r="E516" s="172" t="s">
        <v>39</v>
      </c>
      <c r="F516" s="243">
        <v>176</v>
      </c>
      <c r="G516" s="189">
        <v>44</v>
      </c>
    </row>
    <row r="517" spans="1:7" ht="15">
      <c r="A517" s="491">
        <v>514</v>
      </c>
      <c r="B517" s="241" t="s">
        <v>318</v>
      </c>
      <c r="C517" s="115">
        <v>38891</v>
      </c>
      <c r="D517" s="311" t="s">
        <v>23</v>
      </c>
      <c r="E517" s="311" t="s">
        <v>319</v>
      </c>
      <c r="F517" s="243">
        <v>712</v>
      </c>
      <c r="G517" s="189">
        <v>178</v>
      </c>
    </row>
    <row r="518" spans="1:7" ht="15">
      <c r="A518" s="491">
        <v>515</v>
      </c>
      <c r="B518" s="143" t="s">
        <v>79</v>
      </c>
      <c r="C518" s="146">
        <v>39052</v>
      </c>
      <c r="D518" s="141" t="s">
        <v>58</v>
      </c>
      <c r="E518" s="141" t="s">
        <v>14</v>
      </c>
      <c r="F518" s="249">
        <v>137705.5</v>
      </c>
      <c r="G518" s="152">
        <v>21048</v>
      </c>
    </row>
    <row r="519" spans="1:7" ht="15">
      <c r="A519" s="491">
        <v>516</v>
      </c>
      <c r="B519" s="176" t="s">
        <v>79</v>
      </c>
      <c r="C519" s="115">
        <v>39052</v>
      </c>
      <c r="D519" s="172" t="s">
        <v>58</v>
      </c>
      <c r="E519" s="172" t="s">
        <v>14</v>
      </c>
      <c r="F519" s="243">
        <v>96374</v>
      </c>
      <c r="G519" s="189">
        <v>15913</v>
      </c>
    </row>
    <row r="520" spans="1:7" ht="15">
      <c r="A520" s="491">
        <v>517</v>
      </c>
      <c r="B520" s="144" t="s">
        <v>79</v>
      </c>
      <c r="C520" s="115">
        <v>39052</v>
      </c>
      <c r="D520" s="126" t="s">
        <v>58</v>
      </c>
      <c r="E520" s="126" t="s">
        <v>14</v>
      </c>
      <c r="F520" s="243">
        <v>73504</v>
      </c>
      <c r="G520" s="189">
        <v>13224</v>
      </c>
    </row>
    <row r="521" spans="1:7" ht="15">
      <c r="A521" s="491">
        <v>518</v>
      </c>
      <c r="B521" s="240" t="s">
        <v>79</v>
      </c>
      <c r="C521" s="115">
        <v>39052</v>
      </c>
      <c r="D521" s="126" t="s">
        <v>58</v>
      </c>
      <c r="E521" s="126" t="s">
        <v>14</v>
      </c>
      <c r="F521" s="243">
        <v>30884</v>
      </c>
      <c r="G521" s="189">
        <v>6184</v>
      </c>
    </row>
    <row r="522" spans="1:7" ht="15">
      <c r="A522" s="491">
        <v>519</v>
      </c>
      <c r="B522" s="144" t="s">
        <v>79</v>
      </c>
      <c r="C522" s="115">
        <v>39052</v>
      </c>
      <c r="D522" s="274" t="s">
        <v>58</v>
      </c>
      <c r="E522" s="274" t="s">
        <v>14</v>
      </c>
      <c r="F522" s="243">
        <v>17976</v>
      </c>
      <c r="G522" s="189">
        <v>3081</v>
      </c>
    </row>
    <row r="523" spans="1:7" ht="15">
      <c r="A523" s="491">
        <v>520</v>
      </c>
      <c r="B523" s="144" t="s">
        <v>79</v>
      </c>
      <c r="C523" s="115">
        <v>39052</v>
      </c>
      <c r="D523" s="126" t="s">
        <v>58</v>
      </c>
      <c r="E523" s="126" t="s">
        <v>14</v>
      </c>
      <c r="F523" s="243">
        <v>17454.5</v>
      </c>
      <c r="G523" s="189">
        <v>3648</v>
      </c>
    </row>
    <row r="524" spans="1:7" ht="15">
      <c r="A524" s="491">
        <v>521</v>
      </c>
      <c r="B524" s="240" t="s">
        <v>79</v>
      </c>
      <c r="C524" s="115">
        <v>39052</v>
      </c>
      <c r="D524" s="126" t="s">
        <v>58</v>
      </c>
      <c r="E524" s="126" t="s">
        <v>14</v>
      </c>
      <c r="F524" s="247">
        <v>10984.5</v>
      </c>
      <c r="G524" s="189">
        <v>2101</v>
      </c>
    </row>
    <row r="525" spans="1:7" ht="15">
      <c r="A525" s="491">
        <v>522</v>
      </c>
      <c r="B525" s="143" t="s">
        <v>79</v>
      </c>
      <c r="C525" s="146">
        <v>39052</v>
      </c>
      <c r="D525" s="266" t="s">
        <v>58</v>
      </c>
      <c r="E525" s="265" t="s">
        <v>14</v>
      </c>
      <c r="F525" s="249">
        <v>8264</v>
      </c>
      <c r="G525" s="152">
        <v>1405</v>
      </c>
    </row>
    <row r="526" spans="1:7" ht="15">
      <c r="A526" s="491">
        <v>523</v>
      </c>
      <c r="B526" s="275" t="s">
        <v>79</v>
      </c>
      <c r="C526" s="146">
        <v>39052</v>
      </c>
      <c r="D526" s="266" t="s">
        <v>58</v>
      </c>
      <c r="E526" s="266" t="s">
        <v>14</v>
      </c>
      <c r="F526" s="249">
        <v>5607</v>
      </c>
      <c r="G526" s="152">
        <v>939</v>
      </c>
    </row>
    <row r="527" spans="1:7" ht="15">
      <c r="A527" s="491">
        <v>524</v>
      </c>
      <c r="B527" s="240" t="s">
        <v>79</v>
      </c>
      <c r="C527" s="115">
        <v>39052</v>
      </c>
      <c r="D527" s="126" t="s">
        <v>58</v>
      </c>
      <c r="E527" s="126" t="s">
        <v>292</v>
      </c>
      <c r="F527" s="243">
        <v>4629</v>
      </c>
      <c r="G527" s="189">
        <v>964</v>
      </c>
    </row>
    <row r="528" spans="1:7" ht="15">
      <c r="A528" s="491">
        <v>525</v>
      </c>
      <c r="B528" s="240" t="s">
        <v>79</v>
      </c>
      <c r="C528" s="115">
        <v>39052</v>
      </c>
      <c r="D528" s="126" t="s">
        <v>12</v>
      </c>
      <c r="E528" s="126" t="s">
        <v>14</v>
      </c>
      <c r="F528" s="243">
        <v>2782</v>
      </c>
      <c r="G528" s="189">
        <v>414</v>
      </c>
    </row>
    <row r="529" spans="1:7" ht="15">
      <c r="A529" s="491">
        <v>526</v>
      </c>
      <c r="B529" s="326" t="s">
        <v>79</v>
      </c>
      <c r="C529" s="115">
        <v>39052</v>
      </c>
      <c r="D529" s="172" t="s">
        <v>58</v>
      </c>
      <c r="E529" s="172" t="s">
        <v>14</v>
      </c>
      <c r="F529" s="243">
        <v>2376</v>
      </c>
      <c r="G529" s="189">
        <v>475</v>
      </c>
    </row>
    <row r="530" spans="1:7" ht="15">
      <c r="A530" s="491">
        <v>527</v>
      </c>
      <c r="B530" s="326" t="s">
        <v>79</v>
      </c>
      <c r="C530" s="115">
        <v>39052</v>
      </c>
      <c r="D530" s="172" t="s">
        <v>58</v>
      </c>
      <c r="E530" s="172" t="s">
        <v>14</v>
      </c>
      <c r="F530" s="243">
        <v>2202</v>
      </c>
      <c r="G530" s="189">
        <v>531</v>
      </c>
    </row>
    <row r="531" spans="1:7" ht="15">
      <c r="A531" s="491">
        <v>528</v>
      </c>
      <c r="B531" s="144" t="s">
        <v>79</v>
      </c>
      <c r="C531" s="115">
        <v>39052</v>
      </c>
      <c r="D531" s="274" t="s">
        <v>58</v>
      </c>
      <c r="E531" s="274" t="s">
        <v>14</v>
      </c>
      <c r="F531" s="243">
        <v>1901</v>
      </c>
      <c r="G531" s="189">
        <v>475</v>
      </c>
    </row>
    <row r="532" spans="1:7" ht="15">
      <c r="A532" s="491">
        <v>529</v>
      </c>
      <c r="B532" s="241" t="s">
        <v>79</v>
      </c>
      <c r="C532" s="115">
        <v>39052</v>
      </c>
      <c r="D532" s="311" t="s">
        <v>58</v>
      </c>
      <c r="E532" s="311" t="s">
        <v>14</v>
      </c>
      <c r="F532" s="243">
        <v>1637</v>
      </c>
      <c r="G532" s="189">
        <v>585</v>
      </c>
    </row>
    <row r="533" spans="1:7" ht="15">
      <c r="A533" s="491">
        <v>530</v>
      </c>
      <c r="B533" s="240" t="s">
        <v>79</v>
      </c>
      <c r="C533" s="115">
        <v>39052</v>
      </c>
      <c r="D533" s="126" t="s">
        <v>58</v>
      </c>
      <c r="E533" s="126" t="s">
        <v>292</v>
      </c>
      <c r="F533" s="247">
        <v>1262</v>
      </c>
      <c r="G533" s="189">
        <v>287</v>
      </c>
    </row>
    <row r="534" spans="1:7" ht="15">
      <c r="A534" s="491">
        <v>531</v>
      </c>
      <c r="B534" s="240" t="s">
        <v>79</v>
      </c>
      <c r="C534" s="115">
        <v>39052</v>
      </c>
      <c r="D534" s="126" t="s">
        <v>58</v>
      </c>
      <c r="E534" s="126" t="s">
        <v>14</v>
      </c>
      <c r="F534" s="243">
        <v>352</v>
      </c>
      <c r="G534" s="189">
        <v>88</v>
      </c>
    </row>
    <row r="535" spans="1:7" ht="15">
      <c r="A535" s="491">
        <v>532</v>
      </c>
      <c r="B535" s="240" t="s">
        <v>79</v>
      </c>
      <c r="C535" s="115">
        <v>39052</v>
      </c>
      <c r="D535" s="126" t="s">
        <v>58</v>
      </c>
      <c r="E535" s="126" t="s">
        <v>14</v>
      </c>
      <c r="F535" s="243">
        <v>98</v>
      </c>
      <c r="G535" s="189">
        <v>12</v>
      </c>
    </row>
    <row r="536" spans="1:7" ht="15">
      <c r="A536" s="491">
        <v>533</v>
      </c>
      <c r="B536" s="326" t="s">
        <v>102</v>
      </c>
      <c r="C536" s="115">
        <v>39059</v>
      </c>
      <c r="D536" s="172" t="s">
        <v>23</v>
      </c>
      <c r="E536" s="172" t="s">
        <v>103</v>
      </c>
      <c r="F536" s="243">
        <v>8402</v>
      </c>
      <c r="G536" s="189">
        <v>1001</v>
      </c>
    </row>
    <row r="537" spans="1:7" ht="15">
      <c r="A537" s="491">
        <v>534</v>
      </c>
      <c r="B537" s="241" t="s">
        <v>102</v>
      </c>
      <c r="C537" s="115">
        <v>39059</v>
      </c>
      <c r="D537" s="130" t="s">
        <v>23</v>
      </c>
      <c r="E537" s="129" t="s">
        <v>103</v>
      </c>
      <c r="F537" s="243">
        <v>2970</v>
      </c>
      <c r="G537" s="189">
        <v>759</v>
      </c>
    </row>
    <row r="538" spans="1:7" ht="15">
      <c r="A538" s="491">
        <v>535</v>
      </c>
      <c r="B538" s="326" t="s">
        <v>102</v>
      </c>
      <c r="C538" s="115">
        <v>39059</v>
      </c>
      <c r="D538" s="172" t="s">
        <v>23</v>
      </c>
      <c r="E538" s="172" t="s">
        <v>103</v>
      </c>
      <c r="F538" s="243">
        <v>2390</v>
      </c>
      <c r="G538" s="189">
        <v>600</v>
      </c>
    </row>
    <row r="539" spans="1:7" ht="15">
      <c r="A539" s="491">
        <v>536</v>
      </c>
      <c r="B539" s="145" t="s">
        <v>102</v>
      </c>
      <c r="C539" s="115">
        <v>39059</v>
      </c>
      <c r="D539" s="130" t="s">
        <v>23</v>
      </c>
      <c r="E539" s="129" t="s">
        <v>103</v>
      </c>
      <c r="F539" s="243">
        <v>1068</v>
      </c>
      <c r="G539" s="189">
        <v>267</v>
      </c>
    </row>
    <row r="540" spans="1:7" ht="15">
      <c r="A540" s="491">
        <v>537</v>
      </c>
      <c r="B540" s="241" t="s">
        <v>102</v>
      </c>
      <c r="C540" s="115">
        <v>39059</v>
      </c>
      <c r="D540" s="130" t="s">
        <v>23</v>
      </c>
      <c r="E540" s="129" t="s">
        <v>103</v>
      </c>
      <c r="F540" s="243">
        <v>952</v>
      </c>
      <c r="G540" s="189">
        <v>238</v>
      </c>
    </row>
    <row r="541" spans="1:7" ht="15">
      <c r="A541" s="491">
        <v>538</v>
      </c>
      <c r="B541" s="241" t="s">
        <v>102</v>
      </c>
      <c r="C541" s="115">
        <v>39059</v>
      </c>
      <c r="D541" s="130" t="s">
        <v>23</v>
      </c>
      <c r="E541" s="129" t="s">
        <v>103</v>
      </c>
      <c r="F541" s="243">
        <v>468</v>
      </c>
      <c r="G541" s="189">
        <v>75</v>
      </c>
    </row>
    <row r="542" spans="1:7" ht="15">
      <c r="A542" s="491">
        <v>539</v>
      </c>
      <c r="B542" s="176" t="s">
        <v>102</v>
      </c>
      <c r="C542" s="115">
        <v>39059</v>
      </c>
      <c r="D542" s="172" t="s">
        <v>23</v>
      </c>
      <c r="E542" s="172" t="s">
        <v>103</v>
      </c>
      <c r="F542" s="243">
        <v>453</v>
      </c>
      <c r="G542" s="189">
        <v>91</v>
      </c>
    </row>
    <row r="543" spans="1:7" ht="15">
      <c r="A543" s="491">
        <v>540</v>
      </c>
      <c r="B543" s="326" t="s">
        <v>102</v>
      </c>
      <c r="C543" s="115">
        <v>39059</v>
      </c>
      <c r="D543" s="172" t="s">
        <v>23</v>
      </c>
      <c r="E543" s="172" t="s">
        <v>103</v>
      </c>
      <c r="F543" s="243">
        <v>414</v>
      </c>
      <c r="G543" s="189">
        <v>71</v>
      </c>
    </row>
    <row r="544" spans="1:7" ht="15">
      <c r="A544" s="491">
        <v>541</v>
      </c>
      <c r="B544" s="241" t="s">
        <v>102</v>
      </c>
      <c r="C544" s="115">
        <v>39059</v>
      </c>
      <c r="D544" s="130" t="s">
        <v>23</v>
      </c>
      <c r="E544" s="129" t="s">
        <v>103</v>
      </c>
      <c r="F544" s="243">
        <v>340</v>
      </c>
      <c r="G544" s="189">
        <v>68</v>
      </c>
    </row>
    <row r="545" spans="1:7" ht="15">
      <c r="A545" s="491">
        <v>542</v>
      </c>
      <c r="B545" s="241" t="s">
        <v>102</v>
      </c>
      <c r="C545" s="115">
        <v>39059</v>
      </c>
      <c r="D545" s="130" t="s">
        <v>23</v>
      </c>
      <c r="E545" s="129" t="s">
        <v>103</v>
      </c>
      <c r="F545" s="243">
        <v>219</v>
      </c>
      <c r="G545" s="189">
        <v>36</v>
      </c>
    </row>
    <row r="546" spans="1:7" ht="15">
      <c r="A546" s="491">
        <v>543</v>
      </c>
      <c r="B546" s="241" t="s">
        <v>102</v>
      </c>
      <c r="C546" s="115">
        <v>39059</v>
      </c>
      <c r="D546" s="268" t="s">
        <v>23</v>
      </c>
      <c r="E546" s="269" t="s">
        <v>103</v>
      </c>
      <c r="F546" s="247">
        <v>117</v>
      </c>
      <c r="G546" s="154">
        <v>49</v>
      </c>
    </row>
    <row r="547" spans="1:7" ht="15">
      <c r="A547" s="491">
        <v>544</v>
      </c>
      <c r="B547" s="145" t="s">
        <v>102</v>
      </c>
      <c r="C547" s="115">
        <v>39059</v>
      </c>
      <c r="D547" s="130" t="s">
        <v>23</v>
      </c>
      <c r="E547" s="129" t="s">
        <v>103</v>
      </c>
      <c r="F547" s="247">
        <v>115</v>
      </c>
      <c r="G547" s="154">
        <v>14</v>
      </c>
    </row>
    <row r="548" spans="1:7" ht="15">
      <c r="A548" s="491">
        <v>545</v>
      </c>
      <c r="B548" s="145" t="s">
        <v>102</v>
      </c>
      <c r="C548" s="115">
        <v>39059</v>
      </c>
      <c r="D548" s="268" t="s">
        <v>23</v>
      </c>
      <c r="E548" s="269" t="s">
        <v>103</v>
      </c>
      <c r="F548" s="243">
        <v>62</v>
      </c>
      <c r="G548" s="189">
        <v>10</v>
      </c>
    </row>
    <row r="549" spans="1:7" ht="15">
      <c r="A549" s="491">
        <v>546</v>
      </c>
      <c r="B549" s="241" t="s">
        <v>102</v>
      </c>
      <c r="C549" s="115">
        <v>39059</v>
      </c>
      <c r="D549" s="130" t="s">
        <v>23</v>
      </c>
      <c r="E549" s="129" t="s">
        <v>103</v>
      </c>
      <c r="F549" s="247">
        <v>60</v>
      </c>
      <c r="G549" s="189">
        <v>24</v>
      </c>
    </row>
    <row r="550" spans="1:7" ht="15">
      <c r="A550" s="491">
        <v>547</v>
      </c>
      <c r="B550" s="145" t="s">
        <v>84</v>
      </c>
      <c r="C550" s="115">
        <v>38891</v>
      </c>
      <c r="D550" s="130" t="s">
        <v>23</v>
      </c>
      <c r="E550" s="129" t="s">
        <v>13</v>
      </c>
      <c r="F550" s="247">
        <v>2030.2</v>
      </c>
      <c r="G550" s="154">
        <v>506</v>
      </c>
    </row>
    <row r="551" spans="1:7" ht="15">
      <c r="A551" s="491">
        <v>548</v>
      </c>
      <c r="B551" s="176" t="s">
        <v>84</v>
      </c>
      <c r="C551" s="115">
        <v>38891</v>
      </c>
      <c r="D551" s="172" t="s">
        <v>23</v>
      </c>
      <c r="E551" s="172" t="s">
        <v>13</v>
      </c>
      <c r="F551" s="243">
        <v>1554.4</v>
      </c>
      <c r="G551" s="189">
        <v>456</v>
      </c>
    </row>
    <row r="552" spans="1:7" ht="15">
      <c r="A552" s="491">
        <v>549</v>
      </c>
      <c r="B552" s="145" t="s">
        <v>84</v>
      </c>
      <c r="C552" s="115">
        <v>38891</v>
      </c>
      <c r="D552" s="130" t="s">
        <v>23</v>
      </c>
      <c r="E552" s="129" t="s">
        <v>13</v>
      </c>
      <c r="F552" s="243">
        <v>699</v>
      </c>
      <c r="G552" s="189">
        <v>199</v>
      </c>
    </row>
    <row r="553" spans="1:7" ht="15">
      <c r="A553" s="491">
        <v>550</v>
      </c>
      <c r="B553" s="145" t="s">
        <v>84</v>
      </c>
      <c r="C553" s="115">
        <v>38891</v>
      </c>
      <c r="D553" s="268" t="s">
        <v>23</v>
      </c>
      <c r="E553" s="269" t="s">
        <v>13</v>
      </c>
      <c r="F553" s="243">
        <v>195</v>
      </c>
      <c r="G553" s="189">
        <v>65</v>
      </c>
    </row>
    <row r="554" spans="1:7" ht="15">
      <c r="A554" s="491">
        <v>551</v>
      </c>
      <c r="B554" s="142" t="s">
        <v>17</v>
      </c>
      <c r="C554" s="114">
        <v>39052</v>
      </c>
      <c r="D554" s="125" t="s">
        <v>56</v>
      </c>
      <c r="E554" s="124" t="s">
        <v>71</v>
      </c>
      <c r="F554" s="248">
        <v>18054</v>
      </c>
      <c r="G554" s="151">
        <v>2827</v>
      </c>
    </row>
    <row r="555" spans="1:7" ht="15">
      <c r="A555" s="491">
        <v>552</v>
      </c>
      <c r="B555" s="142" t="s">
        <v>17</v>
      </c>
      <c r="C555" s="114">
        <v>39052</v>
      </c>
      <c r="D555" s="173" t="s">
        <v>56</v>
      </c>
      <c r="E555" s="173" t="s">
        <v>71</v>
      </c>
      <c r="F555" s="244">
        <v>7487</v>
      </c>
      <c r="G555" s="188">
        <v>1405</v>
      </c>
    </row>
    <row r="556" spans="1:7" ht="15">
      <c r="A556" s="491">
        <v>553</v>
      </c>
      <c r="B556" s="142" t="s">
        <v>17</v>
      </c>
      <c r="C556" s="114">
        <v>39052</v>
      </c>
      <c r="D556" s="125" t="s">
        <v>56</v>
      </c>
      <c r="E556" s="124" t="s">
        <v>71</v>
      </c>
      <c r="F556" s="244">
        <v>5131</v>
      </c>
      <c r="G556" s="188">
        <v>1115</v>
      </c>
    </row>
    <row r="557" spans="1:7" ht="15">
      <c r="A557" s="491">
        <v>554</v>
      </c>
      <c r="B557" s="142" t="s">
        <v>17</v>
      </c>
      <c r="C557" s="114">
        <v>39052</v>
      </c>
      <c r="D557" s="264" t="s">
        <v>56</v>
      </c>
      <c r="E557" s="265" t="s">
        <v>71</v>
      </c>
      <c r="F557" s="248">
        <v>1536</v>
      </c>
      <c r="G557" s="151">
        <v>296</v>
      </c>
    </row>
    <row r="558" spans="1:7" ht="15">
      <c r="A558" s="491">
        <v>555</v>
      </c>
      <c r="B558" s="142" t="s">
        <v>17</v>
      </c>
      <c r="C558" s="114">
        <v>39052</v>
      </c>
      <c r="D558" s="310" t="s">
        <v>56</v>
      </c>
      <c r="E558" s="310" t="s">
        <v>71</v>
      </c>
      <c r="F558" s="244">
        <v>1196.5</v>
      </c>
      <c r="G558" s="188">
        <v>209</v>
      </c>
    </row>
    <row r="559" spans="1:7" ht="15">
      <c r="A559" s="491">
        <v>556</v>
      </c>
      <c r="B559" s="142" t="s">
        <v>17</v>
      </c>
      <c r="C559" s="114">
        <v>39052</v>
      </c>
      <c r="D559" s="264" t="s">
        <v>56</v>
      </c>
      <c r="E559" s="265" t="s">
        <v>71</v>
      </c>
      <c r="F559" s="244">
        <v>723</v>
      </c>
      <c r="G559" s="188">
        <v>149</v>
      </c>
    </row>
    <row r="560" spans="1:7" ht="15">
      <c r="A560" s="491">
        <v>557</v>
      </c>
      <c r="B560" s="142" t="s">
        <v>17</v>
      </c>
      <c r="C560" s="114">
        <v>39052</v>
      </c>
      <c r="D560" s="125" t="s">
        <v>56</v>
      </c>
      <c r="E560" s="124" t="s">
        <v>71</v>
      </c>
      <c r="F560" s="244">
        <v>530</v>
      </c>
      <c r="G560" s="188">
        <v>106</v>
      </c>
    </row>
    <row r="561" spans="1:7" ht="15">
      <c r="A561" s="491">
        <v>558</v>
      </c>
      <c r="B561" s="322" t="s">
        <v>17</v>
      </c>
      <c r="C561" s="315">
        <v>39052</v>
      </c>
      <c r="D561" s="314" t="s">
        <v>56</v>
      </c>
      <c r="E561" s="314" t="s">
        <v>71</v>
      </c>
      <c r="F561" s="244">
        <v>335</v>
      </c>
      <c r="G561" s="188">
        <v>65</v>
      </c>
    </row>
    <row r="562" spans="1:7" ht="15">
      <c r="A562" s="491">
        <v>559</v>
      </c>
      <c r="B562" s="145" t="s">
        <v>458</v>
      </c>
      <c r="C562" s="115">
        <v>38898</v>
      </c>
      <c r="D562" s="268" t="s">
        <v>23</v>
      </c>
      <c r="E562" s="269" t="s">
        <v>362</v>
      </c>
      <c r="F562" s="243">
        <v>1248</v>
      </c>
      <c r="G562" s="189">
        <v>416</v>
      </c>
    </row>
    <row r="563" spans="1:7" ht="15">
      <c r="A563" s="491">
        <v>560</v>
      </c>
      <c r="B563" s="144" t="s">
        <v>208</v>
      </c>
      <c r="C563" s="115">
        <v>37862</v>
      </c>
      <c r="D563" s="127" t="s">
        <v>46</v>
      </c>
      <c r="E563" s="127" t="s">
        <v>209</v>
      </c>
      <c r="F563" s="244">
        <v>354</v>
      </c>
      <c r="G563" s="188">
        <v>118</v>
      </c>
    </row>
    <row r="564" spans="1:7" ht="15">
      <c r="A564" s="491">
        <v>561</v>
      </c>
      <c r="B564" s="241" t="s">
        <v>427</v>
      </c>
      <c r="C564" s="115">
        <v>38926</v>
      </c>
      <c r="D564" s="130" t="s">
        <v>23</v>
      </c>
      <c r="E564" s="129" t="s">
        <v>428</v>
      </c>
      <c r="F564" s="243">
        <v>952</v>
      </c>
      <c r="G564" s="189">
        <v>238</v>
      </c>
    </row>
    <row r="565" spans="1:7" ht="15">
      <c r="A565" s="491">
        <v>562</v>
      </c>
      <c r="B565" s="325" t="s">
        <v>95</v>
      </c>
      <c r="C565" s="114">
        <v>39010</v>
      </c>
      <c r="D565" s="173" t="s">
        <v>68</v>
      </c>
      <c r="E565" s="173" t="s">
        <v>40</v>
      </c>
      <c r="F565" s="253">
        <v>2781</v>
      </c>
      <c r="G565" s="192">
        <v>473</v>
      </c>
    </row>
    <row r="566" spans="1:7" ht="15">
      <c r="A566" s="491">
        <v>563</v>
      </c>
      <c r="B566" s="175" t="s">
        <v>95</v>
      </c>
      <c r="C566" s="114">
        <v>39010</v>
      </c>
      <c r="D566" s="173" t="s">
        <v>68</v>
      </c>
      <c r="E566" s="173" t="s">
        <v>40</v>
      </c>
      <c r="F566" s="253">
        <v>2615</v>
      </c>
      <c r="G566" s="192">
        <v>432</v>
      </c>
    </row>
    <row r="567" spans="1:7" ht="15">
      <c r="A567" s="491">
        <v>564</v>
      </c>
      <c r="B567" s="325" t="s">
        <v>95</v>
      </c>
      <c r="C567" s="114">
        <v>39010</v>
      </c>
      <c r="D567" s="173" t="s">
        <v>68</v>
      </c>
      <c r="E567" s="173" t="s">
        <v>347</v>
      </c>
      <c r="F567" s="253">
        <v>1841</v>
      </c>
      <c r="G567" s="192">
        <v>263</v>
      </c>
    </row>
    <row r="568" spans="1:7" ht="15">
      <c r="A568" s="491">
        <v>565</v>
      </c>
      <c r="B568" s="142" t="s">
        <v>95</v>
      </c>
      <c r="C568" s="114">
        <v>39010</v>
      </c>
      <c r="D568" s="124" t="s">
        <v>68</v>
      </c>
      <c r="E568" s="124" t="s">
        <v>40</v>
      </c>
      <c r="F568" s="254">
        <v>1100</v>
      </c>
      <c r="G568" s="156">
        <v>143</v>
      </c>
    </row>
    <row r="569" spans="1:7" ht="15">
      <c r="A569" s="491">
        <v>566</v>
      </c>
      <c r="B569" s="325" t="s">
        <v>95</v>
      </c>
      <c r="C569" s="114">
        <v>39010</v>
      </c>
      <c r="D569" s="173" t="s">
        <v>68</v>
      </c>
      <c r="E569" s="173" t="s">
        <v>40</v>
      </c>
      <c r="F569" s="243">
        <v>945</v>
      </c>
      <c r="G569" s="189">
        <v>188</v>
      </c>
    </row>
    <row r="570" spans="1:7" ht="15">
      <c r="A570" s="491">
        <v>567</v>
      </c>
      <c r="B570" s="325" t="s">
        <v>95</v>
      </c>
      <c r="C570" s="114">
        <v>39010</v>
      </c>
      <c r="D570" s="173" t="s">
        <v>68</v>
      </c>
      <c r="E570" s="173" t="s">
        <v>40</v>
      </c>
      <c r="F570" s="253">
        <v>405</v>
      </c>
      <c r="G570" s="192">
        <v>81</v>
      </c>
    </row>
    <row r="571" spans="1:7" ht="15">
      <c r="A571" s="491">
        <v>568</v>
      </c>
      <c r="B571" s="242" t="s">
        <v>170</v>
      </c>
      <c r="C571" s="114">
        <v>39038</v>
      </c>
      <c r="D571" s="127" t="s">
        <v>45</v>
      </c>
      <c r="E571" s="127" t="s">
        <v>171</v>
      </c>
      <c r="F571" s="248">
        <v>1188</v>
      </c>
      <c r="G571" s="188">
        <v>396</v>
      </c>
    </row>
    <row r="572" spans="1:7" ht="15">
      <c r="A572" s="491">
        <v>569</v>
      </c>
      <c r="B572" s="140" t="s">
        <v>170</v>
      </c>
      <c r="C572" s="114">
        <v>39038</v>
      </c>
      <c r="D572" s="127" t="s">
        <v>45</v>
      </c>
      <c r="E572" s="127" t="s">
        <v>171</v>
      </c>
      <c r="F572" s="244">
        <v>885</v>
      </c>
      <c r="G572" s="188">
        <v>171</v>
      </c>
    </row>
    <row r="573" spans="1:7" ht="15">
      <c r="A573" s="491">
        <v>570</v>
      </c>
      <c r="B573" s="241" t="s">
        <v>200</v>
      </c>
      <c r="C573" s="115">
        <v>38639</v>
      </c>
      <c r="D573" s="130" t="s">
        <v>23</v>
      </c>
      <c r="E573" s="129" t="s">
        <v>201</v>
      </c>
      <c r="F573" s="243">
        <v>3560</v>
      </c>
      <c r="G573" s="189">
        <v>890</v>
      </c>
    </row>
    <row r="574" spans="1:7" ht="15">
      <c r="A574" s="491">
        <v>571</v>
      </c>
      <c r="B574" s="241" t="s">
        <v>200</v>
      </c>
      <c r="C574" s="115">
        <v>38639</v>
      </c>
      <c r="D574" s="130" t="s">
        <v>23</v>
      </c>
      <c r="E574" s="129" t="s">
        <v>201</v>
      </c>
      <c r="F574" s="243">
        <v>1780</v>
      </c>
      <c r="G574" s="189">
        <v>445</v>
      </c>
    </row>
    <row r="575" spans="1:7" ht="15">
      <c r="A575" s="491">
        <v>572</v>
      </c>
      <c r="B575" s="143" t="s">
        <v>16</v>
      </c>
      <c r="C575" s="146">
        <v>39059</v>
      </c>
      <c r="D575" s="141" t="s">
        <v>58</v>
      </c>
      <c r="E575" s="141" t="s">
        <v>38</v>
      </c>
      <c r="F575" s="249">
        <v>291.5</v>
      </c>
      <c r="G575" s="152">
        <v>19</v>
      </c>
    </row>
    <row r="576" spans="1:7" ht="15">
      <c r="A576" s="491">
        <v>573</v>
      </c>
      <c r="B576" s="240" t="s">
        <v>34</v>
      </c>
      <c r="C576" s="117">
        <v>38982</v>
      </c>
      <c r="D576" s="126" t="s">
        <v>64</v>
      </c>
      <c r="E576" s="127" t="s">
        <v>273</v>
      </c>
      <c r="F576" s="251">
        <v>2355</v>
      </c>
      <c r="G576" s="191">
        <v>418</v>
      </c>
    </row>
    <row r="577" spans="1:7" ht="15">
      <c r="A577" s="491">
        <v>574</v>
      </c>
      <c r="B577" s="333" t="s">
        <v>34</v>
      </c>
      <c r="C577" s="117">
        <v>39024</v>
      </c>
      <c r="D577" s="174" t="s">
        <v>64</v>
      </c>
      <c r="E577" s="174" t="s">
        <v>62</v>
      </c>
      <c r="F577" s="251">
        <v>1921</v>
      </c>
      <c r="G577" s="191">
        <v>417</v>
      </c>
    </row>
    <row r="578" spans="1:7" ht="15">
      <c r="A578" s="491">
        <v>575</v>
      </c>
      <c r="B578" s="119" t="s">
        <v>34</v>
      </c>
      <c r="C578" s="117">
        <v>39024</v>
      </c>
      <c r="D578" s="128" t="s">
        <v>64</v>
      </c>
      <c r="E578" s="128" t="s">
        <v>62</v>
      </c>
      <c r="F578" s="252">
        <v>1186</v>
      </c>
      <c r="G578" s="155">
        <v>237</v>
      </c>
    </row>
    <row r="579" spans="1:7" ht="15">
      <c r="A579" s="491">
        <v>576</v>
      </c>
      <c r="B579" s="119" t="s">
        <v>34</v>
      </c>
      <c r="C579" s="117">
        <v>39024</v>
      </c>
      <c r="D579" s="271" t="s">
        <v>64</v>
      </c>
      <c r="E579" s="271" t="s">
        <v>62</v>
      </c>
      <c r="F579" s="252">
        <v>958</v>
      </c>
      <c r="G579" s="155">
        <v>124</v>
      </c>
    </row>
    <row r="580" spans="1:7" ht="15">
      <c r="A580" s="491">
        <v>577</v>
      </c>
      <c r="B580" s="333" t="s">
        <v>34</v>
      </c>
      <c r="C580" s="117">
        <v>39024</v>
      </c>
      <c r="D580" s="174" t="s">
        <v>64</v>
      </c>
      <c r="E580" s="174" t="s">
        <v>62</v>
      </c>
      <c r="F580" s="251">
        <v>317</v>
      </c>
      <c r="G580" s="191">
        <v>70</v>
      </c>
    </row>
    <row r="581" spans="1:7" ht="15">
      <c r="A581" s="491">
        <v>578</v>
      </c>
      <c r="B581" s="326" t="s">
        <v>94</v>
      </c>
      <c r="C581" s="115">
        <v>39010</v>
      </c>
      <c r="D581" s="172" t="s">
        <v>23</v>
      </c>
      <c r="E581" s="172" t="s">
        <v>85</v>
      </c>
      <c r="F581" s="243">
        <v>4558</v>
      </c>
      <c r="G581" s="189">
        <v>1133</v>
      </c>
    </row>
    <row r="582" spans="1:7" ht="15">
      <c r="A582" s="491">
        <v>579</v>
      </c>
      <c r="B582" s="241" t="s">
        <v>94</v>
      </c>
      <c r="C582" s="115">
        <v>39010</v>
      </c>
      <c r="D582" s="130" t="s">
        <v>23</v>
      </c>
      <c r="E582" s="129" t="s">
        <v>85</v>
      </c>
      <c r="F582" s="243">
        <v>2852</v>
      </c>
      <c r="G582" s="189">
        <v>713</v>
      </c>
    </row>
    <row r="583" spans="1:7" ht="15">
      <c r="A583" s="491">
        <v>580</v>
      </c>
      <c r="B583" s="145" t="s">
        <v>94</v>
      </c>
      <c r="C583" s="115">
        <v>39010</v>
      </c>
      <c r="D583" s="130" t="s">
        <v>23</v>
      </c>
      <c r="E583" s="129" t="s">
        <v>85</v>
      </c>
      <c r="F583" s="243">
        <v>2339</v>
      </c>
      <c r="G583" s="189">
        <v>447</v>
      </c>
    </row>
    <row r="584" spans="1:7" ht="15">
      <c r="A584" s="491">
        <v>581</v>
      </c>
      <c r="B584" s="145" t="s">
        <v>94</v>
      </c>
      <c r="C584" s="115">
        <v>39010</v>
      </c>
      <c r="D584" s="268" t="s">
        <v>23</v>
      </c>
      <c r="E584" s="269" t="s">
        <v>85</v>
      </c>
      <c r="F584" s="247">
        <v>2083</v>
      </c>
      <c r="G584" s="154">
        <v>384</v>
      </c>
    </row>
    <row r="585" spans="1:7" ht="15">
      <c r="A585" s="491">
        <v>582</v>
      </c>
      <c r="B585" s="145" t="s">
        <v>94</v>
      </c>
      <c r="C585" s="115">
        <v>39010</v>
      </c>
      <c r="D585" s="130" t="s">
        <v>23</v>
      </c>
      <c r="E585" s="129" t="s">
        <v>85</v>
      </c>
      <c r="F585" s="247">
        <v>1894</v>
      </c>
      <c r="G585" s="154">
        <v>394</v>
      </c>
    </row>
    <row r="586" spans="1:7" ht="15">
      <c r="A586" s="491">
        <v>583</v>
      </c>
      <c r="B586" s="241" t="s">
        <v>94</v>
      </c>
      <c r="C586" s="115">
        <v>39010</v>
      </c>
      <c r="D586" s="130" t="s">
        <v>23</v>
      </c>
      <c r="E586" s="129" t="s">
        <v>85</v>
      </c>
      <c r="F586" s="247">
        <v>1780</v>
      </c>
      <c r="G586" s="189">
        <v>445</v>
      </c>
    </row>
    <row r="587" spans="1:7" ht="15">
      <c r="A587" s="491">
        <v>584</v>
      </c>
      <c r="B587" s="176" t="s">
        <v>94</v>
      </c>
      <c r="C587" s="115">
        <v>39010</v>
      </c>
      <c r="D587" s="172" t="s">
        <v>23</v>
      </c>
      <c r="E587" s="172" t="s">
        <v>85</v>
      </c>
      <c r="F587" s="243">
        <v>1723</v>
      </c>
      <c r="G587" s="189">
        <v>386</v>
      </c>
    </row>
    <row r="588" spans="1:7" ht="15">
      <c r="A588" s="491">
        <v>585</v>
      </c>
      <c r="B588" s="145" t="s">
        <v>94</v>
      </c>
      <c r="C588" s="115">
        <v>39010</v>
      </c>
      <c r="D588" s="130" t="s">
        <v>23</v>
      </c>
      <c r="E588" s="129" t="s">
        <v>85</v>
      </c>
      <c r="F588" s="243">
        <v>1526</v>
      </c>
      <c r="G588" s="189">
        <v>373</v>
      </c>
    </row>
    <row r="589" spans="1:7" ht="15">
      <c r="A589" s="491">
        <v>586</v>
      </c>
      <c r="B589" s="241" t="s">
        <v>94</v>
      </c>
      <c r="C589" s="115">
        <v>39010</v>
      </c>
      <c r="D589" s="130" t="s">
        <v>23</v>
      </c>
      <c r="E589" s="129" t="s">
        <v>85</v>
      </c>
      <c r="F589" s="243">
        <v>1188</v>
      </c>
      <c r="G589" s="189">
        <v>297</v>
      </c>
    </row>
    <row r="590" spans="1:7" ht="15">
      <c r="A590" s="491">
        <v>587</v>
      </c>
      <c r="B590" s="241" t="s">
        <v>94</v>
      </c>
      <c r="C590" s="115">
        <v>39010</v>
      </c>
      <c r="D590" s="130" t="s">
        <v>23</v>
      </c>
      <c r="E590" s="129" t="s">
        <v>85</v>
      </c>
      <c r="F590" s="247">
        <v>1188</v>
      </c>
      <c r="G590" s="154">
        <v>297</v>
      </c>
    </row>
    <row r="591" spans="1:7" ht="15">
      <c r="A591" s="491">
        <v>588</v>
      </c>
      <c r="B591" s="241" t="s">
        <v>94</v>
      </c>
      <c r="C591" s="115">
        <v>39010</v>
      </c>
      <c r="D591" s="130" t="s">
        <v>23</v>
      </c>
      <c r="E591" s="129" t="s">
        <v>85</v>
      </c>
      <c r="F591" s="243">
        <v>952</v>
      </c>
      <c r="G591" s="189">
        <v>238</v>
      </c>
    </row>
    <row r="592" spans="1:7" ht="15">
      <c r="A592" s="491">
        <v>589</v>
      </c>
      <c r="B592" s="145" t="s">
        <v>94</v>
      </c>
      <c r="C592" s="115">
        <v>39010</v>
      </c>
      <c r="D592" s="268" t="s">
        <v>23</v>
      </c>
      <c r="E592" s="269" t="s">
        <v>85</v>
      </c>
      <c r="F592" s="243">
        <v>948</v>
      </c>
      <c r="G592" s="189">
        <v>237</v>
      </c>
    </row>
    <row r="593" spans="1:7" ht="15">
      <c r="A593" s="491">
        <v>590</v>
      </c>
      <c r="B593" s="241" t="s">
        <v>94</v>
      </c>
      <c r="C593" s="115">
        <v>39010</v>
      </c>
      <c r="D593" s="130" t="s">
        <v>23</v>
      </c>
      <c r="E593" s="129" t="s">
        <v>85</v>
      </c>
      <c r="F593" s="247">
        <v>832</v>
      </c>
      <c r="G593" s="154">
        <v>208</v>
      </c>
    </row>
    <row r="594" spans="1:7" ht="15">
      <c r="A594" s="491">
        <v>591</v>
      </c>
      <c r="B594" s="241" t="s">
        <v>94</v>
      </c>
      <c r="C594" s="115">
        <v>39010</v>
      </c>
      <c r="D594" s="130" t="s">
        <v>23</v>
      </c>
      <c r="E594" s="129" t="s">
        <v>85</v>
      </c>
      <c r="F594" s="243">
        <v>592</v>
      </c>
      <c r="G594" s="189">
        <v>148</v>
      </c>
    </row>
    <row r="595" spans="1:7" ht="15">
      <c r="A595" s="491">
        <v>592</v>
      </c>
      <c r="B595" s="241" t="s">
        <v>94</v>
      </c>
      <c r="C595" s="115">
        <v>39010</v>
      </c>
      <c r="D595" s="268" t="s">
        <v>23</v>
      </c>
      <c r="E595" s="269" t="s">
        <v>85</v>
      </c>
      <c r="F595" s="247">
        <v>357.5</v>
      </c>
      <c r="G595" s="154">
        <v>84</v>
      </c>
    </row>
    <row r="596" spans="1:7" ht="15">
      <c r="A596" s="491">
        <v>593</v>
      </c>
      <c r="B596" s="241" t="s">
        <v>94</v>
      </c>
      <c r="C596" s="115">
        <v>39010</v>
      </c>
      <c r="D596" s="130" t="s">
        <v>23</v>
      </c>
      <c r="E596" s="129" t="s">
        <v>85</v>
      </c>
      <c r="F596" s="243">
        <v>351</v>
      </c>
      <c r="G596" s="189">
        <v>51</v>
      </c>
    </row>
    <row r="597" spans="1:7" ht="15">
      <c r="A597" s="491">
        <v>594</v>
      </c>
      <c r="B597" s="241" t="s">
        <v>94</v>
      </c>
      <c r="C597" s="115">
        <v>39010</v>
      </c>
      <c r="D597" s="311" t="s">
        <v>23</v>
      </c>
      <c r="E597" s="311" t="s">
        <v>85</v>
      </c>
      <c r="F597" s="243">
        <v>254</v>
      </c>
      <c r="G597" s="189">
        <v>37</v>
      </c>
    </row>
    <row r="598" spans="1:7" ht="15">
      <c r="A598" s="491">
        <v>595</v>
      </c>
      <c r="B598" s="241" t="s">
        <v>94</v>
      </c>
      <c r="C598" s="115">
        <v>39010</v>
      </c>
      <c r="D598" s="130" t="s">
        <v>23</v>
      </c>
      <c r="E598" s="129" t="s">
        <v>85</v>
      </c>
      <c r="F598" s="243">
        <v>175</v>
      </c>
      <c r="G598" s="189">
        <v>27</v>
      </c>
    </row>
    <row r="599" spans="1:7" ht="15">
      <c r="A599" s="491">
        <v>596</v>
      </c>
      <c r="B599" s="145" t="s">
        <v>94</v>
      </c>
      <c r="C599" s="115">
        <v>39010</v>
      </c>
      <c r="D599" s="268" t="s">
        <v>23</v>
      </c>
      <c r="E599" s="269" t="s">
        <v>85</v>
      </c>
      <c r="F599" s="243">
        <v>159</v>
      </c>
      <c r="G599" s="189">
        <v>37</v>
      </c>
    </row>
    <row r="600" spans="1:7" ht="15">
      <c r="A600" s="491">
        <v>597</v>
      </c>
      <c r="B600" s="142" t="s">
        <v>169</v>
      </c>
      <c r="C600" s="114">
        <v>38814</v>
      </c>
      <c r="D600" s="124" t="s">
        <v>48</v>
      </c>
      <c r="E600" s="124" t="s">
        <v>70</v>
      </c>
      <c r="F600" s="245">
        <v>960</v>
      </c>
      <c r="G600" s="190">
        <v>192</v>
      </c>
    </row>
    <row r="601" spans="1:7" ht="15.75" thickBot="1">
      <c r="A601" s="492">
        <v>598</v>
      </c>
      <c r="B601" s="193" t="s">
        <v>132</v>
      </c>
      <c r="C601" s="194">
        <v>38996</v>
      </c>
      <c r="D601" s="195" t="s">
        <v>57</v>
      </c>
      <c r="E601" s="196" t="s">
        <v>63</v>
      </c>
      <c r="F601" s="255">
        <v>795</v>
      </c>
      <c r="G601" s="197">
        <v>159</v>
      </c>
    </row>
    <row r="602" spans="1:9" ht="15">
      <c r="A602" s="542" t="s">
        <v>50</v>
      </c>
      <c r="B602" s="543"/>
      <c r="C602" s="180"/>
      <c r="D602" s="180"/>
      <c r="E602" s="180"/>
      <c r="F602" s="256">
        <f>SUM(F4:F601)</f>
        <v>10439909.399999997</v>
      </c>
      <c r="G602" s="183">
        <f>SUM(G4:G601)</f>
        <v>1555298</v>
      </c>
      <c r="H602" s="402"/>
      <c r="I602" s="401"/>
    </row>
    <row r="603" spans="1:7" ht="12.75">
      <c r="A603" s="89"/>
      <c r="B603" s="81"/>
      <c r="C603" s="82"/>
      <c r="D603" s="82"/>
      <c r="E603" s="82"/>
      <c r="F603" s="257"/>
      <c r="G603" s="166"/>
    </row>
    <row r="604" spans="1:7" ht="12.75">
      <c r="A604" s="90"/>
      <c r="B604" s="85"/>
      <c r="C604" s="49"/>
      <c r="D604" s="49"/>
      <c r="E604" s="49"/>
      <c r="F604" s="258"/>
      <c r="G604" s="167"/>
    </row>
    <row r="605" spans="1:7" ht="12.75">
      <c r="A605" s="90"/>
      <c r="B605" s="85"/>
      <c r="C605" s="506" t="s">
        <v>31</v>
      </c>
      <c r="D605" s="534"/>
      <c r="E605" s="534"/>
      <c r="F605" s="534"/>
      <c r="G605" s="534"/>
    </row>
    <row r="606" spans="1:7" ht="12.75">
      <c r="A606" s="90"/>
      <c r="B606" s="85"/>
      <c r="C606" s="534"/>
      <c r="D606" s="534"/>
      <c r="E606" s="534"/>
      <c r="F606" s="534"/>
      <c r="G606" s="534"/>
    </row>
    <row r="607" spans="1:7" ht="12.75">
      <c r="A607" s="90"/>
      <c r="B607" s="85"/>
      <c r="C607" s="534"/>
      <c r="D607" s="534"/>
      <c r="E607" s="534"/>
      <c r="F607" s="534"/>
      <c r="G607" s="534"/>
    </row>
    <row r="608" spans="1:7" ht="12.75">
      <c r="A608" s="90"/>
      <c r="B608" s="85"/>
      <c r="C608" s="534"/>
      <c r="D608" s="534"/>
      <c r="E608" s="534"/>
      <c r="F608" s="534"/>
      <c r="G608" s="534"/>
    </row>
    <row r="609" spans="1:7" ht="12.75">
      <c r="A609" s="90"/>
      <c r="B609" s="85"/>
      <c r="C609" s="534"/>
      <c r="D609" s="534"/>
      <c r="E609" s="534"/>
      <c r="F609" s="534"/>
      <c r="G609" s="534"/>
    </row>
    <row r="610" spans="1:7" ht="12.75">
      <c r="A610" s="90"/>
      <c r="B610" s="85"/>
      <c r="C610" s="534"/>
      <c r="D610" s="534"/>
      <c r="E610" s="534"/>
      <c r="F610" s="534"/>
      <c r="G610" s="534"/>
    </row>
    <row r="611" spans="1:7" ht="12.75">
      <c r="A611" s="90"/>
      <c r="B611" s="85"/>
      <c r="C611" s="102"/>
      <c r="D611" s="88"/>
      <c r="E611" s="88"/>
      <c r="F611" s="259"/>
      <c r="G611" s="168"/>
    </row>
    <row r="612" spans="1:7" ht="12.75">
      <c r="A612" s="90"/>
      <c r="B612" s="85"/>
      <c r="C612" s="535" t="s">
        <v>19</v>
      </c>
      <c r="D612" s="534"/>
      <c r="E612" s="534"/>
      <c r="F612" s="534"/>
      <c r="G612" s="534"/>
    </row>
    <row r="613" spans="1:7" ht="12.75">
      <c r="A613" s="90"/>
      <c r="B613" s="85"/>
      <c r="C613" s="534"/>
      <c r="D613" s="534"/>
      <c r="E613" s="534"/>
      <c r="F613" s="534"/>
      <c r="G613" s="534"/>
    </row>
    <row r="614" spans="1:7" ht="12.75">
      <c r="A614" s="90"/>
      <c r="B614" s="85"/>
      <c r="C614" s="534"/>
      <c r="D614" s="534"/>
      <c r="E614" s="534"/>
      <c r="F614" s="534"/>
      <c r="G614" s="534"/>
    </row>
    <row r="615" spans="1:7" ht="12.75">
      <c r="A615" s="90"/>
      <c r="B615" s="85"/>
      <c r="C615" s="534"/>
      <c r="D615" s="534"/>
      <c r="E615" s="534"/>
      <c r="F615" s="534"/>
      <c r="G615" s="534"/>
    </row>
    <row r="616" spans="1:7" ht="12.75">
      <c r="A616" s="90"/>
      <c r="B616" s="85"/>
      <c r="C616" s="534"/>
      <c r="D616" s="534"/>
      <c r="E616" s="534"/>
      <c r="F616" s="534"/>
      <c r="G616" s="534"/>
    </row>
    <row r="617" spans="1:7" ht="12.75">
      <c r="A617" s="90"/>
      <c r="B617" s="85"/>
      <c r="C617" s="534"/>
      <c r="D617" s="534"/>
      <c r="E617" s="534"/>
      <c r="F617" s="534"/>
      <c r="G617" s="534"/>
    </row>
    <row r="618" spans="1:7" ht="12.75">
      <c r="A618" s="90"/>
      <c r="B618" s="85"/>
      <c r="C618" s="536"/>
      <c r="D618" s="536"/>
      <c r="E618" s="536"/>
      <c r="F618" s="536"/>
      <c r="G618" s="536"/>
    </row>
    <row r="619" spans="1:7" ht="12.75">
      <c r="A619" s="90"/>
      <c r="B619" s="85"/>
      <c r="C619" s="49"/>
      <c r="D619" s="49"/>
      <c r="E619" s="49"/>
      <c r="F619" s="258"/>
      <c r="G619" s="167"/>
    </row>
    <row r="620" spans="1:7" ht="12.75">
      <c r="A620" s="90"/>
      <c r="B620" s="85"/>
      <c r="C620" s="49"/>
      <c r="D620" s="49"/>
      <c r="E620" s="49"/>
      <c r="F620" s="258"/>
      <c r="G620" s="167"/>
    </row>
  </sheetData>
  <sheetProtection/>
  <mergeCells count="9">
    <mergeCell ref="C605:G610"/>
    <mergeCell ref="C612:G618"/>
    <mergeCell ref="A1:G1"/>
    <mergeCell ref="B2:B3"/>
    <mergeCell ref="C2:C3"/>
    <mergeCell ref="D2:D3"/>
    <mergeCell ref="E2:E3"/>
    <mergeCell ref="F2:G2"/>
    <mergeCell ref="A602:B602"/>
  </mergeCells>
  <printOptions/>
  <pageMargins left="0.46" right="0.3" top="0.61" bottom="0.52" header="0.5" footer="0.5"/>
  <pageSetup horizontalDpi="300" verticalDpi="300" orientation="portrait" paperSize="9" scale="75" r:id="rId1"/>
</worksheet>
</file>

<file path=xl/worksheets/sheet4.xml><?xml version="1.0" encoding="utf-8"?>
<worksheet xmlns="http://schemas.openxmlformats.org/spreadsheetml/2006/main" xmlns:r="http://schemas.openxmlformats.org/officeDocument/2006/relationships">
  <dimension ref="A1:W74"/>
  <sheetViews>
    <sheetView zoomScale="90" zoomScaleNormal="90" zoomScalePageLayoutView="0" workbookViewId="0" topLeftCell="A13">
      <selection activeCell="A74" sqref="A74:E74"/>
    </sheetView>
  </sheetViews>
  <sheetFormatPr defaultColWidth="9.140625" defaultRowHeight="12.75"/>
  <cols>
    <col min="1" max="1" width="2.7109375" style="223" bestFit="1" customWidth="1"/>
    <col min="2" max="2" width="4.7109375" style="224" bestFit="1" customWidth="1"/>
    <col min="3" max="3" width="7.57421875" style="225" bestFit="1" customWidth="1"/>
    <col min="4" max="4" width="2.7109375" style="223" bestFit="1" customWidth="1"/>
    <col min="5" max="5" width="1.8515625" style="223" bestFit="1" customWidth="1"/>
    <col min="6" max="6" width="4.7109375" style="228" bestFit="1" customWidth="1"/>
    <col min="7" max="7" width="11.28125" style="227" bestFit="1" customWidth="1"/>
    <col min="8" max="8" width="8.421875" style="228" bestFit="1" customWidth="1"/>
    <col min="9" max="9" width="6.421875" style="225" bestFit="1" customWidth="1"/>
    <col min="10" max="10" width="9.7109375" style="229" bestFit="1" customWidth="1"/>
    <col min="11" max="11" width="6.28125" style="230" bestFit="1" customWidth="1"/>
    <col min="12" max="12" width="6.00390625" style="231" bestFit="1" customWidth="1"/>
    <col min="13" max="13" width="1.8515625" style="226" bestFit="1" customWidth="1"/>
    <col min="14" max="14" width="9.7109375" style="227" bestFit="1" customWidth="1"/>
    <col min="15" max="15" width="6.28125" style="228" bestFit="1" customWidth="1"/>
    <col min="16" max="16" width="6.00390625" style="232" bestFit="1" customWidth="1"/>
    <col min="17" max="17" width="2.7109375" style="223" bestFit="1" customWidth="1"/>
    <col min="18" max="18" width="10.421875" style="229" bestFit="1" customWidth="1"/>
    <col min="19" max="19" width="8.421875" style="230" bestFit="1" customWidth="1"/>
    <col min="20" max="20" width="6.00390625" style="231" bestFit="1" customWidth="1"/>
    <col min="21" max="21" width="27.421875" style="233" bestFit="1" customWidth="1"/>
    <col min="22" max="22" width="6.28125" style="228" bestFit="1" customWidth="1"/>
    <col min="23" max="23" width="6.00390625" style="232" bestFit="1" customWidth="1"/>
    <col min="24" max="16384" width="9.140625" style="213" customWidth="1"/>
  </cols>
  <sheetData>
    <row r="1" spans="1:23" ht="14.25" thickBot="1">
      <c r="A1" s="198">
        <v>1</v>
      </c>
      <c r="B1" s="199" t="s">
        <v>139</v>
      </c>
      <c r="C1" s="200" t="s">
        <v>138</v>
      </c>
      <c r="D1" s="201">
        <v>10</v>
      </c>
      <c r="E1" s="202">
        <v>2</v>
      </c>
      <c r="F1" s="203">
        <v>56</v>
      </c>
      <c r="G1" s="204">
        <v>8693868.8</v>
      </c>
      <c r="H1" s="205">
        <v>1116813</v>
      </c>
      <c r="I1" s="368" t="s">
        <v>56</v>
      </c>
      <c r="J1" s="207">
        <v>2582022</v>
      </c>
      <c r="K1" s="208">
        <v>326328</v>
      </c>
      <c r="L1" s="209">
        <f aca="true" t="shared" si="0" ref="L1:L29">SUM(K1/H1)</f>
        <v>0.29219573912552954</v>
      </c>
      <c r="M1" s="203">
        <v>4</v>
      </c>
      <c r="N1" s="204">
        <v>3067842</v>
      </c>
      <c r="O1" s="210">
        <v>355957</v>
      </c>
      <c r="P1" s="211">
        <f aca="true" t="shared" si="1" ref="P1:P29">SUM(O1/H1)</f>
        <v>0.3187256953491766</v>
      </c>
      <c r="Q1" s="198">
        <v>15</v>
      </c>
      <c r="R1" s="207">
        <v>4982432.6</v>
      </c>
      <c r="S1" s="208">
        <v>687078</v>
      </c>
      <c r="T1" s="209">
        <f aca="true" t="shared" si="2" ref="T1:T29">SUM(S1/H1)</f>
        <v>0.6152131108789027</v>
      </c>
      <c r="U1" s="212" t="s">
        <v>140</v>
      </c>
      <c r="V1" s="210">
        <v>169709</v>
      </c>
      <c r="W1" s="211">
        <f aca="true" t="shared" si="3" ref="W1:W29">SUM(V1/H1)</f>
        <v>0.1519582956143956</v>
      </c>
    </row>
    <row r="2" spans="1:23" ht="14.25" thickBot="1">
      <c r="A2" s="198">
        <v>2</v>
      </c>
      <c r="B2" s="199" t="s">
        <v>141</v>
      </c>
      <c r="C2" s="200" t="s">
        <v>138</v>
      </c>
      <c r="D2" s="201">
        <v>11</v>
      </c>
      <c r="E2" s="202">
        <v>1</v>
      </c>
      <c r="F2" s="372">
        <v>60</v>
      </c>
      <c r="G2" s="204">
        <v>5118873.69</v>
      </c>
      <c r="H2" s="205">
        <v>659058</v>
      </c>
      <c r="I2" s="369" t="s">
        <v>57</v>
      </c>
      <c r="J2" s="207">
        <v>1728906</v>
      </c>
      <c r="K2" s="208">
        <v>201031</v>
      </c>
      <c r="L2" s="209">
        <f>SUM(K2/H2)</f>
        <v>0.305027782076843</v>
      </c>
      <c r="M2" s="203">
        <v>4</v>
      </c>
      <c r="N2" s="204">
        <v>1283953.79</v>
      </c>
      <c r="O2" s="210">
        <v>146284</v>
      </c>
      <c r="P2" s="211">
        <f>SUM(O2/H2)</f>
        <v>0.22195922058453124</v>
      </c>
      <c r="Q2" s="198">
        <v>15</v>
      </c>
      <c r="R2" s="207">
        <v>2107896.5</v>
      </c>
      <c r="S2" s="208">
        <v>296904</v>
      </c>
      <c r="T2" s="209">
        <f t="shared" si="2"/>
        <v>0.4504975282903781</v>
      </c>
      <c r="U2" s="312" t="s">
        <v>161</v>
      </c>
      <c r="V2" s="210">
        <v>124215</v>
      </c>
      <c r="W2" s="211">
        <f t="shared" si="3"/>
        <v>0.18847354861028923</v>
      </c>
    </row>
    <row r="3" spans="1:23" ht="14.25" thickBot="1">
      <c r="A3" s="198">
        <v>3</v>
      </c>
      <c r="B3" s="199" t="s">
        <v>175</v>
      </c>
      <c r="C3" s="200" t="s">
        <v>138</v>
      </c>
      <c r="D3" s="201">
        <v>10</v>
      </c>
      <c r="E3" s="202">
        <v>2</v>
      </c>
      <c r="F3" s="372">
        <v>62</v>
      </c>
      <c r="G3" s="204">
        <v>6529727.8</v>
      </c>
      <c r="H3" s="205">
        <v>890276</v>
      </c>
      <c r="I3" s="370" t="s">
        <v>174</v>
      </c>
      <c r="J3" s="207">
        <v>3607269.5</v>
      </c>
      <c r="K3" s="208">
        <v>527388</v>
      </c>
      <c r="L3" s="209">
        <f>SUM(K3/H3)</f>
        <v>0.5923870799617197</v>
      </c>
      <c r="M3" s="203">
        <v>5</v>
      </c>
      <c r="N3" s="204">
        <v>3682940.5</v>
      </c>
      <c r="O3" s="210">
        <v>511626</v>
      </c>
      <c r="P3" s="211">
        <f>SUM(O3/H3)</f>
        <v>0.5746824580242531</v>
      </c>
      <c r="Q3" s="198">
        <v>16</v>
      </c>
      <c r="R3" s="207">
        <v>4246958.5</v>
      </c>
      <c r="S3" s="208">
        <v>616836</v>
      </c>
      <c r="T3" s="209">
        <f>SUM(S3/H3)</f>
        <v>0.6928592930731593</v>
      </c>
      <c r="U3" s="212" t="s">
        <v>176</v>
      </c>
      <c r="V3" s="210">
        <v>453903</v>
      </c>
      <c r="W3" s="211">
        <f t="shared" si="3"/>
        <v>0.5098452614694768</v>
      </c>
    </row>
    <row r="4" spans="1:23" ht="14.25" thickBot="1">
      <c r="A4" s="198">
        <v>4</v>
      </c>
      <c r="B4" s="199" t="s">
        <v>177</v>
      </c>
      <c r="C4" s="200" t="s">
        <v>138</v>
      </c>
      <c r="D4" s="201">
        <v>10</v>
      </c>
      <c r="E4" s="202">
        <v>2</v>
      </c>
      <c r="F4" s="372">
        <v>61</v>
      </c>
      <c r="G4" s="204">
        <v>7092188.4</v>
      </c>
      <c r="H4" s="205">
        <v>992303</v>
      </c>
      <c r="I4" s="370" t="s">
        <v>174</v>
      </c>
      <c r="J4" s="207">
        <v>4481033</v>
      </c>
      <c r="K4" s="208">
        <v>657202</v>
      </c>
      <c r="L4" s="209">
        <f t="shared" si="0"/>
        <v>0.6622997209521688</v>
      </c>
      <c r="M4" s="203">
        <v>3</v>
      </c>
      <c r="N4" s="204">
        <v>2723182.5</v>
      </c>
      <c r="O4" s="210">
        <v>383964</v>
      </c>
      <c r="P4" s="211">
        <f t="shared" si="1"/>
        <v>0.38694229484340975</v>
      </c>
      <c r="Q4" s="198">
        <v>17</v>
      </c>
      <c r="R4" s="207">
        <v>5464750.5</v>
      </c>
      <c r="S4" s="208">
        <v>798920</v>
      </c>
      <c r="T4" s="209">
        <f t="shared" si="2"/>
        <v>0.8051169854369079</v>
      </c>
      <c r="U4" s="212" t="s">
        <v>178</v>
      </c>
      <c r="V4" s="210">
        <v>302980</v>
      </c>
      <c r="W4" s="211">
        <f t="shared" si="3"/>
        <v>0.30533012597966547</v>
      </c>
    </row>
    <row r="5" spans="1:23" ht="14.25" thickBot="1">
      <c r="A5" s="198">
        <v>5</v>
      </c>
      <c r="B5" s="199" t="s">
        <v>202</v>
      </c>
      <c r="C5" s="200" t="s">
        <v>203</v>
      </c>
      <c r="D5" s="201">
        <v>10</v>
      </c>
      <c r="E5" s="202">
        <v>2</v>
      </c>
      <c r="F5" s="372">
        <v>59</v>
      </c>
      <c r="G5" s="204">
        <v>9179093.2</v>
      </c>
      <c r="H5" s="205">
        <v>1224946</v>
      </c>
      <c r="I5" s="368" t="s">
        <v>56</v>
      </c>
      <c r="J5" s="207">
        <v>3493499</v>
      </c>
      <c r="K5" s="208">
        <v>456605</v>
      </c>
      <c r="L5" s="209">
        <f>SUM(K5/H5)</f>
        <v>0.372755207168316</v>
      </c>
      <c r="M5" s="203">
        <v>3</v>
      </c>
      <c r="N5" s="204">
        <v>4795747.5</v>
      </c>
      <c r="O5" s="210">
        <v>625765</v>
      </c>
      <c r="P5" s="211">
        <f>SUM(O5/H5)</f>
        <v>0.5108510905786867</v>
      </c>
      <c r="Q5" s="198">
        <v>19</v>
      </c>
      <c r="R5" s="207">
        <v>7048989.5</v>
      </c>
      <c r="S5" s="208">
        <v>968870</v>
      </c>
      <c r="T5" s="209">
        <f t="shared" si="2"/>
        <v>0.7909491520442534</v>
      </c>
      <c r="U5" s="212" t="s">
        <v>204</v>
      </c>
      <c r="V5" s="210">
        <v>274655</v>
      </c>
      <c r="W5" s="211">
        <f t="shared" si="3"/>
        <v>0.22421804716289534</v>
      </c>
    </row>
    <row r="6" spans="1:23" ht="14.25" thickBot="1">
      <c r="A6" s="198">
        <v>6</v>
      </c>
      <c r="B6" s="199" t="s">
        <v>224</v>
      </c>
      <c r="C6" s="200" t="s">
        <v>203</v>
      </c>
      <c r="D6" s="201">
        <v>10</v>
      </c>
      <c r="E6" s="202">
        <v>2</v>
      </c>
      <c r="F6" s="372">
        <v>51</v>
      </c>
      <c r="G6" s="204">
        <v>8785125.1</v>
      </c>
      <c r="H6" s="205">
        <v>1151294</v>
      </c>
      <c r="I6" s="368" t="s">
        <v>56</v>
      </c>
      <c r="J6" s="207">
        <v>4155506</v>
      </c>
      <c r="K6" s="208">
        <v>521201</v>
      </c>
      <c r="L6" s="209">
        <f t="shared" si="0"/>
        <v>0.4527088649814904</v>
      </c>
      <c r="M6" s="203">
        <v>5</v>
      </c>
      <c r="N6" s="204">
        <v>1872291.5</v>
      </c>
      <c r="O6" s="210">
        <v>216438</v>
      </c>
      <c r="P6" s="211">
        <f t="shared" si="1"/>
        <v>0.18799542080476403</v>
      </c>
      <c r="Q6" s="198">
        <v>17</v>
      </c>
      <c r="R6" s="207">
        <v>5912494</v>
      </c>
      <c r="S6" s="208">
        <v>810354</v>
      </c>
      <c r="T6" s="209">
        <f t="shared" si="2"/>
        <v>0.7038636525509557</v>
      </c>
      <c r="U6" s="212" t="s">
        <v>204</v>
      </c>
      <c r="V6" s="210">
        <v>238848</v>
      </c>
      <c r="W6" s="211">
        <f t="shared" si="3"/>
        <v>0.20746047490910227</v>
      </c>
    </row>
    <row r="7" spans="1:23" ht="14.25" thickBot="1">
      <c r="A7" s="198">
        <v>7</v>
      </c>
      <c r="B7" s="199" t="s">
        <v>235</v>
      </c>
      <c r="C7" s="200" t="s">
        <v>203</v>
      </c>
      <c r="D7" s="201">
        <v>9</v>
      </c>
      <c r="E7" s="202">
        <v>3</v>
      </c>
      <c r="F7" s="372">
        <v>52</v>
      </c>
      <c r="G7" s="204">
        <v>6302662.94</v>
      </c>
      <c r="H7" s="205">
        <v>828699</v>
      </c>
      <c r="I7" s="368" t="s">
        <v>56</v>
      </c>
      <c r="J7" s="207">
        <v>2914628</v>
      </c>
      <c r="K7" s="208">
        <v>366924</v>
      </c>
      <c r="L7" s="209">
        <f t="shared" si="0"/>
        <v>0.44277113885741387</v>
      </c>
      <c r="M7" s="203">
        <v>4</v>
      </c>
      <c r="N7" s="204">
        <v>1331644</v>
      </c>
      <c r="O7" s="210">
        <v>154379</v>
      </c>
      <c r="P7" s="211">
        <f t="shared" si="1"/>
        <v>0.18629080039917992</v>
      </c>
      <c r="Q7" s="198">
        <v>18</v>
      </c>
      <c r="R7" s="207">
        <v>3602022.94</v>
      </c>
      <c r="S7" s="208">
        <v>511804</v>
      </c>
      <c r="T7" s="209">
        <f t="shared" si="2"/>
        <v>0.6175993937485142</v>
      </c>
      <c r="U7" s="212" t="s">
        <v>204</v>
      </c>
      <c r="V7" s="210">
        <v>139396</v>
      </c>
      <c r="W7" s="211">
        <f t="shared" si="3"/>
        <v>0.16821065308393035</v>
      </c>
    </row>
    <row r="8" spans="1:23" ht="14.25" thickBot="1">
      <c r="A8" s="198">
        <v>8</v>
      </c>
      <c r="B8" s="199" t="s">
        <v>242</v>
      </c>
      <c r="C8" s="200" t="s">
        <v>203</v>
      </c>
      <c r="D8" s="201">
        <v>9</v>
      </c>
      <c r="E8" s="202">
        <v>3</v>
      </c>
      <c r="F8" s="203">
        <v>62</v>
      </c>
      <c r="G8" s="204">
        <v>6060298</v>
      </c>
      <c r="H8" s="205">
        <v>783267</v>
      </c>
      <c r="I8" s="368" t="s">
        <v>56</v>
      </c>
      <c r="J8" s="207">
        <v>2583853</v>
      </c>
      <c r="K8" s="208">
        <v>311964</v>
      </c>
      <c r="L8" s="209">
        <f t="shared" si="0"/>
        <v>0.39828564206075323</v>
      </c>
      <c r="M8" s="203">
        <v>5</v>
      </c>
      <c r="N8" s="204">
        <v>2873712.5</v>
      </c>
      <c r="O8" s="210">
        <v>340864</v>
      </c>
      <c r="P8" s="211">
        <f t="shared" si="1"/>
        <v>0.4351823835294989</v>
      </c>
      <c r="Q8" s="198">
        <v>19</v>
      </c>
      <c r="R8" s="207">
        <v>2347661.5</v>
      </c>
      <c r="S8" s="208">
        <v>347738</v>
      </c>
      <c r="T8" s="209">
        <f t="shared" si="2"/>
        <v>0.44395844584286076</v>
      </c>
      <c r="U8" s="312" t="s">
        <v>257</v>
      </c>
      <c r="V8" s="210">
        <v>121457</v>
      </c>
      <c r="W8" s="211">
        <f t="shared" si="3"/>
        <v>0.15506462036572458</v>
      </c>
    </row>
    <row r="9" spans="1:23" ht="14.25" thickBot="1">
      <c r="A9" s="198">
        <v>9</v>
      </c>
      <c r="B9" s="199" t="s">
        <v>258</v>
      </c>
      <c r="C9" s="200" t="s">
        <v>267</v>
      </c>
      <c r="D9" s="201">
        <v>9</v>
      </c>
      <c r="E9" s="202">
        <v>3</v>
      </c>
      <c r="F9" s="372">
        <v>61</v>
      </c>
      <c r="G9" s="204">
        <v>5290968</v>
      </c>
      <c r="H9" s="205">
        <v>677853</v>
      </c>
      <c r="I9" s="368" t="s">
        <v>56</v>
      </c>
      <c r="J9" s="207">
        <v>1779119</v>
      </c>
      <c r="K9" s="208">
        <v>220698</v>
      </c>
      <c r="L9" s="209">
        <f t="shared" si="0"/>
        <v>0.32558386552836677</v>
      </c>
      <c r="M9" s="203">
        <v>6</v>
      </c>
      <c r="N9" s="204">
        <v>1015200</v>
      </c>
      <c r="O9" s="210">
        <v>116014</v>
      </c>
      <c r="P9" s="211">
        <f t="shared" si="1"/>
        <v>0.17114920196561792</v>
      </c>
      <c r="Q9" s="198">
        <v>17</v>
      </c>
      <c r="R9" s="207">
        <v>1671440</v>
      </c>
      <c r="S9" s="208">
        <v>246439</v>
      </c>
      <c r="T9" s="209">
        <f t="shared" si="2"/>
        <v>0.36355817559264325</v>
      </c>
      <c r="U9" s="312" t="s">
        <v>257</v>
      </c>
      <c r="V9" s="210">
        <v>81309</v>
      </c>
      <c r="W9" s="211">
        <f t="shared" si="3"/>
        <v>0.11995078578983939</v>
      </c>
    </row>
    <row r="10" spans="1:23" ht="14.25" thickBot="1">
      <c r="A10" s="198">
        <v>10</v>
      </c>
      <c r="B10" s="199" t="s">
        <v>224</v>
      </c>
      <c r="C10" s="200" t="s">
        <v>267</v>
      </c>
      <c r="D10" s="201">
        <v>9</v>
      </c>
      <c r="E10" s="202">
        <v>3</v>
      </c>
      <c r="F10" s="372">
        <v>65</v>
      </c>
      <c r="G10" s="204">
        <v>5088140.05</v>
      </c>
      <c r="H10" s="205">
        <v>653289</v>
      </c>
      <c r="I10" s="368" t="s">
        <v>56</v>
      </c>
      <c r="J10" s="207">
        <v>2301130</v>
      </c>
      <c r="K10" s="208">
        <v>286844</v>
      </c>
      <c r="L10" s="209">
        <f t="shared" si="0"/>
        <v>0.43907673326812485</v>
      </c>
      <c r="M10" s="203">
        <v>5</v>
      </c>
      <c r="N10" s="204">
        <v>2343737.5</v>
      </c>
      <c r="O10" s="210">
        <v>283835</v>
      </c>
      <c r="P10" s="211">
        <f t="shared" si="1"/>
        <v>0.4344708084783304</v>
      </c>
      <c r="Q10" s="198">
        <v>21</v>
      </c>
      <c r="R10" s="207">
        <v>1588352.55</v>
      </c>
      <c r="S10" s="208">
        <v>230463</v>
      </c>
      <c r="T10" s="209">
        <f t="shared" si="2"/>
        <v>0.35277342799281786</v>
      </c>
      <c r="U10" s="312" t="s">
        <v>268</v>
      </c>
      <c r="V10" s="210">
        <v>102037</v>
      </c>
      <c r="W10" s="211">
        <f t="shared" si="3"/>
        <v>0.15618968021809643</v>
      </c>
    </row>
    <row r="11" spans="1:23" ht="14.25" thickBot="1">
      <c r="A11" s="198">
        <v>11</v>
      </c>
      <c r="B11" s="199" t="s">
        <v>235</v>
      </c>
      <c r="C11" s="200" t="s">
        <v>267</v>
      </c>
      <c r="D11" s="201">
        <v>10</v>
      </c>
      <c r="E11" s="202">
        <v>2</v>
      </c>
      <c r="F11" s="372">
        <v>69</v>
      </c>
      <c r="G11" s="204">
        <v>4964952.3</v>
      </c>
      <c r="H11" s="205">
        <v>638421</v>
      </c>
      <c r="I11" s="368" t="s">
        <v>56</v>
      </c>
      <c r="J11" s="207">
        <v>1481838</v>
      </c>
      <c r="K11" s="208">
        <v>191563</v>
      </c>
      <c r="L11" s="209">
        <f t="shared" si="0"/>
        <v>0.30005748557769873</v>
      </c>
      <c r="M11" s="203">
        <v>6</v>
      </c>
      <c r="N11" s="204">
        <v>1956043.5</v>
      </c>
      <c r="O11" s="210">
        <v>227604</v>
      </c>
      <c r="P11" s="211">
        <f t="shared" si="1"/>
        <v>0.3565108290610741</v>
      </c>
      <c r="Q11" s="198">
        <v>22</v>
      </c>
      <c r="R11" s="207">
        <v>1714676</v>
      </c>
      <c r="S11" s="208">
        <v>241825</v>
      </c>
      <c r="T11" s="209">
        <f t="shared" si="2"/>
        <v>0.3787860988282027</v>
      </c>
      <c r="U11" s="212" t="s">
        <v>297</v>
      </c>
      <c r="V11" s="210">
        <v>86101</v>
      </c>
      <c r="W11" s="211">
        <f t="shared" si="3"/>
        <v>0.1348655511018591</v>
      </c>
    </row>
    <row r="12" spans="1:23" ht="14.25" thickBot="1">
      <c r="A12" s="198">
        <v>12</v>
      </c>
      <c r="B12" s="199" t="s">
        <v>242</v>
      </c>
      <c r="C12" s="200" t="s">
        <v>267</v>
      </c>
      <c r="D12" s="201">
        <v>9</v>
      </c>
      <c r="E12" s="202">
        <v>3</v>
      </c>
      <c r="F12" s="372">
        <v>66</v>
      </c>
      <c r="G12" s="204">
        <v>7269818.42</v>
      </c>
      <c r="H12" s="205">
        <v>928595</v>
      </c>
      <c r="I12" s="368" t="s">
        <v>56</v>
      </c>
      <c r="J12" s="207">
        <v>3934346</v>
      </c>
      <c r="K12" s="208">
        <v>495714</v>
      </c>
      <c r="L12" s="209">
        <f t="shared" si="0"/>
        <v>0.533832295026357</v>
      </c>
      <c r="M12" s="203">
        <v>7</v>
      </c>
      <c r="N12" s="204">
        <v>4723762.92</v>
      </c>
      <c r="O12" s="210">
        <v>577212</v>
      </c>
      <c r="P12" s="211">
        <f t="shared" si="1"/>
        <v>0.6215971440724967</v>
      </c>
      <c r="Q12" s="198">
        <v>21</v>
      </c>
      <c r="R12" s="207">
        <v>2021747.9</v>
      </c>
      <c r="S12" s="208">
        <v>274352</v>
      </c>
      <c r="T12" s="209">
        <f t="shared" si="2"/>
        <v>0.29544850015345764</v>
      </c>
      <c r="U12" s="313" t="s">
        <v>509</v>
      </c>
      <c r="V12" s="210">
        <v>400017</v>
      </c>
      <c r="W12" s="211">
        <f t="shared" si="3"/>
        <v>0.4307766033631454</v>
      </c>
    </row>
    <row r="13" spans="1:23" ht="14.25" thickBot="1">
      <c r="A13" s="198">
        <v>13</v>
      </c>
      <c r="B13" s="199" t="s">
        <v>312</v>
      </c>
      <c r="C13" s="200" t="s">
        <v>267</v>
      </c>
      <c r="D13" s="201">
        <v>9</v>
      </c>
      <c r="E13" s="202">
        <v>3</v>
      </c>
      <c r="F13" s="372">
        <v>73</v>
      </c>
      <c r="G13" s="204">
        <v>6114106.5</v>
      </c>
      <c r="H13" s="205">
        <v>774233</v>
      </c>
      <c r="I13" s="368" t="s">
        <v>56</v>
      </c>
      <c r="J13" s="207">
        <v>2474432.5</v>
      </c>
      <c r="K13" s="208">
        <v>305358</v>
      </c>
      <c r="L13" s="209">
        <f t="shared" si="0"/>
        <v>0.3944006520001085</v>
      </c>
      <c r="M13" s="203">
        <v>4</v>
      </c>
      <c r="N13" s="204">
        <v>2046232.5</v>
      </c>
      <c r="O13" s="210">
        <v>196021</v>
      </c>
      <c r="P13" s="211">
        <f t="shared" si="1"/>
        <v>0.2531808899904809</v>
      </c>
      <c r="Q13" s="198">
        <v>22</v>
      </c>
      <c r="R13" s="207">
        <v>1677088</v>
      </c>
      <c r="S13" s="208">
        <v>229561</v>
      </c>
      <c r="T13" s="209">
        <f t="shared" si="2"/>
        <v>0.2965011824605771</v>
      </c>
      <c r="U13" s="313" t="s">
        <v>509</v>
      </c>
      <c r="V13" s="210">
        <v>186496</v>
      </c>
      <c r="W13" s="211">
        <f t="shared" si="3"/>
        <v>0.24087839190527915</v>
      </c>
    </row>
    <row r="14" spans="1:23" ht="14.25" thickBot="1">
      <c r="A14" s="198">
        <v>14</v>
      </c>
      <c r="B14" s="199" t="s">
        <v>325</v>
      </c>
      <c r="C14" s="200" t="s">
        <v>326</v>
      </c>
      <c r="D14" s="201">
        <v>10</v>
      </c>
      <c r="E14" s="202">
        <v>2</v>
      </c>
      <c r="F14" s="372">
        <v>70</v>
      </c>
      <c r="G14" s="204">
        <v>4961927.9</v>
      </c>
      <c r="H14" s="205">
        <v>628822</v>
      </c>
      <c r="I14" s="368" t="s">
        <v>56</v>
      </c>
      <c r="J14" s="207">
        <v>1789169</v>
      </c>
      <c r="K14" s="208">
        <v>219418</v>
      </c>
      <c r="L14" s="209">
        <f t="shared" si="0"/>
        <v>0.34893499273244255</v>
      </c>
      <c r="M14" s="203">
        <v>3</v>
      </c>
      <c r="N14" s="204">
        <v>862608.5</v>
      </c>
      <c r="O14" s="210">
        <v>100043</v>
      </c>
      <c r="P14" s="211">
        <f t="shared" si="1"/>
        <v>0.15909589677205951</v>
      </c>
      <c r="Q14" s="198">
        <v>21</v>
      </c>
      <c r="R14" s="207">
        <v>1369908.4</v>
      </c>
      <c r="S14" s="208">
        <v>187040</v>
      </c>
      <c r="T14" s="209">
        <f t="shared" si="2"/>
        <v>0.2974450639449638</v>
      </c>
      <c r="U14" s="212" t="s">
        <v>327</v>
      </c>
      <c r="V14" s="210">
        <v>113536</v>
      </c>
      <c r="W14" s="211">
        <f t="shared" si="3"/>
        <v>0.1805534793629994</v>
      </c>
    </row>
    <row r="15" spans="1:23" ht="14.25" thickBot="1">
      <c r="A15" s="198">
        <v>15</v>
      </c>
      <c r="B15" s="199" t="s">
        <v>334</v>
      </c>
      <c r="C15" s="200" t="s">
        <v>326</v>
      </c>
      <c r="D15" s="201">
        <v>11</v>
      </c>
      <c r="E15" s="202">
        <v>1</v>
      </c>
      <c r="F15" s="203">
        <v>80</v>
      </c>
      <c r="G15" s="204">
        <v>3793841.7</v>
      </c>
      <c r="H15" s="205">
        <v>487888</v>
      </c>
      <c r="I15" s="368" t="s">
        <v>56</v>
      </c>
      <c r="J15" s="207">
        <v>1073448</v>
      </c>
      <c r="K15" s="208">
        <v>134939</v>
      </c>
      <c r="L15" s="209">
        <f t="shared" si="0"/>
        <v>0.27657782113927787</v>
      </c>
      <c r="M15" s="203">
        <v>8</v>
      </c>
      <c r="N15" s="204">
        <v>1316910.5</v>
      </c>
      <c r="O15" s="210">
        <v>145325</v>
      </c>
      <c r="P15" s="211">
        <f t="shared" si="1"/>
        <v>0.29786549371987014</v>
      </c>
      <c r="Q15" s="198">
        <v>22</v>
      </c>
      <c r="R15" s="207">
        <v>698457</v>
      </c>
      <c r="S15" s="208">
        <v>104479</v>
      </c>
      <c r="T15" s="209">
        <f t="shared" si="2"/>
        <v>0.21414545961368184</v>
      </c>
      <c r="U15" s="312" t="s">
        <v>348</v>
      </c>
      <c r="V15" s="210">
        <v>73516</v>
      </c>
      <c r="W15" s="211">
        <f t="shared" si="3"/>
        <v>0.15068212376611026</v>
      </c>
    </row>
    <row r="16" spans="1:23" ht="14.25" thickBot="1">
      <c r="A16" s="198">
        <v>16</v>
      </c>
      <c r="B16" s="199" t="s">
        <v>349</v>
      </c>
      <c r="C16" s="200" t="s">
        <v>326</v>
      </c>
      <c r="D16" s="201">
        <v>10</v>
      </c>
      <c r="E16" s="202">
        <v>2</v>
      </c>
      <c r="F16" s="203">
        <v>90</v>
      </c>
      <c r="G16" s="204">
        <v>3559223.45</v>
      </c>
      <c r="H16" s="205">
        <v>471342</v>
      </c>
      <c r="I16" s="371" t="s">
        <v>45</v>
      </c>
      <c r="J16" s="207">
        <v>659788.5</v>
      </c>
      <c r="K16" s="208">
        <v>94559</v>
      </c>
      <c r="L16" s="209">
        <f t="shared" si="0"/>
        <v>0.20061653746112165</v>
      </c>
      <c r="M16" s="203">
        <v>7</v>
      </c>
      <c r="N16" s="204">
        <v>1560286</v>
      </c>
      <c r="O16" s="210">
        <v>186713</v>
      </c>
      <c r="P16" s="211">
        <f t="shared" si="1"/>
        <v>0.3961306227749702</v>
      </c>
      <c r="Q16" s="198">
        <v>27</v>
      </c>
      <c r="R16" s="207">
        <v>738315.5</v>
      </c>
      <c r="S16" s="208">
        <v>107568</v>
      </c>
      <c r="T16" s="209">
        <f t="shared" si="2"/>
        <v>0.22821645429433404</v>
      </c>
      <c r="U16" s="312" t="s">
        <v>350</v>
      </c>
      <c r="V16" s="210">
        <v>70778</v>
      </c>
      <c r="W16" s="211">
        <f t="shared" si="3"/>
        <v>0.1501627268522644</v>
      </c>
    </row>
    <row r="17" spans="1:23" ht="14.25" thickBot="1">
      <c r="A17" s="198">
        <v>17</v>
      </c>
      <c r="B17" s="199" t="s">
        <v>364</v>
      </c>
      <c r="C17" s="200" t="s">
        <v>326</v>
      </c>
      <c r="D17" s="201">
        <v>10</v>
      </c>
      <c r="E17" s="202">
        <v>2</v>
      </c>
      <c r="F17" s="203">
        <v>71</v>
      </c>
      <c r="G17" s="204">
        <v>4495714.65</v>
      </c>
      <c r="H17" s="205">
        <v>593277</v>
      </c>
      <c r="I17" s="369" t="s">
        <v>57</v>
      </c>
      <c r="J17" s="207">
        <v>1764375</v>
      </c>
      <c r="K17" s="208">
        <v>236210</v>
      </c>
      <c r="L17" s="209">
        <f t="shared" si="0"/>
        <v>0.3981445429369418</v>
      </c>
      <c r="M17" s="203">
        <v>4</v>
      </c>
      <c r="N17" s="204">
        <v>2537879</v>
      </c>
      <c r="O17" s="210">
        <v>316879</v>
      </c>
      <c r="P17" s="211">
        <f t="shared" si="1"/>
        <v>0.5341164413924693</v>
      </c>
      <c r="Q17" s="198">
        <v>19</v>
      </c>
      <c r="R17" s="207">
        <v>1827729.5</v>
      </c>
      <c r="S17" s="208">
        <v>253779</v>
      </c>
      <c r="T17" s="209">
        <f t="shared" si="2"/>
        <v>0.42775802871171476</v>
      </c>
      <c r="U17" s="212" t="s">
        <v>370</v>
      </c>
      <c r="V17" s="210">
        <v>189829</v>
      </c>
      <c r="W17" s="211">
        <f t="shared" si="3"/>
        <v>0.31996689573335896</v>
      </c>
    </row>
    <row r="18" spans="1:23" ht="14.25" thickBot="1">
      <c r="A18" s="198">
        <v>18</v>
      </c>
      <c r="B18" s="199" t="s">
        <v>371</v>
      </c>
      <c r="C18" s="200" t="s">
        <v>372</v>
      </c>
      <c r="D18" s="201">
        <v>10</v>
      </c>
      <c r="E18" s="202">
        <v>2</v>
      </c>
      <c r="F18" s="372">
        <v>76</v>
      </c>
      <c r="G18" s="204">
        <v>3359765</v>
      </c>
      <c r="H18" s="205">
        <v>442122</v>
      </c>
      <c r="I18" s="369" t="s">
        <v>57</v>
      </c>
      <c r="J18" s="207">
        <v>937970</v>
      </c>
      <c r="K18" s="208">
        <v>122853</v>
      </c>
      <c r="L18" s="209">
        <f t="shared" si="0"/>
        <v>0.27787126630206144</v>
      </c>
      <c r="M18" s="203">
        <v>6</v>
      </c>
      <c r="N18" s="204">
        <v>1353681</v>
      </c>
      <c r="O18" s="210">
        <v>157965</v>
      </c>
      <c r="P18" s="211">
        <f t="shared" si="1"/>
        <v>0.35728825980159323</v>
      </c>
      <c r="Q18" s="198">
        <v>26</v>
      </c>
      <c r="R18" s="207">
        <v>870655</v>
      </c>
      <c r="S18" s="208">
        <v>126269</v>
      </c>
      <c r="T18" s="209">
        <f t="shared" si="2"/>
        <v>0.2855976404702774</v>
      </c>
      <c r="U18" s="212" t="s">
        <v>370</v>
      </c>
      <c r="V18" s="210">
        <v>87354</v>
      </c>
      <c r="W18" s="211">
        <f t="shared" si="3"/>
        <v>0.1975789487969384</v>
      </c>
    </row>
    <row r="19" spans="1:23" ht="14.25" thickBot="1">
      <c r="A19" s="198">
        <v>19</v>
      </c>
      <c r="B19" s="199" t="s">
        <v>380</v>
      </c>
      <c r="C19" s="200" t="s">
        <v>372</v>
      </c>
      <c r="D19" s="201">
        <v>11</v>
      </c>
      <c r="E19" s="202">
        <v>2</v>
      </c>
      <c r="F19" s="372">
        <v>67</v>
      </c>
      <c r="G19" s="204">
        <v>4612289</v>
      </c>
      <c r="H19" s="205">
        <v>605808</v>
      </c>
      <c r="I19" s="368" t="s">
        <v>56</v>
      </c>
      <c r="J19" s="207">
        <v>3219718</v>
      </c>
      <c r="K19" s="208">
        <v>408181</v>
      </c>
      <c r="L19" s="209">
        <f t="shared" si="0"/>
        <v>0.6737794812878007</v>
      </c>
      <c r="M19" s="203">
        <v>3</v>
      </c>
      <c r="N19" s="204">
        <v>2878018</v>
      </c>
      <c r="O19" s="210">
        <v>367437</v>
      </c>
      <c r="P19" s="211">
        <f t="shared" si="1"/>
        <v>0.6065238491403216</v>
      </c>
      <c r="Q19" s="198">
        <v>13</v>
      </c>
      <c r="R19" s="207">
        <v>569522</v>
      </c>
      <c r="S19" s="208">
        <v>86852</v>
      </c>
      <c r="T19" s="209">
        <f t="shared" si="2"/>
        <v>0.14336555476322532</v>
      </c>
      <c r="U19" s="312" t="s">
        <v>413</v>
      </c>
      <c r="V19" s="210">
        <v>347281</v>
      </c>
      <c r="W19" s="211">
        <f t="shared" si="3"/>
        <v>0.5732525816760425</v>
      </c>
    </row>
    <row r="20" spans="1:23" ht="14.25" thickBot="1">
      <c r="A20" s="198">
        <v>20</v>
      </c>
      <c r="B20" s="199" t="s">
        <v>386</v>
      </c>
      <c r="C20" s="200" t="s">
        <v>372</v>
      </c>
      <c r="D20" s="201">
        <v>11</v>
      </c>
      <c r="E20" s="202">
        <v>2</v>
      </c>
      <c r="F20" s="372">
        <v>75</v>
      </c>
      <c r="G20" s="204">
        <v>2959174</v>
      </c>
      <c r="H20" s="205">
        <v>393916</v>
      </c>
      <c r="I20" s="368" t="s">
        <v>56</v>
      </c>
      <c r="J20" s="207">
        <v>1704605</v>
      </c>
      <c r="K20" s="208">
        <v>222213</v>
      </c>
      <c r="L20" s="209">
        <f t="shared" si="0"/>
        <v>0.5641126534591131</v>
      </c>
      <c r="M20" s="203">
        <v>4</v>
      </c>
      <c r="N20" s="204">
        <v>279843</v>
      </c>
      <c r="O20" s="210">
        <v>31294</v>
      </c>
      <c r="P20" s="211">
        <f t="shared" si="1"/>
        <v>0.07944333309639619</v>
      </c>
      <c r="Q20" s="198">
        <v>17</v>
      </c>
      <c r="R20" s="207">
        <v>313436.5</v>
      </c>
      <c r="S20" s="208">
        <v>49288</v>
      </c>
      <c r="T20" s="209">
        <f t="shared" si="2"/>
        <v>0.12512312269620934</v>
      </c>
      <c r="U20" s="312" t="s">
        <v>413</v>
      </c>
      <c r="V20" s="210">
        <v>180161</v>
      </c>
      <c r="W20" s="211">
        <f t="shared" si="3"/>
        <v>0.4573589293148793</v>
      </c>
    </row>
    <row r="21" spans="1:23" ht="14.25" thickBot="1">
      <c r="A21" s="198">
        <v>21</v>
      </c>
      <c r="B21" s="199" t="s">
        <v>397</v>
      </c>
      <c r="C21" s="200" t="s">
        <v>372</v>
      </c>
      <c r="D21" s="201">
        <v>11</v>
      </c>
      <c r="E21" s="202">
        <v>2</v>
      </c>
      <c r="F21" s="203">
        <v>80</v>
      </c>
      <c r="G21" s="204">
        <v>3150227.5</v>
      </c>
      <c r="H21" s="205">
        <v>405630</v>
      </c>
      <c r="I21" s="368" t="s">
        <v>56</v>
      </c>
      <c r="J21" s="207">
        <v>1232820</v>
      </c>
      <c r="K21" s="208">
        <v>156882</v>
      </c>
      <c r="L21" s="209">
        <f t="shared" si="0"/>
        <v>0.38676133422084163</v>
      </c>
      <c r="M21" s="203">
        <v>5</v>
      </c>
      <c r="N21" s="204">
        <v>1355753</v>
      </c>
      <c r="O21" s="210">
        <v>154038</v>
      </c>
      <c r="P21" s="211">
        <f t="shared" si="1"/>
        <v>0.3797500184897567</v>
      </c>
      <c r="Q21" s="198">
        <v>21</v>
      </c>
      <c r="R21" s="207">
        <v>207115</v>
      </c>
      <c r="S21" s="208">
        <v>36794</v>
      </c>
      <c r="T21" s="209">
        <f t="shared" si="2"/>
        <v>0.09070828094568942</v>
      </c>
      <c r="U21" s="312" t="s">
        <v>413</v>
      </c>
      <c r="V21" s="210">
        <v>109405</v>
      </c>
      <c r="W21" s="211">
        <f t="shared" si="3"/>
        <v>0.26971624386756404</v>
      </c>
    </row>
    <row r="22" spans="1:23" ht="14.25" thickBot="1">
      <c r="A22" s="198">
        <v>22</v>
      </c>
      <c r="B22" s="199" t="s">
        <v>411</v>
      </c>
      <c r="C22" s="200" t="s">
        <v>372</v>
      </c>
      <c r="D22" s="201">
        <v>12</v>
      </c>
      <c r="E22" s="202">
        <v>2</v>
      </c>
      <c r="F22" s="372">
        <v>74</v>
      </c>
      <c r="G22" s="204">
        <v>4828196</v>
      </c>
      <c r="H22" s="205">
        <v>625697</v>
      </c>
      <c r="I22" s="369" t="s">
        <v>57</v>
      </c>
      <c r="J22" s="207">
        <v>3728995</v>
      </c>
      <c r="K22" s="208">
        <v>470309</v>
      </c>
      <c r="L22" s="209">
        <f t="shared" si="0"/>
        <v>0.7516561530581096</v>
      </c>
      <c r="M22" s="203">
        <v>4</v>
      </c>
      <c r="N22" s="204">
        <v>3565551</v>
      </c>
      <c r="O22" s="210">
        <v>448009</v>
      </c>
      <c r="P22" s="211">
        <f t="shared" si="1"/>
        <v>0.7160158990693578</v>
      </c>
      <c r="Q22" s="198">
        <v>17</v>
      </c>
      <c r="R22" s="207">
        <v>140344.5</v>
      </c>
      <c r="S22" s="208">
        <v>29233</v>
      </c>
      <c r="T22" s="209">
        <f t="shared" si="2"/>
        <v>0.04672069707861792</v>
      </c>
      <c r="U22" s="312" t="s">
        <v>414</v>
      </c>
      <c r="V22" s="210">
        <v>445802</v>
      </c>
      <c r="W22" s="211">
        <f t="shared" si="3"/>
        <v>0.7124886326768388</v>
      </c>
    </row>
    <row r="23" spans="1:23" ht="14.25" thickBot="1">
      <c r="A23" s="198">
        <v>23</v>
      </c>
      <c r="B23" s="199" t="s">
        <v>420</v>
      </c>
      <c r="C23" s="200" t="s">
        <v>421</v>
      </c>
      <c r="D23" s="201">
        <v>12</v>
      </c>
      <c r="E23" s="202">
        <v>2</v>
      </c>
      <c r="F23" s="372">
        <v>84</v>
      </c>
      <c r="G23" s="204">
        <v>2978904.01</v>
      </c>
      <c r="H23" s="205">
        <v>389341</v>
      </c>
      <c r="I23" s="369" t="s">
        <v>57</v>
      </c>
      <c r="J23" s="207">
        <v>1696424</v>
      </c>
      <c r="K23" s="208">
        <v>217756</v>
      </c>
      <c r="L23" s="209">
        <f t="shared" si="0"/>
        <v>0.5592937810299968</v>
      </c>
      <c r="M23" s="203">
        <v>5</v>
      </c>
      <c r="N23" s="204">
        <v>699611</v>
      </c>
      <c r="O23" s="210">
        <v>79702</v>
      </c>
      <c r="P23" s="211">
        <f t="shared" si="1"/>
        <v>0.20471000999124161</v>
      </c>
      <c r="Q23" s="198">
        <v>12</v>
      </c>
      <c r="R23" s="207">
        <v>49305.51</v>
      </c>
      <c r="S23" s="208">
        <v>12229</v>
      </c>
      <c r="T23" s="209">
        <f t="shared" si="2"/>
        <v>0.03140948423104682</v>
      </c>
      <c r="U23" s="312" t="s">
        <v>414</v>
      </c>
      <c r="V23" s="210">
        <v>204260</v>
      </c>
      <c r="W23" s="211">
        <f t="shared" si="3"/>
        <v>0.524630080058355</v>
      </c>
    </row>
    <row r="24" spans="1:23" ht="14.25" thickBot="1">
      <c r="A24" s="198">
        <v>24</v>
      </c>
      <c r="B24" s="199" t="s">
        <v>432</v>
      </c>
      <c r="C24" s="200" t="s">
        <v>421</v>
      </c>
      <c r="D24" s="201">
        <v>12</v>
      </c>
      <c r="E24" s="202">
        <v>2</v>
      </c>
      <c r="F24" s="372">
        <v>84</v>
      </c>
      <c r="G24" s="204">
        <v>3552854.08</v>
      </c>
      <c r="H24" s="205">
        <v>463248</v>
      </c>
      <c r="I24" s="368" t="s">
        <v>56</v>
      </c>
      <c r="J24" s="207">
        <v>1627429</v>
      </c>
      <c r="K24" s="208">
        <v>194169</v>
      </c>
      <c r="L24" s="209">
        <f t="shared" si="0"/>
        <v>0.4191469795876075</v>
      </c>
      <c r="M24" s="203">
        <v>3</v>
      </c>
      <c r="N24" s="204">
        <v>1610580.5</v>
      </c>
      <c r="O24" s="210">
        <v>183829</v>
      </c>
      <c r="P24" s="211">
        <f t="shared" si="1"/>
        <v>0.39682632197008944</v>
      </c>
      <c r="Q24" s="198">
        <v>18</v>
      </c>
      <c r="R24" s="207">
        <v>32359.08</v>
      </c>
      <c r="S24" s="208">
        <v>7942</v>
      </c>
      <c r="T24" s="209">
        <f t="shared" si="2"/>
        <v>0.017144164680689394</v>
      </c>
      <c r="U24" s="312" t="s">
        <v>510</v>
      </c>
      <c r="V24" s="210">
        <v>161361</v>
      </c>
      <c r="W24" s="211">
        <f t="shared" si="3"/>
        <v>0.3483253030774013</v>
      </c>
    </row>
    <row r="25" spans="1:23" ht="14.25" thickBot="1">
      <c r="A25" s="198">
        <v>25</v>
      </c>
      <c r="B25" s="199" t="s">
        <v>457</v>
      </c>
      <c r="C25" s="200" t="s">
        <v>421</v>
      </c>
      <c r="D25" s="201">
        <v>11</v>
      </c>
      <c r="E25" s="202">
        <v>3</v>
      </c>
      <c r="F25" s="372">
        <v>80</v>
      </c>
      <c r="G25" s="204">
        <v>4243340</v>
      </c>
      <c r="H25" s="205">
        <v>565779</v>
      </c>
      <c r="I25" s="369" t="s">
        <v>57</v>
      </c>
      <c r="J25" s="207">
        <v>2794589</v>
      </c>
      <c r="K25" s="208">
        <v>375727</v>
      </c>
      <c r="L25" s="209">
        <f t="shared" si="0"/>
        <v>0.6640879212554726</v>
      </c>
      <c r="M25" s="203">
        <v>4</v>
      </c>
      <c r="N25" s="204">
        <v>2454465</v>
      </c>
      <c r="O25" s="210">
        <v>316566</v>
      </c>
      <c r="P25" s="211">
        <f t="shared" si="1"/>
        <v>0.5595223576696908</v>
      </c>
      <c r="Q25" s="198">
        <v>19</v>
      </c>
      <c r="R25" s="207">
        <v>23459.5</v>
      </c>
      <c r="S25" s="208">
        <v>6606</v>
      </c>
      <c r="T25" s="209">
        <f t="shared" si="2"/>
        <v>0.011675937070835078</v>
      </c>
      <c r="U25" s="312" t="s">
        <v>459</v>
      </c>
      <c r="V25" s="210">
        <v>285694</v>
      </c>
      <c r="W25" s="211">
        <f t="shared" si="3"/>
        <v>0.504956882457638</v>
      </c>
    </row>
    <row r="26" spans="1:23" ht="14.25" thickBot="1">
      <c r="A26" s="198">
        <v>26</v>
      </c>
      <c r="B26" s="199" t="s">
        <v>465</v>
      </c>
      <c r="C26" s="200" t="s">
        <v>421</v>
      </c>
      <c r="D26" s="201">
        <v>12</v>
      </c>
      <c r="E26" s="202">
        <v>2</v>
      </c>
      <c r="F26" s="372">
        <v>80</v>
      </c>
      <c r="G26" s="204">
        <v>2627810.75</v>
      </c>
      <c r="H26" s="205">
        <v>339771</v>
      </c>
      <c r="I26" s="369" t="s">
        <v>57</v>
      </c>
      <c r="J26" s="207">
        <v>1481215</v>
      </c>
      <c r="K26" s="208">
        <v>192269</v>
      </c>
      <c r="L26" s="209">
        <f t="shared" si="0"/>
        <v>0.565878194430955</v>
      </c>
      <c r="M26" s="203">
        <v>4</v>
      </c>
      <c r="N26" s="204">
        <v>542348.25</v>
      </c>
      <c r="O26" s="210">
        <v>61128</v>
      </c>
      <c r="P26" s="211">
        <f t="shared" si="1"/>
        <v>0.17990940957291823</v>
      </c>
      <c r="Q26" s="198">
        <v>16</v>
      </c>
      <c r="R26" s="207">
        <v>23541</v>
      </c>
      <c r="S26" s="208">
        <v>6633</v>
      </c>
      <c r="T26" s="209">
        <f t="shared" si="2"/>
        <v>0.019521972151831674</v>
      </c>
      <c r="U26" s="312" t="s">
        <v>459</v>
      </c>
      <c r="V26" s="210">
        <v>127266</v>
      </c>
      <c r="W26" s="211">
        <f t="shared" si="3"/>
        <v>0.3745640446065144</v>
      </c>
    </row>
    <row r="27" spans="1:23" ht="14.25" thickBot="1">
      <c r="A27" s="198">
        <v>27</v>
      </c>
      <c r="B27" s="199" t="s">
        <v>474</v>
      </c>
      <c r="C27" s="200" t="s">
        <v>475</v>
      </c>
      <c r="D27" s="201">
        <v>13</v>
      </c>
      <c r="E27" s="202">
        <v>1</v>
      </c>
      <c r="F27" s="372">
        <v>97</v>
      </c>
      <c r="G27" s="204">
        <v>2387677.1</v>
      </c>
      <c r="H27" s="205">
        <v>314768</v>
      </c>
      <c r="I27" s="370" t="s">
        <v>174</v>
      </c>
      <c r="J27" s="207">
        <v>853542.5</v>
      </c>
      <c r="K27" s="208">
        <v>107395</v>
      </c>
      <c r="L27" s="209">
        <f t="shared" si="0"/>
        <v>0.3411877954557007</v>
      </c>
      <c r="M27" s="203">
        <v>3</v>
      </c>
      <c r="N27" s="204">
        <v>83544.5</v>
      </c>
      <c r="O27" s="210">
        <v>98170</v>
      </c>
      <c r="P27" s="211">
        <f t="shared" si="1"/>
        <v>0.31188049611142177</v>
      </c>
      <c r="Q27" s="198">
        <v>18</v>
      </c>
      <c r="R27" s="207">
        <v>41065</v>
      </c>
      <c r="S27" s="208">
        <v>12158</v>
      </c>
      <c r="T27" s="209">
        <f t="shared" si="2"/>
        <v>0.038625273217099576</v>
      </c>
      <c r="U27" s="312" t="s">
        <v>477</v>
      </c>
      <c r="V27" s="210">
        <v>88667</v>
      </c>
      <c r="W27" s="211">
        <f t="shared" si="3"/>
        <v>0.2816900066080415</v>
      </c>
    </row>
    <row r="28" spans="1:23" ht="14.25" thickBot="1">
      <c r="A28" s="198">
        <v>28</v>
      </c>
      <c r="B28" s="199" t="s">
        <v>334</v>
      </c>
      <c r="C28" s="200" t="s">
        <v>475</v>
      </c>
      <c r="D28" s="201">
        <v>12</v>
      </c>
      <c r="E28" s="202">
        <v>2</v>
      </c>
      <c r="F28" s="372">
        <v>78</v>
      </c>
      <c r="G28" s="204">
        <v>2795670</v>
      </c>
      <c r="H28" s="205">
        <v>356425</v>
      </c>
      <c r="I28" s="369" t="s">
        <v>57</v>
      </c>
      <c r="J28" s="207">
        <v>1958232</v>
      </c>
      <c r="K28" s="208">
        <v>247212</v>
      </c>
      <c r="L28" s="209">
        <f t="shared" si="0"/>
        <v>0.6935877112997124</v>
      </c>
      <c r="M28" s="203">
        <v>4</v>
      </c>
      <c r="N28" s="204">
        <v>1591726</v>
      </c>
      <c r="O28" s="210">
        <v>191421</v>
      </c>
      <c r="P28" s="211">
        <f t="shared" si="1"/>
        <v>0.537058287157186</v>
      </c>
      <c r="Q28" s="198">
        <v>15</v>
      </c>
      <c r="R28" s="207">
        <v>67582.52</v>
      </c>
      <c r="S28" s="208">
        <v>12645</v>
      </c>
      <c r="T28" s="209">
        <f t="shared" si="2"/>
        <v>0.035477309391877675</v>
      </c>
      <c r="U28" s="312" t="s">
        <v>492</v>
      </c>
      <c r="V28" s="210">
        <v>171772</v>
      </c>
      <c r="W28" s="211">
        <f t="shared" si="3"/>
        <v>0.4819302798625237</v>
      </c>
    </row>
    <row r="29" spans="1:23" ht="14.25" thickBot="1">
      <c r="A29" s="198">
        <v>29</v>
      </c>
      <c r="B29" s="199" t="s">
        <v>349</v>
      </c>
      <c r="C29" s="200" t="s">
        <v>475</v>
      </c>
      <c r="D29" s="201">
        <v>13</v>
      </c>
      <c r="E29" s="202">
        <v>1</v>
      </c>
      <c r="F29" s="372">
        <v>96</v>
      </c>
      <c r="G29" s="204">
        <v>2365687.44</v>
      </c>
      <c r="H29" s="205">
        <v>305146</v>
      </c>
      <c r="I29" s="369" t="s">
        <v>57</v>
      </c>
      <c r="J29" s="207">
        <v>1184103</v>
      </c>
      <c r="K29" s="208">
        <v>153581</v>
      </c>
      <c r="L29" s="209">
        <f t="shared" si="0"/>
        <v>0.5033033367633853</v>
      </c>
      <c r="M29" s="203">
        <v>4</v>
      </c>
      <c r="N29" s="204">
        <v>576762</v>
      </c>
      <c r="O29" s="210">
        <v>62645</v>
      </c>
      <c r="P29" s="211">
        <f t="shared" si="1"/>
        <v>0.20529517018083146</v>
      </c>
      <c r="Q29" s="198">
        <v>14</v>
      </c>
      <c r="R29" s="207">
        <v>22018.5</v>
      </c>
      <c r="S29" s="208">
        <v>5225</v>
      </c>
      <c r="T29" s="209">
        <f t="shared" si="2"/>
        <v>0.017122950980841958</v>
      </c>
      <c r="U29" s="312" t="s">
        <v>492</v>
      </c>
      <c r="V29" s="210">
        <v>95387</v>
      </c>
      <c r="W29" s="211">
        <f t="shared" si="3"/>
        <v>0.3125946268343678</v>
      </c>
    </row>
    <row r="30" spans="1:23" ht="14.25" thickBot="1">
      <c r="A30" s="198"/>
      <c r="B30" s="199"/>
      <c r="C30" s="200"/>
      <c r="D30" s="201"/>
      <c r="E30" s="202"/>
      <c r="F30" s="372"/>
      <c r="G30" s="204"/>
      <c r="H30" s="205"/>
      <c r="I30" s="206"/>
      <c r="J30" s="207"/>
      <c r="K30" s="208"/>
      <c r="L30" s="209"/>
      <c r="M30" s="203"/>
      <c r="N30" s="204"/>
      <c r="O30" s="210"/>
      <c r="P30" s="211"/>
      <c r="Q30" s="198"/>
      <c r="R30" s="207"/>
      <c r="S30" s="208"/>
      <c r="T30" s="209"/>
      <c r="U30" s="212"/>
      <c r="V30" s="210"/>
      <c r="W30" s="211"/>
    </row>
    <row r="31" spans="1:23" ht="14.25" thickBot="1">
      <c r="A31" s="198"/>
      <c r="B31" s="199"/>
      <c r="C31" s="200"/>
      <c r="D31" s="201"/>
      <c r="E31" s="202"/>
      <c r="F31" s="372"/>
      <c r="G31" s="204"/>
      <c r="H31" s="205"/>
      <c r="I31" s="206"/>
      <c r="J31" s="207"/>
      <c r="K31" s="208"/>
      <c r="L31" s="209"/>
      <c r="M31" s="203"/>
      <c r="N31" s="204"/>
      <c r="O31" s="210"/>
      <c r="P31" s="211"/>
      <c r="Q31" s="198"/>
      <c r="R31" s="207"/>
      <c r="S31" s="208"/>
      <c r="T31" s="209"/>
      <c r="U31" s="212"/>
      <c r="V31" s="210"/>
      <c r="W31" s="211"/>
    </row>
    <row r="32" spans="1:23" ht="14.25" thickBot="1">
      <c r="A32" s="198"/>
      <c r="B32" s="199"/>
      <c r="C32" s="200"/>
      <c r="D32" s="201"/>
      <c r="E32" s="202"/>
      <c r="F32" s="372"/>
      <c r="G32" s="204"/>
      <c r="H32" s="205"/>
      <c r="I32" s="206"/>
      <c r="J32" s="207"/>
      <c r="K32" s="208"/>
      <c r="L32" s="209"/>
      <c r="M32" s="203"/>
      <c r="N32" s="204"/>
      <c r="O32" s="210"/>
      <c r="P32" s="211"/>
      <c r="Q32" s="198"/>
      <c r="R32" s="207"/>
      <c r="S32" s="208"/>
      <c r="T32" s="209"/>
      <c r="U32" s="212"/>
      <c r="V32" s="210"/>
      <c r="W32" s="211"/>
    </row>
    <row r="33" spans="1:23" ht="14.25" thickBot="1">
      <c r="A33" s="198"/>
      <c r="B33" s="199"/>
      <c r="C33" s="200"/>
      <c r="D33" s="201"/>
      <c r="E33" s="202"/>
      <c r="F33" s="372"/>
      <c r="G33" s="204"/>
      <c r="H33" s="205"/>
      <c r="I33" s="206"/>
      <c r="J33" s="207"/>
      <c r="K33" s="208"/>
      <c r="L33" s="209"/>
      <c r="M33" s="203"/>
      <c r="N33" s="204"/>
      <c r="O33" s="210"/>
      <c r="P33" s="211"/>
      <c r="Q33" s="198"/>
      <c r="R33" s="207"/>
      <c r="S33" s="208"/>
      <c r="T33" s="209"/>
      <c r="U33" s="212"/>
      <c r="V33" s="210"/>
      <c r="W33" s="211"/>
    </row>
    <row r="34" spans="1:23" ht="14.25" thickBot="1">
      <c r="A34" s="198"/>
      <c r="B34" s="199"/>
      <c r="C34" s="200"/>
      <c r="D34" s="201"/>
      <c r="E34" s="202"/>
      <c r="F34" s="372"/>
      <c r="G34" s="204"/>
      <c r="H34" s="205"/>
      <c r="I34" s="206"/>
      <c r="J34" s="207"/>
      <c r="K34" s="208"/>
      <c r="L34" s="209"/>
      <c r="M34" s="203"/>
      <c r="N34" s="204"/>
      <c r="O34" s="210"/>
      <c r="P34" s="211"/>
      <c r="Q34" s="198"/>
      <c r="R34" s="207"/>
      <c r="S34" s="208"/>
      <c r="T34" s="209"/>
      <c r="U34" s="212"/>
      <c r="V34" s="210"/>
      <c r="W34" s="211"/>
    </row>
    <row r="35" spans="1:23" ht="14.25" thickBot="1">
      <c r="A35" s="198"/>
      <c r="B35" s="199"/>
      <c r="C35" s="200"/>
      <c r="D35" s="201"/>
      <c r="E35" s="202"/>
      <c r="F35" s="372"/>
      <c r="G35" s="204"/>
      <c r="H35" s="205"/>
      <c r="I35" s="206"/>
      <c r="J35" s="207"/>
      <c r="K35" s="208"/>
      <c r="L35" s="209"/>
      <c r="M35" s="203"/>
      <c r="N35" s="204"/>
      <c r="O35" s="210"/>
      <c r="P35" s="211"/>
      <c r="Q35" s="198"/>
      <c r="R35" s="207"/>
      <c r="S35" s="208"/>
      <c r="T35" s="209"/>
      <c r="U35" s="212"/>
      <c r="V35" s="210"/>
      <c r="W35" s="211"/>
    </row>
    <row r="36" spans="1:23" ht="14.25" thickBot="1">
      <c r="A36" s="198"/>
      <c r="B36" s="199"/>
      <c r="C36" s="200"/>
      <c r="D36" s="201"/>
      <c r="E36" s="202"/>
      <c r="F36" s="372"/>
      <c r="G36" s="204"/>
      <c r="H36" s="205"/>
      <c r="I36" s="206"/>
      <c r="J36" s="207"/>
      <c r="K36" s="208"/>
      <c r="L36" s="209"/>
      <c r="M36" s="203"/>
      <c r="N36" s="204"/>
      <c r="O36" s="210"/>
      <c r="P36" s="211"/>
      <c r="Q36" s="198"/>
      <c r="R36" s="207"/>
      <c r="S36" s="208"/>
      <c r="T36" s="209"/>
      <c r="U36" s="212"/>
      <c r="V36" s="210"/>
      <c r="W36" s="211"/>
    </row>
    <row r="37" spans="1:23" ht="14.25" hidden="1" thickBot="1">
      <c r="A37" s="198"/>
      <c r="B37" s="199"/>
      <c r="C37" s="200"/>
      <c r="D37" s="201"/>
      <c r="E37" s="202"/>
      <c r="F37" s="372"/>
      <c r="G37" s="204"/>
      <c r="H37" s="205"/>
      <c r="I37" s="206"/>
      <c r="J37" s="207"/>
      <c r="K37" s="208"/>
      <c r="L37" s="209"/>
      <c r="M37" s="203"/>
      <c r="N37" s="204"/>
      <c r="O37" s="210"/>
      <c r="P37" s="211"/>
      <c r="Q37" s="198"/>
      <c r="R37" s="207"/>
      <c r="S37" s="208"/>
      <c r="T37" s="209"/>
      <c r="U37" s="212"/>
      <c r="V37" s="210"/>
      <c r="W37" s="211"/>
    </row>
    <row r="38" spans="1:23" ht="14.25" hidden="1" thickBot="1">
      <c r="A38" s="198"/>
      <c r="B38" s="199"/>
      <c r="C38" s="200"/>
      <c r="D38" s="201"/>
      <c r="E38" s="202"/>
      <c r="F38" s="372"/>
      <c r="G38" s="204"/>
      <c r="H38" s="205"/>
      <c r="I38" s="206"/>
      <c r="J38" s="207"/>
      <c r="K38" s="208"/>
      <c r="L38" s="209"/>
      <c r="M38" s="203"/>
      <c r="N38" s="204"/>
      <c r="O38" s="210"/>
      <c r="P38" s="211"/>
      <c r="Q38" s="198"/>
      <c r="R38" s="207"/>
      <c r="S38" s="208"/>
      <c r="T38" s="209"/>
      <c r="U38" s="212"/>
      <c r="V38" s="210"/>
      <c r="W38" s="211"/>
    </row>
    <row r="39" spans="1:23" ht="14.25" hidden="1" thickBot="1">
      <c r="A39" s="198"/>
      <c r="B39" s="199"/>
      <c r="C39" s="200"/>
      <c r="D39" s="201"/>
      <c r="E39" s="202"/>
      <c r="F39" s="372"/>
      <c r="G39" s="204"/>
      <c r="H39" s="205"/>
      <c r="I39" s="206"/>
      <c r="J39" s="207"/>
      <c r="K39" s="208"/>
      <c r="L39" s="209"/>
      <c r="M39" s="203"/>
      <c r="N39" s="204"/>
      <c r="O39" s="210"/>
      <c r="P39" s="211"/>
      <c r="Q39" s="198"/>
      <c r="R39" s="207"/>
      <c r="S39" s="208"/>
      <c r="T39" s="209"/>
      <c r="U39" s="212"/>
      <c r="V39" s="210"/>
      <c r="W39" s="211"/>
    </row>
    <row r="40" spans="1:23" ht="14.25" hidden="1" thickBot="1">
      <c r="A40" s="198"/>
      <c r="B40" s="199"/>
      <c r="C40" s="200"/>
      <c r="D40" s="201"/>
      <c r="E40" s="202"/>
      <c r="F40" s="372"/>
      <c r="G40" s="204"/>
      <c r="H40" s="205"/>
      <c r="I40" s="206"/>
      <c r="J40" s="207"/>
      <c r="K40" s="208"/>
      <c r="L40" s="209"/>
      <c r="M40" s="203"/>
      <c r="N40" s="204"/>
      <c r="O40" s="210"/>
      <c r="P40" s="211"/>
      <c r="Q40" s="198"/>
      <c r="R40" s="207"/>
      <c r="S40" s="208"/>
      <c r="T40" s="209"/>
      <c r="U40" s="212"/>
      <c r="V40" s="210"/>
      <c r="W40" s="211"/>
    </row>
    <row r="41" spans="1:23" ht="14.25" hidden="1" thickBot="1">
      <c r="A41" s="198"/>
      <c r="B41" s="199"/>
      <c r="C41" s="200"/>
      <c r="D41" s="201"/>
      <c r="E41" s="202"/>
      <c r="F41" s="372"/>
      <c r="G41" s="204"/>
      <c r="H41" s="205"/>
      <c r="I41" s="206"/>
      <c r="J41" s="207"/>
      <c r="K41" s="208"/>
      <c r="L41" s="209"/>
      <c r="M41" s="203"/>
      <c r="N41" s="204"/>
      <c r="O41" s="210"/>
      <c r="P41" s="211"/>
      <c r="Q41" s="198"/>
      <c r="R41" s="207"/>
      <c r="S41" s="208"/>
      <c r="T41" s="209"/>
      <c r="U41" s="212"/>
      <c r="V41" s="210"/>
      <c r="W41" s="211"/>
    </row>
    <row r="42" spans="1:23" ht="14.25" hidden="1" thickBot="1">
      <c r="A42" s="198"/>
      <c r="B42" s="199"/>
      <c r="C42" s="200"/>
      <c r="D42" s="201"/>
      <c r="E42" s="202"/>
      <c r="F42" s="372"/>
      <c r="G42" s="204"/>
      <c r="H42" s="205"/>
      <c r="I42" s="206"/>
      <c r="J42" s="207"/>
      <c r="K42" s="208"/>
      <c r="L42" s="209"/>
      <c r="M42" s="203"/>
      <c r="N42" s="204"/>
      <c r="O42" s="210"/>
      <c r="P42" s="211"/>
      <c r="Q42" s="198"/>
      <c r="R42" s="207"/>
      <c r="S42" s="208"/>
      <c r="T42" s="209"/>
      <c r="U42" s="212"/>
      <c r="V42" s="210"/>
      <c r="W42" s="211"/>
    </row>
    <row r="43" spans="1:23" ht="14.25" hidden="1" thickBot="1">
      <c r="A43" s="198"/>
      <c r="B43" s="199"/>
      <c r="C43" s="200"/>
      <c r="D43" s="201"/>
      <c r="E43" s="202"/>
      <c r="F43" s="372"/>
      <c r="G43" s="204"/>
      <c r="H43" s="205"/>
      <c r="I43" s="206"/>
      <c r="J43" s="207"/>
      <c r="K43" s="208"/>
      <c r="L43" s="209"/>
      <c r="M43" s="203"/>
      <c r="N43" s="204"/>
      <c r="O43" s="210"/>
      <c r="P43" s="211"/>
      <c r="Q43" s="198"/>
      <c r="R43" s="207"/>
      <c r="S43" s="208"/>
      <c r="T43" s="209"/>
      <c r="U43" s="212"/>
      <c r="V43" s="210"/>
      <c r="W43" s="211"/>
    </row>
    <row r="44" spans="1:23" ht="14.25" hidden="1" thickBot="1">
      <c r="A44" s="198"/>
      <c r="B44" s="199"/>
      <c r="C44" s="200"/>
      <c r="D44" s="201"/>
      <c r="E44" s="202"/>
      <c r="F44" s="372"/>
      <c r="G44" s="204"/>
      <c r="H44" s="205"/>
      <c r="I44" s="206"/>
      <c r="J44" s="207"/>
      <c r="K44" s="208"/>
      <c r="L44" s="209"/>
      <c r="M44" s="203"/>
      <c r="N44" s="204"/>
      <c r="O44" s="210"/>
      <c r="P44" s="211"/>
      <c r="Q44" s="198"/>
      <c r="R44" s="207"/>
      <c r="S44" s="208"/>
      <c r="T44" s="209"/>
      <c r="U44" s="212"/>
      <c r="V44" s="210"/>
      <c r="W44" s="211"/>
    </row>
    <row r="45" spans="1:23" ht="14.25" hidden="1" thickBot="1">
      <c r="A45" s="198"/>
      <c r="B45" s="199"/>
      <c r="C45" s="200"/>
      <c r="D45" s="201"/>
      <c r="E45" s="202"/>
      <c r="F45" s="372"/>
      <c r="G45" s="204"/>
      <c r="H45" s="205"/>
      <c r="I45" s="206"/>
      <c r="J45" s="207"/>
      <c r="K45" s="208"/>
      <c r="L45" s="209"/>
      <c r="M45" s="203"/>
      <c r="N45" s="204"/>
      <c r="O45" s="210"/>
      <c r="P45" s="211"/>
      <c r="Q45" s="198"/>
      <c r="R45" s="207"/>
      <c r="S45" s="208"/>
      <c r="T45" s="209"/>
      <c r="U45" s="212"/>
      <c r="V45" s="210"/>
      <c r="W45" s="211"/>
    </row>
    <row r="46" spans="1:23" ht="14.25" hidden="1" thickBot="1">
      <c r="A46" s="198"/>
      <c r="B46" s="199"/>
      <c r="C46" s="200"/>
      <c r="D46" s="201"/>
      <c r="E46" s="202"/>
      <c r="F46" s="372"/>
      <c r="G46" s="204"/>
      <c r="H46" s="205"/>
      <c r="I46" s="206"/>
      <c r="J46" s="207"/>
      <c r="K46" s="208"/>
      <c r="L46" s="209"/>
      <c r="M46" s="203"/>
      <c r="N46" s="204"/>
      <c r="O46" s="210"/>
      <c r="P46" s="211"/>
      <c r="Q46" s="198"/>
      <c r="R46" s="207"/>
      <c r="S46" s="208"/>
      <c r="T46" s="209"/>
      <c r="U46" s="212"/>
      <c r="V46" s="210"/>
      <c r="W46" s="211"/>
    </row>
    <row r="47" spans="1:23" ht="14.25" hidden="1" thickBot="1">
      <c r="A47" s="198"/>
      <c r="B47" s="199"/>
      <c r="C47" s="200"/>
      <c r="D47" s="201"/>
      <c r="E47" s="202"/>
      <c r="F47" s="372"/>
      <c r="G47" s="204"/>
      <c r="H47" s="205"/>
      <c r="I47" s="206"/>
      <c r="J47" s="207"/>
      <c r="K47" s="208"/>
      <c r="L47" s="209"/>
      <c r="M47" s="203"/>
      <c r="N47" s="204"/>
      <c r="O47" s="210"/>
      <c r="P47" s="211"/>
      <c r="Q47" s="198"/>
      <c r="R47" s="207"/>
      <c r="S47" s="208"/>
      <c r="T47" s="209"/>
      <c r="U47" s="212"/>
      <c r="V47" s="210"/>
      <c r="W47" s="211"/>
    </row>
    <row r="48" spans="1:23" ht="14.25" hidden="1" thickBot="1">
      <c r="A48" s="198"/>
      <c r="B48" s="199"/>
      <c r="C48" s="200"/>
      <c r="D48" s="201"/>
      <c r="E48" s="202"/>
      <c r="F48" s="372"/>
      <c r="G48" s="204"/>
      <c r="H48" s="205"/>
      <c r="I48" s="206"/>
      <c r="J48" s="207"/>
      <c r="K48" s="208"/>
      <c r="L48" s="209"/>
      <c r="M48" s="203"/>
      <c r="N48" s="204"/>
      <c r="O48" s="210"/>
      <c r="P48" s="211"/>
      <c r="Q48" s="198"/>
      <c r="R48" s="207"/>
      <c r="S48" s="208"/>
      <c r="T48" s="209"/>
      <c r="U48" s="212"/>
      <c r="V48" s="210"/>
      <c r="W48" s="211"/>
    </row>
    <row r="49" spans="1:23" ht="14.25" hidden="1" thickBot="1">
      <c r="A49" s="198"/>
      <c r="B49" s="199"/>
      <c r="C49" s="200"/>
      <c r="D49" s="201"/>
      <c r="E49" s="202"/>
      <c r="F49" s="372"/>
      <c r="G49" s="204"/>
      <c r="H49" s="205"/>
      <c r="I49" s="206"/>
      <c r="J49" s="207"/>
      <c r="K49" s="208"/>
      <c r="L49" s="209"/>
      <c r="M49" s="203"/>
      <c r="N49" s="204"/>
      <c r="O49" s="210"/>
      <c r="P49" s="211"/>
      <c r="Q49" s="198"/>
      <c r="R49" s="207"/>
      <c r="S49" s="208"/>
      <c r="T49" s="209"/>
      <c r="U49" s="212"/>
      <c r="V49" s="210"/>
      <c r="W49" s="211"/>
    </row>
    <row r="50" spans="1:23" ht="14.25" hidden="1" thickBot="1">
      <c r="A50" s="198"/>
      <c r="B50" s="199"/>
      <c r="C50" s="200"/>
      <c r="D50" s="201"/>
      <c r="E50" s="202"/>
      <c r="F50" s="372"/>
      <c r="G50" s="204"/>
      <c r="H50" s="205"/>
      <c r="I50" s="206"/>
      <c r="J50" s="207"/>
      <c r="K50" s="208"/>
      <c r="L50" s="209"/>
      <c r="M50" s="203"/>
      <c r="N50" s="204"/>
      <c r="O50" s="210"/>
      <c r="P50" s="211"/>
      <c r="Q50" s="198"/>
      <c r="R50" s="207"/>
      <c r="S50" s="208"/>
      <c r="T50" s="209"/>
      <c r="U50" s="212"/>
      <c r="V50" s="210"/>
      <c r="W50" s="211"/>
    </row>
    <row r="51" spans="1:23" ht="14.25" hidden="1" thickBot="1">
      <c r="A51" s="198"/>
      <c r="B51" s="199"/>
      <c r="C51" s="200"/>
      <c r="D51" s="201"/>
      <c r="E51" s="202"/>
      <c r="F51" s="372"/>
      <c r="G51" s="204"/>
      <c r="H51" s="205"/>
      <c r="I51" s="206"/>
      <c r="J51" s="207"/>
      <c r="K51" s="208"/>
      <c r="L51" s="209"/>
      <c r="M51" s="203"/>
      <c r="N51" s="204"/>
      <c r="O51" s="210"/>
      <c r="P51" s="211"/>
      <c r="Q51" s="198"/>
      <c r="R51" s="207"/>
      <c r="S51" s="208"/>
      <c r="T51" s="209"/>
      <c r="U51" s="212"/>
      <c r="V51" s="210"/>
      <c r="W51" s="211"/>
    </row>
    <row r="52" spans="1:23" ht="14.25" hidden="1" thickBot="1">
      <c r="A52" s="198"/>
      <c r="B52" s="199"/>
      <c r="C52" s="200"/>
      <c r="D52" s="201"/>
      <c r="E52" s="202"/>
      <c r="F52" s="372"/>
      <c r="G52" s="204"/>
      <c r="H52" s="205"/>
      <c r="I52" s="206"/>
      <c r="J52" s="207"/>
      <c r="K52" s="208"/>
      <c r="L52" s="209"/>
      <c r="M52" s="203"/>
      <c r="N52" s="204"/>
      <c r="O52" s="210"/>
      <c r="P52" s="211"/>
      <c r="Q52" s="198"/>
      <c r="R52" s="207"/>
      <c r="S52" s="208"/>
      <c r="T52" s="209"/>
      <c r="U52" s="212"/>
      <c r="V52" s="210"/>
      <c r="W52" s="211"/>
    </row>
    <row r="53" spans="1:23" ht="14.25" hidden="1" thickBot="1">
      <c r="A53" s="198"/>
      <c r="B53" s="199"/>
      <c r="C53" s="200"/>
      <c r="D53" s="201"/>
      <c r="E53" s="202"/>
      <c r="F53" s="372"/>
      <c r="G53" s="204"/>
      <c r="H53" s="205"/>
      <c r="I53" s="206"/>
      <c r="J53" s="207"/>
      <c r="K53" s="208"/>
      <c r="L53" s="209"/>
      <c r="M53" s="203"/>
      <c r="N53" s="204"/>
      <c r="O53" s="210"/>
      <c r="P53" s="211"/>
      <c r="Q53" s="198"/>
      <c r="R53" s="207"/>
      <c r="S53" s="208"/>
      <c r="T53" s="209"/>
      <c r="U53" s="212"/>
      <c r="V53" s="210"/>
      <c r="W53" s="211"/>
    </row>
    <row r="54" spans="1:23" ht="14.25" hidden="1" thickBot="1">
      <c r="A54" s="198"/>
      <c r="B54" s="199"/>
      <c r="C54" s="200"/>
      <c r="D54" s="201"/>
      <c r="E54" s="202"/>
      <c r="F54" s="372"/>
      <c r="G54" s="204"/>
      <c r="H54" s="205"/>
      <c r="I54" s="206"/>
      <c r="J54" s="207"/>
      <c r="K54" s="208"/>
      <c r="L54" s="209"/>
      <c r="M54" s="203"/>
      <c r="N54" s="204"/>
      <c r="O54" s="210"/>
      <c r="P54" s="211"/>
      <c r="Q54" s="198"/>
      <c r="R54" s="207"/>
      <c r="S54" s="208"/>
      <c r="T54" s="209"/>
      <c r="U54" s="212"/>
      <c r="V54" s="210"/>
      <c r="W54" s="211"/>
    </row>
    <row r="55" spans="1:23" ht="14.25" hidden="1" thickBot="1">
      <c r="A55" s="198"/>
      <c r="B55" s="199"/>
      <c r="C55" s="200"/>
      <c r="D55" s="201"/>
      <c r="E55" s="202"/>
      <c r="F55" s="372"/>
      <c r="G55" s="204"/>
      <c r="H55" s="205"/>
      <c r="I55" s="206"/>
      <c r="J55" s="207"/>
      <c r="K55" s="208"/>
      <c r="L55" s="209"/>
      <c r="M55" s="203"/>
      <c r="N55" s="204"/>
      <c r="O55" s="210"/>
      <c r="P55" s="211"/>
      <c r="Q55" s="198"/>
      <c r="R55" s="207"/>
      <c r="S55" s="208"/>
      <c r="T55" s="209"/>
      <c r="U55" s="212"/>
      <c r="V55" s="210"/>
      <c r="W55" s="211"/>
    </row>
    <row r="56" spans="1:23" ht="14.25" hidden="1" thickBot="1">
      <c r="A56" s="198"/>
      <c r="B56" s="199"/>
      <c r="C56" s="200"/>
      <c r="D56" s="201"/>
      <c r="E56" s="202"/>
      <c r="F56" s="372"/>
      <c r="G56" s="204"/>
      <c r="H56" s="205"/>
      <c r="I56" s="206"/>
      <c r="J56" s="207"/>
      <c r="K56" s="208"/>
      <c r="L56" s="209"/>
      <c r="M56" s="203"/>
      <c r="N56" s="204"/>
      <c r="O56" s="210"/>
      <c r="P56" s="211"/>
      <c r="Q56" s="198"/>
      <c r="R56" s="207"/>
      <c r="S56" s="208"/>
      <c r="T56" s="209"/>
      <c r="U56" s="212"/>
      <c r="V56" s="210"/>
      <c r="W56" s="211"/>
    </row>
    <row r="57" spans="1:23" ht="14.25" hidden="1" thickBot="1">
      <c r="A57" s="198"/>
      <c r="B57" s="199"/>
      <c r="C57" s="200"/>
      <c r="D57" s="201"/>
      <c r="E57" s="202"/>
      <c r="F57" s="372"/>
      <c r="G57" s="204"/>
      <c r="H57" s="205"/>
      <c r="I57" s="206"/>
      <c r="J57" s="207"/>
      <c r="K57" s="208"/>
      <c r="L57" s="209"/>
      <c r="M57" s="203"/>
      <c r="N57" s="204"/>
      <c r="O57" s="210"/>
      <c r="P57" s="211"/>
      <c r="Q57" s="198"/>
      <c r="R57" s="207"/>
      <c r="S57" s="208"/>
      <c r="T57" s="209"/>
      <c r="U57" s="212"/>
      <c r="V57" s="210"/>
      <c r="W57" s="211"/>
    </row>
    <row r="58" spans="1:23" ht="14.25" hidden="1" thickBot="1">
      <c r="A58" s="198"/>
      <c r="B58" s="199"/>
      <c r="C58" s="200"/>
      <c r="D58" s="201"/>
      <c r="E58" s="202"/>
      <c r="F58" s="372"/>
      <c r="G58" s="204"/>
      <c r="H58" s="205"/>
      <c r="I58" s="206"/>
      <c r="J58" s="207"/>
      <c r="K58" s="208"/>
      <c r="L58" s="209"/>
      <c r="M58" s="203"/>
      <c r="N58" s="204"/>
      <c r="O58" s="210"/>
      <c r="P58" s="211"/>
      <c r="Q58" s="198"/>
      <c r="R58" s="207"/>
      <c r="S58" s="208"/>
      <c r="T58" s="209"/>
      <c r="U58" s="212"/>
      <c r="V58" s="210"/>
      <c r="W58" s="211"/>
    </row>
    <row r="59" spans="1:23" ht="14.25" hidden="1" thickBot="1">
      <c r="A59" s="198"/>
      <c r="B59" s="199"/>
      <c r="C59" s="200"/>
      <c r="D59" s="201"/>
      <c r="E59" s="202"/>
      <c r="F59" s="372"/>
      <c r="G59" s="204"/>
      <c r="H59" s="205"/>
      <c r="I59" s="206"/>
      <c r="J59" s="207"/>
      <c r="K59" s="208"/>
      <c r="L59" s="209"/>
      <c r="M59" s="203"/>
      <c r="N59" s="204"/>
      <c r="O59" s="210"/>
      <c r="P59" s="211"/>
      <c r="Q59" s="198"/>
      <c r="R59" s="207"/>
      <c r="S59" s="208"/>
      <c r="T59" s="209"/>
      <c r="U59" s="212"/>
      <c r="V59" s="210"/>
      <c r="W59" s="211"/>
    </row>
    <row r="60" spans="1:23" ht="14.25" hidden="1" thickBot="1">
      <c r="A60" s="198"/>
      <c r="B60" s="199"/>
      <c r="C60" s="200"/>
      <c r="D60" s="201"/>
      <c r="E60" s="202"/>
      <c r="F60" s="372"/>
      <c r="G60" s="204"/>
      <c r="H60" s="205"/>
      <c r="I60" s="206"/>
      <c r="J60" s="207"/>
      <c r="K60" s="208"/>
      <c r="L60" s="209"/>
      <c r="M60" s="203"/>
      <c r="N60" s="204"/>
      <c r="O60" s="210"/>
      <c r="P60" s="211"/>
      <c r="Q60" s="198"/>
      <c r="R60" s="207"/>
      <c r="S60" s="208"/>
      <c r="T60" s="209"/>
      <c r="U60" s="212"/>
      <c r="V60" s="210"/>
      <c r="W60" s="211"/>
    </row>
    <row r="61" spans="1:23" ht="14.25" hidden="1" thickBot="1">
      <c r="A61" s="198"/>
      <c r="B61" s="199"/>
      <c r="C61" s="200"/>
      <c r="D61" s="201"/>
      <c r="E61" s="202"/>
      <c r="F61" s="372"/>
      <c r="G61" s="204"/>
      <c r="H61" s="205"/>
      <c r="I61" s="206"/>
      <c r="J61" s="207"/>
      <c r="K61" s="208"/>
      <c r="L61" s="209"/>
      <c r="M61" s="203"/>
      <c r="N61" s="204"/>
      <c r="O61" s="210"/>
      <c r="P61" s="211"/>
      <c r="Q61" s="198"/>
      <c r="R61" s="207"/>
      <c r="S61" s="208"/>
      <c r="T61" s="209"/>
      <c r="U61" s="212"/>
      <c r="V61" s="210"/>
      <c r="W61" s="211"/>
    </row>
    <row r="62" spans="1:23" ht="14.25" hidden="1" thickBot="1">
      <c r="A62" s="198"/>
      <c r="B62" s="199"/>
      <c r="C62" s="200"/>
      <c r="D62" s="201"/>
      <c r="E62" s="202"/>
      <c r="F62" s="372"/>
      <c r="G62" s="204"/>
      <c r="H62" s="205"/>
      <c r="I62" s="206"/>
      <c r="J62" s="207"/>
      <c r="K62" s="208"/>
      <c r="L62" s="209"/>
      <c r="M62" s="203"/>
      <c r="N62" s="204"/>
      <c r="O62" s="210"/>
      <c r="P62" s="211"/>
      <c r="Q62" s="198"/>
      <c r="R62" s="207"/>
      <c r="S62" s="208"/>
      <c r="T62" s="209"/>
      <c r="U62" s="212"/>
      <c r="V62" s="210"/>
      <c r="W62" s="211"/>
    </row>
    <row r="63" spans="1:23" ht="14.25" hidden="1" thickBot="1">
      <c r="A63" s="198"/>
      <c r="B63" s="199"/>
      <c r="C63" s="200"/>
      <c r="D63" s="201"/>
      <c r="E63" s="202"/>
      <c r="F63" s="372"/>
      <c r="G63" s="204"/>
      <c r="H63" s="205"/>
      <c r="I63" s="206"/>
      <c r="J63" s="207"/>
      <c r="K63" s="208"/>
      <c r="L63" s="209"/>
      <c r="M63" s="203"/>
      <c r="N63" s="204"/>
      <c r="O63" s="210"/>
      <c r="P63" s="211"/>
      <c r="Q63" s="198"/>
      <c r="R63" s="207"/>
      <c r="S63" s="208"/>
      <c r="T63" s="209"/>
      <c r="U63" s="212"/>
      <c r="V63" s="210"/>
      <c r="W63" s="211"/>
    </row>
    <row r="64" spans="1:23" ht="14.25" hidden="1" thickBot="1">
      <c r="A64" s="198"/>
      <c r="B64" s="199"/>
      <c r="C64" s="200"/>
      <c r="D64" s="201"/>
      <c r="E64" s="202"/>
      <c r="F64" s="372"/>
      <c r="G64" s="204"/>
      <c r="H64" s="205"/>
      <c r="I64" s="206"/>
      <c r="J64" s="207"/>
      <c r="K64" s="208"/>
      <c r="L64" s="209"/>
      <c r="M64" s="203"/>
      <c r="N64" s="204"/>
      <c r="O64" s="210"/>
      <c r="P64" s="211"/>
      <c r="Q64" s="198"/>
      <c r="R64" s="207"/>
      <c r="S64" s="208"/>
      <c r="T64" s="209"/>
      <c r="U64" s="212"/>
      <c r="V64" s="210"/>
      <c r="W64" s="211"/>
    </row>
    <row r="65" spans="1:23" ht="14.25" hidden="1" thickBot="1">
      <c r="A65" s="198"/>
      <c r="B65" s="199"/>
      <c r="C65" s="200"/>
      <c r="D65" s="201"/>
      <c r="E65" s="202"/>
      <c r="F65" s="372"/>
      <c r="G65" s="204"/>
      <c r="H65" s="205"/>
      <c r="I65" s="206"/>
      <c r="J65" s="207"/>
      <c r="K65" s="208"/>
      <c r="L65" s="209"/>
      <c r="M65" s="203"/>
      <c r="N65" s="204"/>
      <c r="O65" s="210"/>
      <c r="P65" s="211"/>
      <c r="Q65" s="198"/>
      <c r="R65" s="207"/>
      <c r="S65" s="208"/>
      <c r="T65" s="209"/>
      <c r="U65" s="212"/>
      <c r="V65" s="210"/>
      <c r="W65" s="211"/>
    </row>
    <row r="66" spans="1:23" ht="14.25" hidden="1" thickBot="1">
      <c r="A66" s="198"/>
      <c r="B66" s="199"/>
      <c r="C66" s="200"/>
      <c r="D66" s="201"/>
      <c r="E66" s="202"/>
      <c r="F66" s="372"/>
      <c r="G66" s="204"/>
      <c r="H66" s="205"/>
      <c r="I66" s="206"/>
      <c r="J66" s="207"/>
      <c r="K66" s="208"/>
      <c r="L66" s="209"/>
      <c r="M66" s="203"/>
      <c r="N66" s="204"/>
      <c r="O66" s="210"/>
      <c r="P66" s="211"/>
      <c r="Q66" s="198"/>
      <c r="R66" s="207"/>
      <c r="S66" s="208"/>
      <c r="T66" s="209"/>
      <c r="U66" s="212"/>
      <c r="V66" s="210"/>
      <c r="W66" s="211"/>
    </row>
    <row r="67" spans="1:23" ht="14.25" hidden="1" thickBot="1">
      <c r="A67" s="198"/>
      <c r="B67" s="199"/>
      <c r="C67" s="200"/>
      <c r="D67" s="201"/>
      <c r="E67" s="202"/>
      <c r="F67" s="372"/>
      <c r="G67" s="204"/>
      <c r="H67" s="205"/>
      <c r="I67" s="206"/>
      <c r="J67" s="207"/>
      <c r="K67" s="208"/>
      <c r="L67" s="209"/>
      <c r="M67" s="203"/>
      <c r="N67" s="204"/>
      <c r="O67" s="210"/>
      <c r="P67" s="211"/>
      <c r="Q67" s="198"/>
      <c r="R67" s="207"/>
      <c r="S67" s="208"/>
      <c r="T67" s="209"/>
      <c r="U67" s="212"/>
      <c r="V67" s="210"/>
      <c r="W67" s="211"/>
    </row>
    <row r="68" spans="1:23" ht="14.25" hidden="1" thickBot="1">
      <c r="A68" s="198"/>
      <c r="B68" s="199"/>
      <c r="C68" s="200"/>
      <c r="D68" s="201"/>
      <c r="E68" s="202"/>
      <c r="F68" s="372"/>
      <c r="G68" s="204"/>
      <c r="H68" s="205"/>
      <c r="I68" s="206"/>
      <c r="J68" s="207"/>
      <c r="K68" s="208"/>
      <c r="L68" s="209"/>
      <c r="M68" s="203"/>
      <c r="N68" s="204"/>
      <c r="O68" s="210"/>
      <c r="P68" s="211"/>
      <c r="Q68" s="198"/>
      <c r="R68" s="207"/>
      <c r="S68" s="208"/>
      <c r="T68" s="209"/>
      <c r="U68" s="212"/>
      <c r="V68" s="210"/>
      <c r="W68" s="211"/>
    </row>
    <row r="69" spans="1:23" ht="14.25" hidden="1" thickBot="1">
      <c r="A69" s="198"/>
      <c r="B69" s="199"/>
      <c r="C69" s="200"/>
      <c r="D69" s="201"/>
      <c r="E69" s="202"/>
      <c r="F69" s="372"/>
      <c r="G69" s="204"/>
      <c r="H69" s="205"/>
      <c r="I69" s="206"/>
      <c r="J69" s="207"/>
      <c r="K69" s="208"/>
      <c r="L69" s="209"/>
      <c r="M69" s="203"/>
      <c r="N69" s="204"/>
      <c r="O69" s="210"/>
      <c r="P69" s="211"/>
      <c r="Q69" s="198"/>
      <c r="R69" s="207"/>
      <c r="S69" s="208"/>
      <c r="T69" s="209"/>
      <c r="U69" s="212"/>
      <c r="V69" s="210"/>
      <c r="W69" s="211"/>
    </row>
    <row r="70" spans="1:23" ht="14.25" hidden="1" thickBot="1">
      <c r="A70" s="198"/>
      <c r="B70" s="199"/>
      <c r="C70" s="200"/>
      <c r="D70" s="201"/>
      <c r="E70" s="202"/>
      <c r="F70" s="372"/>
      <c r="G70" s="204"/>
      <c r="H70" s="205"/>
      <c r="I70" s="206"/>
      <c r="J70" s="207"/>
      <c r="K70" s="208"/>
      <c r="L70" s="209"/>
      <c r="M70" s="203"/>
      <c r="N70" s="204"/>
      <c r="O70" s="210"/>
      <c r="P70" s="211"/>
      <c r="Q70" s="198"/>
      <c r="R70" s="207"/>
      <c r="S70" s="208"/>
      <c r="T70" s="209"/>
      <c r="U70" s="212"/>
      <c r="V70" s="210"/>
      <c r="W70" s="211"/>
    </row>
    <row r="71" spans="1:23" ht="14.25" thickBot="1">
      <c r="A71" s="198"/>
      <c r="B71" s="199"/>
      <c r="C71" s="200"/>
      <c r="D71" s="201"/>
      <c r="E71" s="202"/>
      <c r="F71" s="372"/>
      <c r="G71" s="204"/>
      <c r="H71" s="205"/>
      <c r="I71" s="206"/>
      <c r="J71" s="207"/>
      <c r="K71" s="208"/>
      <c r="L71" s="209"/>
      <c r="M71" s="203"/>
      <c r="N71" s="204"/>
      <c r="O71" s="210"/>
      <c r="P71" s="211"/>
      <c r="Q71" s="198"/>
      <c r="R71" s="207"/>
      <c r="S71" s="208"/>
      <c r="T71" s="209"/>
      <c r="U71" s="212"/>
      <c r="V71" s="210"/>
      <c r="W71" s="211"/>
    </row>
    <row r="73" spans="1:23" ht="14.25" thickBot="1">
      <c r="A73" s="544">
        <v>2007</v>
      </c>
      <c r="B73" s="545"/>
      <c r="C73" s="545"/>
      <c r="D73" s="545"/>
      <c r="E73" s="545"/>
      <c r="F73" s="217">
        <f>SUM(F1:F72)</f>
        <v>2079</v>
      </c>
      <c r="G73" s="216">
        <f>SUM(G1:G72)</f>
        <v>143162125.78</v>
      </c>
      <c r="H73" s="217">
        <f>SUM(H1:H72)</f>
        <v>18708027</v>
      </c>
      <c r="I73" s="294">
        <f>G73/H73</f>
        <v>7.652443829592506</v>
      </c>
      <c r="J73" s="218"/>
      <c r="K73" s="219"/>
      <c r="L73" s="220"/>
      <c r="M73" s="215"/>
      <c r="N73" s="216"/>
      <c r="O73" s="217"/>
      <c r="P73" s="221"/>
      <c r="Q73" s="214"/>
      <c r="R73" s="218">
        <f>SUM(R1:R72)</f>
        <v>51381325</v>
      </c>
      <c r="S73" s="219">
        <f>SUM(S1:S72)</f>
        <v>7305884</v>
      </c>
      <c r="T73" s="220">
        <f>SUM(S73/H73)</f>
        <v>0.3905213521447238</v>
      </c>
      <c r="U73" s="222"/>
      <c r="V73" s="217"/>
      <c r="W73" s="221"/>
    </row>
    <row r="74" spans="1:23" s="287" customFormat="1" ht="14.25" thickBot="1">
      <c r="A74" s="546" t="s">
        <v>269</v>
      </c>
      <c r="B74" s="547"/>
      <c r="C74" s="547"/>
      <c r="D74" s="547"/>
      <c r="E74" s="547"/>
      <c r="F74" s="280">
        <v>2050</v>
      </c>
      <c r="G74" s="279">
        <v>151266476.69</v>
      </c>
      <c r="H74" s="280">
        <v>22477386</v>
      </c>
      <c r="I74" s="295">
        <f>G74/H74</f>
        <v>6.729718335130251</v>
      </c>
      <c r="J74" s="281"/>
      <c r="K74" s="282"/>
      <c r="L74" s="283"/>
      <c r="M74" s="278"/>
      <c r="N74" s="279"/>
      <c r="O74" s="280"/>
      <c r="P74" s="284"/>
      <c r="Q74" s="285"/>
      <c r="R74" s="281">
        <v>82171489.98</v>
      </c>
      <c r="S74" s="282">
        <v>12863913</v>
      </c>
      <c r="T74" s="283">
        <f>SUM(S74/H74)</f>
        <v>0.5723046710146812</v>
      </c>
      <c r="U74" s="286"/>
      <c r="V74" s="280"/>
      <c r="W74" s="284"/>
    </row>
  </sheetData>
  <sheetProtection/>
  <mergeCells count="2">
    <mergeCell ref="A73:E73"/>
    <mergeCell ref="A74:E74"/>
  </mergeCells>
  <printOptions/>
  <pageMargins left="0.75" right="0.75" top="1" bottom="1" header="0.5" footer="0.5"/>
  <pageSetup horizontalDpi="300" verticalDpi="300" orientation="portrait" paperSize="9" r:id="rId2"/>
  <ignoredErrors>
    <ignoredError sqref="B3 B7 B11 B20 B24"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2007-07-05T09:40:17Z</cp:lastPrinted>
  <dcterms:created xsi:type="dcterms:W3CDTF">2006-03-17T12:24:26Z</dcterms:created>
  <dcterms:modified xsi:type="dcterms:W3CDTF">2007-07-21T05:43:41Z</dcterms:modified>
  <cp:category/>
  <cp:version/>
  <cp:contentType/>
  <cp:contentStatus/>
</cp:coreProperties>
</file>