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15" windowWidth="15480" windowHeight="11640" tabRatio="808" activeTab="0"/>
  </bookViews>
  <sheets>
    <sheet name="25 - 31 May' (WK 22)" sheetId="1" r:id="rId1"/>
    <sheet name="29 Dec' - 31 May' (Annual)" sheetId="2" r:id="rId2"/>
    <sheet name="Ex years releases (Annual)" sheetId="3" r:id="rId3"/>
    <sheet name="Week by Week" sheetId="4" r:id="rId4"/>
  </sheets>
  <definedNames>
    <definedName name="HTML_CodePage" hidden="1">1254</definedName>
    <definedName name="HTML_Control" localSheetId="0" hidden="1">{"'WEEK 41'!$A$1:$K$25","'WEEK 41'!$C$3:$K$23"}</definedName>
    <definedName name="HTML_Control" hidden="1">{"'WEEK 41'!$A$1:$K$25","'WEEK 41'!$C$3:$K$23"}</definedName>
    <definedName name="HTML_Description" hidden="1">""</definedName>
    <definedName name="HTML_Email" hidden="1">"gelyetistiren@superonline.com"</definedName>
    <definedName name="HTML_Header" hidden="1">"WEEK 41"</definedName>
    <definedName name="HTML_LastUpdate" hidden="1">"25.05.2001"</definedName>
    <definedName name="HTML_LineAfter" hidden="1">TRUE</definedName>
    <definedName name="HTML_LineBefore" hidden="1">TRUE</definedName>
    <definedName name="HTML_Name" hidden="1">"Gökhan Elyetiştiren"</definedName>
    <definedName name="HTML_OBDlg2" hidden="1">TRUE</definedName>
    <definedName name="HTML_OBDlg3" hidden="1">TRUE</definedName>
    <definedName name="HTML_OBDlg4" hidden="1">TRUE</definedName>
    <definedName name="HTML_OS" hidden="1">0</definedName>
    <definedName name="HTML_PathFile" hidden="1">"C:\Belgelerim\MyHTML.htm"</definedName>
    <definedName name="HTML_PathTemplate" hidden="1">"C:\Belgelerim\MyHTML.htm"</definedName>
    <definedName name="HTML_Title" hidden="1">"WK - BO &amp; Adm"</definedName>
    <definedName name="_xlnm.Print_Area" localSheetId="0">'25 - 31 May'' (WK 22)'!$A$1:$O$106</definedName>
    <definedName name="_xlnm.Print_Area" localSheetId="1">'29 Dec' - 31 May' (Annual)'!$A$1:$J$137</definedName>
  </definedNames>
  <calcPr fullCalcOnLoad="1"/>
</workbook>
</file>

<file path=xl/sharedStrings.xml><?xml version="1.0" encoding="utf-8"?>
<sst xmlns="http://schemas.openxmlformats.org/spreadsheetml/2006/main" count="2394" uniqueCount="463">
  <si>
    <t>Avg. Ticket</t>
  </si>
  <si>
    <t>Title</t>
  </si>
  <si>
    <t>Release
Date</t>
  </si>
  <si>
    <t># of
Prints</t>
  </si>
  <si>
    <t>Week</t>
  </si>
  <si>
    <t>Cumulative</t>
  </si>
  <si>
    <t>G.B.O.</t>
  </si>
  <si>
    <t>Adm.</t>
  </si>
  <si>
    <t>Avg.
Ticket</t>
  </si>
  <si>
    <t xml:space="preserve">Avg.
Ticket </t>
  </si>
  <si>
    <t># of
Screen</t>
  </si>
  <si>
    <t>WARNER BROS.</t>
  </si>
  <si>
    <t>OZEN FILM</t>
  </si>
  <si>
    <t>CINEMEDYA</t>
  </si>
  <si>
    <t>YENI SINEMACILAR</t>
  </si>
  <si>
    <t>GARFIELD 2</t>
  </si>
  <si>
    <t>VANITY FAIR</t>
  </si>
  <si>
    <t>TEXAS CHAINSAW MASSACRE: THE BEGINNING</t>
  </si>
  <si>
    <t>Weeks in Release</t>
  </si>
  <si>
    <t>Yukarıdaki Turkey's Weekend Market Datas adlı tablo Türkiye'deki film dağıtıcısı şirketlerin ülkemizde yukarıda belirtilen haftalarda dağıttıkları sinema filmlerinin gene yukarıda belirttikleri haftalarda ulaştıkları seyirci sayısını ve yaptıkları hasılatı göstermektedir. Liste ve ekinde bulunan diğer sayfalar bütün dağıtıcıların ortak görüşü sonucunda Haftalık Antrakt Sinema Gazetesi'ne hazırlattırılmaktadır. Haftalık Antrakt Sinema Gazetesi yukarıdaki ve ekindeki tabloları dağıtımcı firmalardan gönderilen özel bilgileri bir araya getirerek oluşturmaktadır. Yukarıdaki ve ekindeki tabloların içerdiği veriler çoğaltılamaz, satılamaz. Alıntı veya kopyalama yapılırken Haftalık Antrakt Sinema Gazetesi'nden izin alınmalıdır.</t>
  </si>
  <si>
    <t>1</t>
  </si>
  <si>
    <t>DEVIL WEARS PRADA, THE</t>
  </si>
  <si>
    <t>ARAF</t>
  </si>
  <si>
    <t>BIR FILM</t>
  </si>
  <si>
    <t>ALLEGRO</t>
  </si>
  <si>
    <t>CELLULOID</t>
  </si>
  <si>
    <t>CARS</t>
  </si>
  <si>
    <t>WILD BUNCH</t>
  </si>
  <si>
    <t># of Films</t>
  </si>
  <si>
    <t>LOCAL FILMS</t>
  </si>
  <si>
    <t>FOREIGN FILMS</t>
  </si>
  <si>
    <t xml:space="preserve"> "Turkey's Weekend Market Datas" chart which is given above displays the number of admissions and box offices of the films which are released in the stated week by Turkish distributors. The chart and the attached pages is being prepared by Weekly Antrakt Cinema Newspaper as a common acknowledgement of all Turkish distributors. Weekly Antrakt Cinema Newspaper is preparing this chart as collecting all data from distributors and organizing them. It is not permitted to multiply or to sell these data which are displayed on this chart and attachments. It is necessary to ask approval of Weekly Antrakt Cinema Newspaper in order to quote, to copy or to publish.</t>
  </si>
  <si>
    <t>SAW 3</t>
  </si>
  <si>
    <t>LIMON</t>
  </si>
  <si>
    <t>VOLVER</t>
  </si>
  <si>
    <t>BABEL</t>
  </si>
  <si>
    <t>GOOD YEAR, A</t>
  </si>
  <si>
    <t>2</t>
  </si>
  <si>
    <t>SPOT</t>
  </si>
  <si>
    <t>TMC</t>
  </si>
  <si>
    <t>PRINCES</t>
  </si>
  <si>
    <t>CASINO ROYALE</t>
  </si>
  <si>
    <t>TIM'S</t>
  </si>
  <si>
    <t>HARSH TIMES</t>
  </si>
  <si>
    <t>U.I.P.</t>
  </si>
  <si>
    <t>KENDA</t>
  </si>
  <si>
    <t>UMUT SANAT</t>
  </si>
  <si>
    <t>*Sorted according to Week Total G.B.O. - Haftalık toplam hasılat sütununa göre sıralanmıştır.</t>
  </si>
  <si>
    <t>MEDYAVIZYON</t>
  </si>
  <si>
    <t>LAST WEEK</t>
  </si>
  <si>
    <t>TOTAL</t>
  </si>
  <si>
    <t>DISTRIBUTORS CHART</t>
  </si>
  <si>
    <t>HOODWINKED</t>
  </si>
  <si>
    <t>Company</t>
  </si>
  <si>
    <t>Distributor</t>
  </si>
  <si>
    <t>UNP</t>
  </si>
  <si>
    <t>WB</t>
  </si>
  <si>
    <t>UIP</t>
  </si>
  <si>
    <t>OZEN</t>
  </si>
  <si>
    <t>FOX</t>
  </si>
  <si>
    <t>BUENA VISTA</t>
  </si>
  <si>
    <t>COLUMBIA</t>
  </si>
  <si>
    <t>FOCUS</t>
  </si>
  <si>
    <t>UNIVERSAL</t>
  </si>
  <si>
    <t>CHANTIER</t>
  </si>
  <si>
    <t>PARAMOUNT</t>
  </si>
  <si>
    <t>OZEN - UMUT</t>
  </si>
  <si>
    <t>U.N.P.</t>
  </si>
  <si>
    <t>R FILM</t>
  </si>
  <si>
    <t>TIGLON</t>
  </si>
  <si>
    <t>WEINSTEIN CO.</t>
  </si>
  <si>
    <t>FIDA</t>
  </si>
  <si>
    <t>Weekly Movie Magazine Antrakt Presents - Haftalık Antrakt Sinema Gazetesi Sunar</t>
  </si>
  <si>
    <t>35 MILIM</t>
  </si>
  <si>
    <t>BARBAR FILM</t>
  </si>
  <si>
    <t>DONDURMAM GAYMAK</t>
  </si>
  <si>
    <t>HERMES</t>
  </si>
  <si>
    <t>HAYATIMIN KADINISIN</t>
  </si>
  <si>
    <t>FLAGS OF OUR FATHERS</t>
  </si>
  <si>
    <t>TAKVA</t>
  </si>
  <si>
    <t>BORAT</t>
  </si>
  <si>
    <t>CHILDREN OF MEN</t>
  </si>
  <si>
    <t>SINAV</t>
  </si>
  <si>
    <t>HOWL'S MOVING CASTLE</t>
  </si>
  <si>
    <t>TEXAS CHAINSAW MASSACRE, THE</t>
  </si>
  <si>
    <t>PATHE</t>
  </si>
  <si>
    <t>-</t>
  </si>
  <si>
    <t>FROSTBITE</t>
  </si>
  <si>
    <t>This Week's Total</t>
  </si>
  <si>
    <t>Films</t>
  </si>
  <si>
    <t>Admission</t>
  </si>
  <si>
    <t>GRUDGE 2</t>
  </si>
  <si>
    <t>BARNYARD</t>
  </si>
  <si>
    <t>BIR F. - DFGS</t>
  </si>
  <si>
    <t>WIND THAT SHAKES THE BARLEY, THE</t>
  </si>
  <si>
    <t>TRANSYLVANIA</t>
  </si>
  <si>
    <t>HOKKABAZ</t>
  </si>
  <si>
    <t>BKM</t>
  </si>
  <si>
    <t>TRUST</t>
  </si>
  <si>
    <t xml:space="preserve"> "Turkey's Weekend Market Datas" chart which is given above displays the number of admissions and box offices of the films which are released in the  stated week by Turkish distributors. The chart and the attached pages is being prepared by Weekly Antrakt Cinema Newspaper as a common acknowledgement of all Turkish distributors. Weekly Antrakt Cinema Newspaper is preparing this chart as collecting all data from distributors and organizing them. It is not permitted to multiply or to sell these data which are displayed on this chart and attachments. It is necessary to ask approval of Weekly Antrakt Cinema Newspaper in order to quote, to copy or to publish.</t>
  </si>
  <si>
    <t>SCIENCE OF SLEEP, THE</t>
  </si>
  <si>
    <t>GAUMONT</t>
  </si>
  <si>
    <t>TAPAS</t>
  </si>
  <si>
    <t>ASKD</t>
  </si>
  <si>
    <t>ANT BULLY</t>
  </si>
  <si>
    <t>OVER THE HEDGE</t>
  </si>
  <si>
    <t>Screen Avg. (Adm.)</t>
  </si>
  <si>
    <t>Release Date</t>
  </si>
  <si>
    <t>Week in Release</t>
  </si>
  <si>
    <t>Avg. Ticket Price</t>
  </si>
  <si>
    <t>G.B.O. YTL</t>
  </si>
  <si>
    <t>FLUSHED AWAY</t>
  </si>
  <si>
    <t>ERAGON</t>
  </si>
  <si>
    <t>STRANGER THAN FICTION</t>
  </si>
  <si>
    <t>MARATHON</t>
  </si>
  <si>
    <t>QUINCEANERA</t>
  </si>
  <si>
    <t>ARTHUR AND THE MINIMOYS</t>
  </si>
  <si>
    <t>BOSS OF IT ALL, THE</t>
  </si>
  <si>
    <t>OPEN SEASON</t>
  </si>
  <si>
    <t>EX YEARS LOCAL RELEASES</t>
  </si>
  <si>
    <t>EX YEARS FOREIGN RELEASES</t>
  </si>
  <si>
    <t>KÜÇÜK KIYAMET</t>
  </si>
  <si>
    <t>DÜNYAYI KURTARAN ADAM'IN OĞLU</t>
  </si>
  <si>
    <t>BEYNELMİLEL</t>
  </si>
  <si>
    <t>97</t>
  </si>
  <si>
    <t>EVE GİDEN YOL 1914</t>
  </si>
  <si>
    <t>NIGHT AT THE MUSEUM</t>
  </si>
  <si>
    <t>CENNETİ BEKLERKEN</t>
  </si>
  <si>
    <t>İLK AŞK</t>
  </si>
  <si>
    <t>ÇİNLİLER GELİYOR</t>
  </si>
  <si>
    <t>PERA</t>
  </si>
  <si>
    <t>EVE DÖNÜŞ</t>
  </si>
  <si>
    <t>YOU, ME AND DUPREE</t>
  </si>
  <si>
    <t>ŞAŞKIN</t>
  </si>
  <si>
    <t>GRAND TOTAL OF 2007</t>
  </si>
  <si>
    <t>D PRODUCTIONS</t>
  </si>
  <si>
    <t>CERTI BAMBINI</t>
  </si>
  <si>
    <t>BELGE FILM</t>
  </si>
  <si>
    <t>January</t>
  </si>
  <si>
    <t>29-04</t>
  </si>
  <si>
    <t>Küçük Kıyamet</t>
  </si>
  <si>
    <t>05-11</t>
  </si>
  <si>
    <t>DEJA VU</t>
  </si>
  <si>
    <t>SCHOOL FOR SCOUNDRELS</t>
  </si>
  <si>
    <t>FILMPOP</t>
  </si>
  <si>
    <t>IBERIA</t>
  </si>
  <si>
    <t>RETURN, THE</t>
  </si>
  <si>
    <t>SHI GAN</t>
  </si>
  <si>
    <t>CINECLICK</t>
  </si>
  <si>
    <t>LORD OF THE RINGS 3, THE</t>
  </si>
  <si>
    <t>NEW LINE</t>
  </si>
  <si>
    <t>LORD OF THE RINGS 2, THE</t>
  </si>
  <si>
    <t>LORD OF THE RINGS 1, THE</t>
  </si>
  <si>
    <t>KADER</t>
  </si>
  <si>
    <t>MAVI</t>
  </si>
  <si>
    <t>STONE COUNCIL, THE</t>
  </si>
  <si>
    <t>MISSION: IMPOSSIBLE 3</t>
  </si>
  <si>
    <t>KNALLHART</t>
  </si>
  <si>
    <t>MARS</t>
  </si>
  <si>
    <t>FEARLESS</t>
  </si>
  <si>
    <t>SILENT HILL</t>
  </si>
  <si>
    <t>Deja Vu</t>
  </si>
  <si>
    <t>BIR F. - CINEMEDYA</t>
  </si>
  <si>
    <t>30</t>
  </si>
  <si>
    <t>MAN OF THE YEAR</t>
  </si>
  <si>
    <t>EVERYONE'S HERO</t>
  </si>
  <si>
    <t>12:08 EAST OF BUCHAREST</t>
  </si>
  <si>
    <t>PARADISE NOW</t>
  </si>
  <si>
    <t>ROBOTS</t>
  </si>
  <si>
    <t>PINK PANTHER</t>
  </si>
  <si>
    <t>WOLF CREEK</t>
  </si>
  <si>
    <t>UNUTULMAYANLAR</t>
  </si>
  <si>
    <t>AKADEMI</t>
  </si>
  <si>
    <t>CLICK</t>
  </si>
  <si>
    <t>CRANK</t>
  </si>
  <si>
    <t>ÖZEN</t>
  </si>
  <si>
    <t>12-18</t>
  </si>
  <si>
    <t>Maskeli Beşler I.R.A.K</t>
  </si>
  <si>
    <t>HOLIDAY, THE</t>
  </si>
  <si>
    <t>19-25</t>
  </si>
  <si>
    <t>Son Osmanlı "Yandım Ali"</t>
  </si>
  <si>
    <t>SON OSMANLI "YANDIM ALİ"</t>
  </si>
  <si>
    <t>EMRET KOMUTANIM ŞAH MAT</t>
  </si>
  <si>
    <t>ALTIOKLAR</t>
  </si>
  <si>
    <t>UMUT - OZEN</t>
  </si>
  <si>
    <t>GUIDE TO RECOGNIZING YOUR SAINTS, A</t>
  </si>
  <si>
    <t>FIRST LOOK</t>
  </si>
  <si>
    <t>HAPPY FEET</t>
  </si>
  <si>
    <t>MK2</t>
  </si>
  <si>
    <t>BITTERSWEET LIFE, A</t>
  </si>
  <si>
    <t>EFLATUN</t>
  </si>
  <si>
    <t>C.R.A.Z.Y.</t>
  </si>
  <si>
    <t>FILMS DIST.</t>
  </si>
  <si>
    <t>ETERNAL SUNSHINE OF THE SPOTLESS MIND</t>
  </si>
  <si>
    <t>GRAND VOYAGE, LE</t>
  </si>
  <si>
    <t>PYRAMIDE</t>
  </si>
  <si>
    <t>HOTEL RWANDA</t>
  </si>
  <si>
    <t>LIONS GATE</t>
  </si>
  <si>
    <t>İKLİMLER</t>
  </si>
  <si>
    <t>CO PRODUCTION</t>
  </si>
  <si>
    <t>KARDAN ADAMLAR</t>
  </si>
  <si>
    <t>PROJE</t>
  </si>
  <si>
    <t>CELLULOID D.</t>
  </si>
  <si>
    <t>VA, VIE &amp; DEVIENS</t>
  </si>
  <si>
    <t>BIR F. - ERMAN F.</t>
  </si>
  <si>
    <t>26-01</t>
  </si>
  <si>
    <t>February</t>
  </si>
  <si>
    <t>Çılgın Dersane</t>
  </si>
  <si>
    <t>one week</t>
  </si>
  <si>
    <t>IRREVERSIBLE</t>
  </si>
  <si>
    <t>EXCEPTION</t>
  </si>
  <si>
    <t>TOMB RAIDER 2</t>
  </si>
  <si>
    <t>MUTUAL</t>
  </si>
  <si>
    <t>DREAMERS, THE</t>
  </si>
  <si>
    <t xml:space="preserve">UMUT SANAT </t>
  </si>
  <si>
    <t>HANWAY</t>
  </si>
  <si>
    <t>SECRET THINGS</t>
  </si>
  <si>
    <t>STRAY DOGS</t>
  </si>
  <si>
    <t>BAMBI 2</t>
  </si>
  <si>
    <t>FATELESS</t>
  </si>
  <si>
    <t>H20</t>
  </si>
  <si>
    <t>COMBIEN TU M'AIMES</t>
  </si>
  <si>
    <t>13 (TZAMETI)</t>
  </si>
  <si>
    <t>AMERİKALILAR KARADENİZ'DE 2</t>
  </si>
  <si>
    <t>ENERGY</t>
  </si>
  <si>
    <t>163</t>
  </si>
  <si>
    <t>BLOOD DIAMOND</t>
  </si>
  <si>
    <t>02-08</t>
  </si>
  <si>
    <t>JOYEUX NOEL</t>
  </si>
  <si>
    <t>LES TEXTILES</t>
  </si>
  <si>
    <t>REEKER, THE</t>
  </si>
  <si>
    <t>STOLEN EYES</t>
  </si>
  <si>
    <t>YAKA FILM</t>
  </si>
  <si>
    <t>BARDA</t>
  </si>
  <si>
    <t>FILMAKAR</t>
  </si>
  <si>
    <t>55</t>
  </si>
  <si>
    <t>FILM POP</t>
  </si>
  <si>
    <t>INCONVENIENT TRUTH, AN</t>
  </si>
  <si>
    <t>MISTRESS OF SPICES</t>
  </si>
  <si>
    <t>09-15</t>
  </si>
  <si>
    <t>ÇILGIN DERSANE</t>
  </si>
  <si>
    <t>YOUNG HANNIBAL</t>
  </si>
  <si>
    <t>NEŞELİ GENÇLİK</t>
  </si>
  <si>
    <t>DEREN</t>
  </si>
  <si>
    <t>BLACK DAHLIA, THE</t>
  </si>
  <si>
    <t>LE GRAND VOYAGE</t>
  </si>
  <si>
    <t>MAVI FILM</t>
  </si>
  <si>
    <t>16-22</t>
  </si>
  <si>
    <t>SEPTEMBER 11</t>
  </si>
  <si>
    <t>BABAM VE OĞLUM</t>
  </si>
  <si>
    <t>AVSAR</t>
  </si>
  <si>
    <t>SEX &amp; PHILOSOPHY</t>
  </si>
  <si>
    <t>ICE AGE 2: THE MELTDOWN</t>
  </si>
  <si>
    <t>NIGHT LISTENER, THE</t>
  </si>
  <si>
    <t>SCANNER DARKLY, A</t>
  </si>
  <si>
    <t>POLİS</t>
  </si>
  <si>
    <t>SHARK BAIT</t>
  </si>
  <si>
    <t>PERFUME: THE STORY OF A MURDERER</t>
  </si>
  <si>
    <t>PAINTED VEIL, THE</t>
  </si>
  <si>
    <t>QUEEN, THE</t>
  </si>
  <si>
    <t>GHOST RIDER</t>
  </si>
  <si>
    <t>AKSOY</t>
  </si>
  <si>
    <t>Hayalet Sürücü</t>
  </si>
  <si>
    <t>23-01</t>
  </si>
  <si>
    <t>GOMEDA</t>
  </si>
  <si>
    <t>DREAMGIRLS</t>
  </si>
  <si>
    <t>SİS VE GECE</t>
  </si>
  <si>
    <t>LETTERS FROM IWO JIMA</t>
  </si>
  <si>
    <t>MILLIONS</t>
  </si>
  <si>
    <t>BEŞ VAKİT</t>
  </si>
  <si>
    <t>ATLANTIK</t>
  </si>
  <si>
    <t>PURSUIT OF HAPPYNESS</t>
  </si>
  <si>
    <t xml:space="preserve">KNALLHART </t>
  </si>
  <si>
    <t>March</t>
  </si>
  <si>
    <t>23 Numara</t>
  </si>
  <si>
    <t>SAME PERIOD IN 2006</t>
  </si>
  <si>
    <t>GENESIS</t>
  </si>
  <si>
    <t>STUDIO CANAL</t>
  </si>
  <si>
    <t>COMME T'Y ES BELLE</t>
  </si>
  <si>
    <t>EUROPA</t>
  </si>
  <si>
    <t>DEPARTED, THE</t>
  </si>
  <si>
    <t>ROMANTİK</t>
  </si>
  <si>
    <t xml:space="preserve">PLATO </t>
  </si>
  <si>
    <t>98</t>
  </si>
  <si>
    <t>ADEM'İN TRENLERİ</t>
  </si>
  <si>
    <t>91</t>
  </si>
  <si>
    <t>74</t>
  </si>
  <si>
    <t>NOTES ON A SCANDAL</t>
  </si>
  <si>
    <t>LAST KING OF SCOTLAND, THE</t>
  </si>
  <si>
    <t>62</t>
  </si>
  <si>
    <t>MAVİ GÖZLÜ DEV</t>
  </si>
  <si>
    <t>NUMBER 23, THE</t>
  </si>
  <si>
    <t>ALPHA DOG</t>
  </si>
  <si>
    <t>BİR İHTİMAL DAHA VAR</t>
  </si>
  <si>
    <t>CINEMEDYA - ESEK</t>
  </si>
  <si>
    <t>LIVES OF OTHERS, THE</t>
  </si>
  <si>
    <t>18'LER TAKIMI</t>
  </si>
  <si>
    <t>4</t>
  </si>
  <si>
    <t>MOTORCYCLE DIARIES, THE</t>
  </si>
  <si>
    <t>AVSAR FILM</t>
  </si>
  <si>
    <t>YENİ SİNEMACILAR</t>
  </si>
  <si>
    <t>7</t>
  </si>
  <si>
    <t>NEW FRANCE</t>
  </si>
  <si>
    <t>JE NE SUIS PAS LA POUR ETRE AIME</t>
  </si>
  <si>
    <t>REZO</t>
  </si>
  <si>
    <t>PRESTIGE, THE</t>
  </si>
  <si>
    <t>PASSION OF JOSHUA THE JEW, THE</t>
  </si>
  <si>
    <t>Mavi Gözlü Dev</t>
  </si>
  <si>
    <t>MUTLULUK</t>
  </si>
  <si>
    <t>ANS</t>
  </si>
  <si>
    <t>BRIDGE TO TERABETHIA</t>
  </si>
  <si>
    <t>KARA</t>
  </si>
  <si>
    <t>ROCKY BALBOA</t>
  </si>
  <si>
    <t>HITCHER, THE</t>
  </si>
  <si>
    <t>UMUT ADASI</t>
  </si>
  <si>
    <t>KARIZMA</t>
  </si>
  <si>
    <t>BETA</t>
  </si>
  <si>
    <t>MUSIC AND LYRICS</t>
  </si>
  <si>
    <t>SHERRYBABY</t>
  </si>
  <si>
    <t>LE TEMPS QUI RESTE</t>
  </si>
  <si>
    <t>PI FILM - CELLULOID</t>
  </si>
  <si>
    <t>DONNIE DARKO</t>
  </si>
  <si>
    <t>PANDORA</t>
  </si>
  <si>
    <t>23-29</t>
  </si>
  <si>
    <t>5</t>
  </si>
  <si>
    <t>TMNT</t>
  </si>
  <si>
    <t>CURSE OF THE GOLDEN FLOWER, THE</t>
  </si>
  <si>
    <t>LITTLE CHILDREN, THE</t>
  </si>
  <si>
    <t>10</t>
  </si>
  <si>
    <t>PULSE</t>
  </si>
  <si>
    <t>TAKESHIS</t>
  </si>
  <si>
    <t>PI FILMCILIK</t>
  </si>
  <si>
    <t>CRYING OUT LOVE
IN THE CENTER OF THE WORLD</t>
  </si>
  <si>
    <t>TOHO</t>
  </si>
  <si>
    <t>AUDITION</t>
  </si>
  <si>
    <t>DOLLS</t>
  </si>
  <si>
    <t>LİMON</t>
  </si>
  <si>
    <t>30-05</t>
  </si>
  <si>
    <t>April</t>
  </si>
  <si>
    <t>Mutluluk</t>
  </si>
  <si>
    <t>MEET THE ROBINSONS</t>
  </si>
  <si>
    <t>APOCALYPTO</t>
  </si>
  <si>
    <t>LIVING AND DYING</t>
  </si>
  <si>
    <t>NEW FILMS</t>
  </si>
  <si>
    <t>ENERGY - SINEVIZYON</t>
  </si>
  <si>
    <t>PARIS, JE T'AIME</t>
  </si>
  <si>
    <t>ARZU - FIDA</t>
  </si>
  <si>
    <t>06-12</t>
  </si>
  <si>
    <t>PREMONITION</t>
  </si>
  <si>
    <t>HYDE PARK</t>
  </si>
  <si>
    <t>90</t>
  </si>
  <si>
    <t>PAN'S LABYRINTH</t>
  </si>
  <si>
    <t>SATURNO CONTRO</t>
  </si>
  <si>
    <t>AFS</t>
  </si>
  <si>
    <t>TELL NO ONE</t>
  </si>
  <si>
    <t>AURA</t>
  </si>
  <si>
    <t>GOOD SHEPERD, THE</t>
  </si>
  <si>
    <t>UGLY DUCKLING AND ME, THE</t>
  </si>
  <si>
    <t>ABONDONEMENT, THE</t>
  </si>
  <si>
    <t>DEATH OF A PRESIDENT</t>
  </si>
  <si>
    <t>A.E. FILM</t>
  </si>
  <si>
    <t>MANDERLAY</t>
  </si>
  <si>
    <t>GRBAVICA</t>
  </si>
  <si>
    <t>IRFAN</t>
  </si>
  <si>
    <t>PRINCESS</t>
  </si>
  <si>
    <t>Sıra Dışı</t>
  </si>
  <si>
    <t>13-19</t>
  </si>
  <si>
    <t>Messengers, The</t>
  </si>
  <si>
    <t>MANDATE</t>
  </si>
  <si>
    <t>NORBIT</t>
  </si>
  <si>
    <t>ZİNCİRBOZAN</t>
  </si>
  <si>
    <t>TURKMAX</t>
  </si>
  <si>
    <t>99</t>
  </si>
  <si>
    <t>BECAUSE I SAID SO</t>
  </si>
  <si>
    <t>42</t>
  </si>
  <si>
    <t>BLACK BOOK</t>
  </si>
  <si>
    <t>SEVGİLİM İSTANBUL</t>
  </si>
  <si>
    <t>RENAISSANCE</t>
  </si>
  <si>
    <t>BELGE</t>
  </si>
  <si>
    <t>COMPANY, THE</t>
  </si>
  <si>
    <t>AVSAR FILM - TMC</t>
  </si>
  <si>
    <t>AE FOND KISS</t>
  </si>
  <si>
    <t>20-26</t>
  </si>
  <si>
    <t>3</t>
  </si>
  <si>
    <t>PARS: KİRAZ OPERASYONU</t>
  </si>
  <si>
    <t>SINEGRAF</t>
  </si>
  <si>
    <t>PERFECT STRANGER</t>
  </si>
  <si>
    <t>ASTERIX AND THE VIKINGS</t>
  </si>
  <si>
    <t>SUMMER RAIN</t>
  </si>
  <si>
    <t>IFR - PROMETE</t>
  </si>
  <si>
    <t>Pars: Kiraz Operasyonu</t>
  </si>
  <si>
    <t>27-03</t>
  </si>
  <si>
    <t>May</t>
  </si>
  <si>
    <t>NEXT</t>
  </si>
  <si>
    <t>REAPING</t>
  </si>
  <si>
    <t>WILD HOGS</t>
  </si>
  <si>
    <t>MESSENGERS, THE</t>
  </si>
  <si>
    <t>LITTLE MISS SUNSHINE</t>
  </si>
  <si>
    <t>COPYING BEETHOVEN</t>
  </si>
  <si>
    <t>13</t>
  </si>
  <si>
    <t>9</t>
  </si>
  <si>
    <t>7. SANAT</t>
  </si>
  <si>
    <t>NAMESAKE, THE</t>
  </si>
  <si>
    <t>04-10</t>
  </si>
  <si>
    <t>*Dağıtımcı firmalardan R Film ve Barbar Film bu hafta film dağıtmamıştır.</t>
  </si>
  <si>
    <t>BEST LINE PICTURES</t>
  </si>
  <si>
    <t>SPIDER-MAN 3</t>
  </si>
  <si>
    <t>SÖZÜN BİTTİĞİ YER</t>
  </si>
  <si>
    <t>ELEMANTARY PARTICLES</t>
  </si>
  <si>
    <t>11</t>
  </si>
  <si>
    <t>KINGDOM OF HEAVEN</t>
  </si>
  <si>
    <t>SCIENCE OF SLEEP</t>
  </si>
  <si>
    <t>16</t>
  </si>
  <si>
    <t>11-17</t>
  </si>
  <si>
    <t>6</t>
  </si>
  <si>
    <t>075 FILMS SHOWN</t>
  </si>
  <si>
    <t>ASKD - PYRAMIDE</t>
  </si>
  <si>
    <t>SHOOTER</t>
  </si>
  <si>
    <t>BREACH</t>
  </si>
  <si>
    <t>36</t>
  </si>
  <si>
    <t>ONE MISSED CALL: FINAL</t>
  </si>
  <si>
    <t>SUNSHINE</t>
  </si>
  <si>
    <t>FOUNTAIN, THE</t>
  </si>
  <si>
    <t>HISTORY BOYS, THE</t>
  </si>
  <si>
    <t>15</t>
  </si>
  <si>
    <t>JE M'APPELLE ELISABETH</t>
  </si>
  <si>
    <t>BREAKING AND ENTERING</t>
  </si>
  <si>
    <t>18-24</t>
  </si>
  <si>
    <t>12</t>
  </si>
  <si>
    <t>079 FILMS SHOWN</t>
  </si>
  <si>
    <t>FRACTURE</t>
  </si>
  <si>
    <t>49</t>
  </si>
  <si>
    <t>MR BEAN'S HOLIDAY</t>
  </si>
  <si>
    <t>IMPY'S ISLAND</t>
  </si>
  <si>
    <t>ZODIAC</t>
  </si>
  <si>
    <t xml:space="preserve">HILLS HAVE EYES 2 </t>
  </si>
  <si>
    <t>BESTLINE</t>
  </si>
  <si>
    <t>ISTANBUL GUNESI</t>
  </si>
  <si>
    <t>DOWNFALL</t>
  </si>
  <si>
    <t>ERMAN</t>
  </si>
  <si>
    <t>DESCENT, THE</t>
  </si>
  <si>
    <t>DEREN MEDYA</t>
  </si>
  <si>
    <t>OYUN</t>
  </si>
  <si>
    <t>SINE FILM</t>
  </si>
  <si>
    <r>
      <t xml:space="preserve">2007 Türkiye Annual Box Office Report  </t>
    </r>
    <r>
      <rPr>
        <sz val="16"/>
        <color indexed="9"/>
        <rFont val="Impact"/>
        <family val="2"/>
      </rPr>
      <t>29 Dec' '06 - 31 May' '07</t>
    </r>
  </si>
  <si>
    <r>
      <t>2007 Türkiye Ex Years Releases Annual Box Office Report</t>
    </r>
    <r>
      <rPr>
        <sz val="26"/>
        <color indexed="9"/>
        <rFont val="Impact"/>
        <family val="2"/>
      </rPr>
      <t xml:space="preserve">  </t>
    </r>
    <r>
      <rPr>
        <sz val="16"/>
        <color indexed="9"/>
        <rFont val="Impact"/>
        <family val="2"/>
      </rPr>
      <t>29 Dec' 06 - 31 May' '07</t>
    </r>
  </si>
  <si>
    <t>25-31</t>
  </si>
  <si>
    <t>AVŞAR FILM</t>
  </si>
  <si>
    <t>21</t>
  </si>
  <si>
    <t xml:space="preserve">Elimize ulaşan en son rapor zamanı: 19.29 </t>
  </si>
  <si>
    <t>Örümcek Adam 3</t>
  </si>
  <si>
    <t>Karayip Korsanları: Dünyanın Sonu</t>
  </si>
  <si>
    <t>PIRATES OF THE CARIBBEAN: AT WORLD'S END</t>
  </si>
  <si>
    <t>CASHBACK</t>
  </si>
  <si>
    <t>20</t>
  </si>
  <si>
    <t>AVSARFILM</t>
  </si>
  <si>
    <t>19</t>
  </si>
  <si>
    <t>FIND ME GUILTY</t>
  </si>
  <si>
    <t>SYNDICATE</t>
  </si>
  <si>
    <t>SECKIN YASAR</t>
  </si>
  <si>
    <t>MASKELİ BEŞLER I.R.A.K.</t>
  </si>
  <si>
    <t>PRA</t>
  </si>
  <si>
    <t>527 times</t>
  </si>
</sst>
</file>

<file path=xl/styles.xml><?xml version="1.0" encoding="utf-8"?>
<styleSheet xmlns="http://schemas.openxmlformats.org/spreadsheetml/2006/main">
  <numFmts count="51">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dd\-mmm\-yy"/>
    <numFmt numFmtId="181" formatCode="_(* #,##0_);_(* \(#,##0\);_(* &quot;-&quot;??_);_(@_)"/>
    <numFmt numFmtId="182" formatCode="_-* #,##0\ _T_L_-;\-* #,##0\ _T_L_-;_-* &quot;-&quot;??\ _T_L_-;_-@_-"/>
    <numFmt numFmtId="183" formatCode="mm/dd/yy"/>
    <numFmt numFmtId="184" formatCode="dd/mm/yy"/>
    <numFmt numFmtId="185" formatCode="#,##0\ \ "/>
    <numFmt numFmtId="186" formatCode="#,##0_ ;[Red]\-#,##0\ "/>
    <numFmt numFmtId="187" formatCode="#,##0.00\ \ "/>
    <numFmt numFmtId="188" formatCode="&quot;Yes&quot;;&quot;Yes&quot;;&quot;No&quot;"/>
    <numFmt numFmtId="189" formatCode="&quot;True&quot;;&quot;True&quot;;&quot;False&quot;"/>
    <numFmt numFmtId="190" formatCode="&quot;On&quot;;&quot;On&quot;;&quot;Off&quot;"/>
    <numFmt numFmtId="191" formatCode="[$€-2]\ #,##0.00_);[Red]\([$€-2]\ #,##0.00\)"/>
    <numFmt numFmtId="192" formatCode="0.00\ "/>
    <numFmt numFmtId="193" formatCode="#,##0\ "/>
    <numFmt numFmtId="194" formatCode="[$-41F]d\ mmmm\ yyyy;@"/>
    <numFmt numFmtId="195" formatCode="#,##0.00_ ;\-#,##0.00\ "/>
    <numFmt numFmtId="196" formatCode="#,##0.00\ &quot;YTL&quot;"/>
    <numFmt numFmtId="197" formatCode="dd/mm/yy;@"/>
    <numFmt numFmtId="198" formatCode="#,##0_-"/>
    <numFmt numFmtId="199" formatCode="#,##0.00;[Red]#,##0.00"/>
    <numFmt numFmtId="200" formatCode="#,##0.00\ "/>
    <numFmt numFmtId="201" formatCode="[$-41F]dd\ mmmm\ yyyy\ dddd"/>
    <numFmt numFmtId="202" formatCode="mmm/yyyy"/>
    <numFmt numFmtId="203" formatCode="[$-41F]d\ mmmm\ yy;@"/>
    <numFmt numFmtId="204" formatCode="[$-41F]d\ mmm\ yyyy;@"/>
    <numFmt numFmtId="205" formatCode="[$-41F]dd\ mmmm\ yy;@"/>
    <numFmt numFmtId="206" formatCode="m/d/yyyy"/>
  </numFmts>
  <fonts count="50">
    <font>
      <sz val="10"/>
      <name val="Arial"/>
      <family val="0"/>
    </font>
    <font>
      <u val="single"/>
      <sz val="8"/>
      <color indexed="36"/>
      <name val="Arial"/>
      <family val="0"/>
    </font>
    <font>
      <u val="single"/>
      <sz val="8"/>
      <color indexed="12"/>
      <name val="Arial"/>
      <family val="0"/>
    </font>
    <font>
      <sz val="14"/>
      <name val="Impact"/>
      <family val="2"/>
    </font>
    <font>
      <sz val="12"/>
      <name val="Impact"/>
      <family val="2"/>
    </font>
    <font>
      <sz val="10"/>
      <name val="Impact"/>
      <family val="2"/>
    </font>
    <font>
      <sz val="14"/>
      <name val="Arial"/>
      <family val="2"/>
    </font>
    <font>
      <sz val="40"/>
      <color indexed="9"/>
      <name val="Impact"/>
      <family val="2"/>
    </font>
    <font>
      <sz val="26"/>
      <color indexed="9"/>
      <name val="Impact"/>
      <family val="2"/>
    </font>
    <font>
      <sz val="20"/>
      <color indexed="9"/>
      <name val="Impact"/>
      <family val="2"/>
    </font>
    <font>
      <sz val="16"/>
      <color indexed="9"/>
      <name val="Impact"/>
      <family val="2"/>
    </font>
    <font>
      <b/>
      <sz val="8"/>
      <name val="Trebuchet MS"/>
      <family val="0"/>
    </font>
    <font>
      <sz val="8"/>
      <name val="Trebuchet MS"/>
      <family val="2"/>
    </font>
    <font>
      <b/>
      <sz val="10"/>
      <name val="Arial"/>
      <family val="2"/>
    </font>
    <font>
      <sz val="20"/>
      <name val="Impact"/>
      <family val="2"/>
    </font>
    <font>
      <sz val="10"/>
      <name val="Trebuchet MS"/>
      <family val="2"/>
    </font>
    <font>
      <i/>
      <sz val="9"/>
      <name val="Arial"/>
      <family val="2"/>
    </font>
    <font>
      <b/>
      <sz val="10"/>
      <color indexed="9"/>
      <name val="Trebuchet MS"/>
      <family val="2"/>
    </font>
    <font>
      <sz val="10"/>
      <color indexed="9"/>
      <name val="Trebuchet MS"/>
      <family val="2"/>
    </font>
    <font>
      <sz val="8"/>
      <name val="Arial"/>
      <family val="2"/>
    </font>
    <font>
      <i/>
      <sz val="10"/>
      <color indexed="10"/>
      <name val="Arial"/>
      <family val="2"/>
    </font>
    <font>
      <b/>
      <sz val="14"/>
      <color indexed="18"/>
      <name val="Impact"/>
      <family val="2"/>
    </font>
    <font>
      <b/>
      <sz val="8"/>
      <color indexed="18"/>
      <name val="Trebuchet MS"/>
      <family val="0"/>
    </font>
    <font>
      <b/>
      <sz val="14"/>
      <color indexed="18"/>
      <name val="Arial"/>
      <family val="2"/>
    </font>
    <font>
      <sz val="40"/>
      <color indexed="9"/>
      <name val="Arial"/>
      <family val="2"/>
    </font>
    <font>
      <b/>
      <sz val="10"/>
      <name val="Arial Narrow"/>
      <family val="2"/>
    </font>
    <font>
      <b/>
      <sz val="10"/>
      <color indexed="9"/>
      <name val="Arial Narrow"/>
      <family val="2"/>
    </font>
    <font>
      <b/>
      <sz val="11"/>
      <name val="Arial Narrow"/>
      <family val="2"/>
    </font>
    <font>
      <b/>
      <sz val="11"/>
      <name val="Century Gothic"/>
      <family val="2"/>
    </font>
    <font>
      <b/>
      <sz val="11"/>
      <color indexed="9"/>
      <name val="Arial Narrow"/>
      <family val="2"/>
    </font>
    <font>
      <b/>
      <sz val="11"/>
      <name val="Arial"/>
      <family val="0"/>
    </font>
    <font>
      <b/>
      <sz val="9"/>
      <name val="Trebuchet MS"/>
      <family val="2"/>
    </font>
    <font>
      <sz val="9"/>
      <name val="Arial"/>
      <family val="0"/>
    </font>
    <font>
      <sz val="9"/>
      <name val="Trebuchet MS"/>
      <family val="2"/>
    </font>
    <font>
      <b/>
      <sz val="9"/>
      <name val="Arial Narrow"/>
      <family val="2"/>
    </font>
    <font>
      <b/>
      <sz val="11"/>
      <color indexed="9"/>
      <name val="Century Gothic"/>
      <family val="2"/>
    </font>
    <font>
      <sz val="26"/>
      <name val="Arial"/>
      <family val="0"/>
    </font>
    <font>
      <i/>
      <sz val="10"/>
      <name val="Arial"/>
      <family val="2"/>
    </font>
    <font>
      <b/>
      <sz val="14"/>
      <name val="Impact"/>
      <family val="2"/>
    </font>
    <font>
      <b/>
      <sz val="14"/>
      <name val="Arial"/>
      <family val="2"/>
    </font>
    <font>
      <sz val="10"/>
      <color indexed="9"/>
      <name val="Arial"/>
      <family val="0"/>
    </font>
    <font>
      <b/>
      <sz val="8"/>
      <color indexed="9"/>
      <name val="Trebuchet MS"/>
      <family val="0"/>
    </font>
    <font>
      <b/>
      <sz val="10"/>
      <name val="Trebuchet MS"/>
      <family val="2"/>
    </font>
    <font>
      <sz val="20"/>
      <color indexed="42"/>
      <name val="GoudyLight"/>
      <family val="0"/>
    </font>
    <font>
      <b/>
      <u val="single"/>
      <sz val="10"/>
      <name val="Arial"/>
      <family val="2"/>
    </font>
    <font>
      <sz val="7"/>
      <name val="Impact"/>
      <family val="2"/>
    </font>
    <font>
      <sz val="7"/>
      <color indexed="9"/>
      <name val="Impact"/>
      <family val="2"/>
    </font>
    <font>
      <b/>
      <sz val="9"/>
      <color indexed="10"/>
      <name val="Arial Narrow"/>
      <family val="2"/>
    </font>
    <font>
      <sz val="10"/>
      <color indexed="10"/>
      <name val="Arial"/>
      <family val="0"/>
    </font>
    <font>
      <b/>
      <sz val="9"/>
      <color indexed="12"/>
      <name val="Arial Narrow"/>
      <family val="2"/>
    </font>
  </fonts>
  <fills count="7">
    <fill>
      <patternFill/>
    </fill>
    <fill>
      <patternFill patternType="gray125"/>
    </fill>
    <fill>
      <patternFill patternType="solid">
        <fgColor indexed="8"/>
        <bgColor indexed="64"/>
      </patternFill>
    </fill>
    <fill>
      <patternFill patternType="solid">
        <fgColor indexed="11"/>
        <bgColor indexed="64"/>
      </patternFill>
    </fill>
    <fill>
      <patternFill patternType="solid">
        <fgColor indexed="44"/>
        <bgColor indexed="64"/>
      </patternFill>
    </fill>
    <fill>
      <patternFill patternType="solid">
        <fgColor indexed="42"/>
        <bgColor indexed="64"/>
      </patternFill>
    </fill>
    <fill>
      <patternFill patternType="solid">
        <fgColor indexed="17"/>
        <bgColor indexed="64"/>
      </patternFill>
    </fill>
  </fills>
  <borders count="50">
    <border>
      <left/>
      <right/>
      <top/>
      <bottom/>
      <diagonal/>
    </border>
    <border>
      <left style="hair"/>
      <right style="hair"/>
      <top style="hair"/>
      <bottom style="hair"/>
    </border>
    <border>
      <left style="hair"/>
      <right style="medium"/>
      <top style="hair"/>
      <bottom style="hair"/>
    </border>
    <border>
      <left style="thin"/>
      <right style="thin"/>
      <top style="medium"/>
      <bottom style="thin"/>
    </border>
    <border>
      <left style="hair"/>
      <right style="hair"/>
      <top style="hair"/>
      <bottom style="medium"/>
    </border>
    <border>
      <left>
        <color indexed="63"/>
      </left>
      <right style="hair"/>
      <top style="medium"/>
      <bottom style="hair"/>
    </border>
    <border>
      <left>
        <color indexed="63"/>
      </left>
      <right style="hair"/>
      <top style="hair"/>
      <bottom style="hair"/>
    </border>
    <border>
      <left>
        <color indexed="63"/>
      </left>
      <right style="hair"/>
      <top style="hair"/>
      <bottom style="medium"/>
    </border>
    <border>
      <left style="medium"/>
      <right style="thin"/>
      <top style="medium"/>
      <bottom style="hair"/>
    </border>
    <border>
      <left style="medium"/>
      <right style="thin"/>
      <top style="hair"/>
      <bottom style="hair"/>
    </border>
    <border>
      <left style="medium"/>
      <right style="thin"/>
      <top style="hair"/>
      <bottom style="medium"/>
    </border>
    <border>
      <left style="medium"/>
      <right style="thin"/>
      <top>
        <color indexed="63"/>
      </top>
      <bottom style="hair"/>
    </border>
    <border>
      <left>
        <color indexed="63"/>
      </left>
      <right style="hair"/>
      <top>
        <color indexed="63"/>
      </top>
      <bottom style="hair"/>
    </border>
    <border>
      <left style="hair"/>
      <right style="hair"/>
      <top>
        <color indexed="63"/>
      </top>
      <bottom style="hair"/>
    </border>
    <border>
      <left style="medium"/>
      <right style="thin"/>
      <top style="hair"/>
      <bottom style="thin"/>
    </border>
    <border>
      <left>
        <color indexed="63"/>
      </left>
      <right style="hair"/>
      <top style="hair"/>
      <bottom style="thin"/>
    </border>
    <border>
      <left style="hair"/>
      <right style="hair"/>
      <top style="hair"/>
      <bottom style="thin"/>
    </border>
    <border>
      <left style="hair"/>
      <right style="medium"/>
      <top style="hair"/>
      <bottom style="thin"/>
    </border>
    <border>
      <left style="medium"/>
      <right>
        <color indexed="63"/>
      </right>
      <top style="medium"/>
      <bottom>
        <color indexed="63"/>
      </bottom>
    </border>
    <border>
      <left style="medium"/>
      <right>
        <color indexed="63"/>
      </right>
      <top>
        <color indexed="63"/>
      </top>
      <bottom style="medium"/>
    </border>
    <border>
      <left style="thin"/>
      <right style="thin"/>
      <top style="thin"/>
      <bottom>
        <color indexed="63"/>
      </bottom>
    </border>
    <border>
      <left style="medium"/>
      <right>
        <color indexed="63"/>
      </right>
      <top>
        <color indexed="63"/>
      </top>
      <bottom>
        <color indexed="63"/>
      </bottom>
    </border>
    <border>
      <left style="medium"/>
      <right>
        <color indexed="63"/>
      </right>
      <top style="hair"/>
      <bottom style="hair"/>
    </border>
    <border>
      <left style="hair"/>
      <right style="medium"/>
      <top>
        <color indexed="63"/>
      </top>
      <bottom style="hair"/>
    </border>
    <border>
      <left style="medium"/>
      <right style="hair"/>
      <top style="hair"/>
      <bottom style="hair"/>
    </border>
    <border>
      <left style="medium"/>
      <right style="hair"/>
      <top style="hair"/>
      <bottom style="medium"/>
    </border>
    <border>
      <left style="hair"/>
      <right style="medium"/>
      <top style="hair"/>
      <bottom style="medium"/>
    </border>
    <border>
      <left style="hair"/>
      <right style="hair"/>
      <top style="medium"/>
      <bottom style="hair"/>
    </border>
    <border>
      <left style="hair"/>
      <right>
        <color indexed="63"/>
      </right>
      <top style="hair"/>
      <bottom style="hair"/>
    </border>
    <border>
      <left style="hair"/>
      <right>
        <color indexed="63"/>
      </right>
      <top>
        <color indexed="63"/>
      </top>
      <bottom style="hair"/>
    </border>
    <border>
      <left style="hair"/>
      <right style="medium"/>
      <top style="medium"/>
      <bottom style="hair"/>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medium"/>
    </border>
    <border>
      <left style="medium"/>
      <right>
        <color indexed="63"/>
      </right>
      <top>
        <color indexed="63"/>
      </top>
      <bottom style="hair"/>
    </border>
    <border>
      <left style="medium"/>
      <right>
        <color indexed="63"/>
      </right>
      <top style="hair"/>
      <bottom style="thin"/>
    </border>
    <border>
      <left style="thin"/>
      <right style="medium"/>
      <top style="thin"/>
      <bottom>
        <color indexed="63"/>
      </bottom>
    </border>
    <border>
      <left style="medium"/>
      <right style="hair"/>
      <top style="medium"/>
      <bottom style="hair"/>
    </border>
    <border>
      <left style="medium"/>
      <right style="hair"/>
      <top>
        <color indexed="63"/>
      </top>
      <bottom style="hair"/>
    </border>
    <border>
      <left style="medium"/>
      <right style="hair"/>
      <top style="hair"/>
      <bottom style="thin"/>
    </border>
    <border>
      <left>
        <color indexed="63"/>
      </left>
      <right style="medium"/>
      <top>
        <color indexed="63"/>
      </top>
      <bottom>
        <color indexed="63"/>
      </bottom>
    </border>
    <border>
      <left style="medium"/>
      <right>
        <color indexed="63"/>
      </right>
      <top style="medium"/>
      <bottom style="hair"/>
    </border>
    <border>
      <left style="thin"/>
      <right style="medium"/>
      <top style="medium"/>
      <bottom style="thin"/>
    </border>
    <border>
      <left style="thin"/>
      <right style="thin"/>
      <top style="medium"/>
      <bottom>
        <color indexed="63"/>
      </bottom>
    </border>
    <border>
      <left style="thin"/>
      <right style="thin"/>
      <top>
        <color indexed="63"/>
      </top>
      <bottom>
        <color indexed="63"/>
      </bottom>
    </border>
    <border>
      <left style="thin"/>
      <right>
        <color indexed="63"/>
      </right>
      <top style="medium"/>
      <bottom style="thin"/>
    </border>
    <border>
      <left>
        <color indexed="63"/>
      </left>
      <right style="thin"/>
      <top style="medium"/>
      <bottom style="thin"/>
    </border>
    <border>
      <left style="thin"/>
      <right style="medium"/>
      <top style="medium"/>
      <bottom>
        <color indexed="63"/>
      </bottom>
    </border>
    <border>
      <left style="thin"/>
      <right style="medium"/>
      <top>
        <color indexed="63"/>
      </top>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478">
    <xf numFmtId="0" fontId="0" fillId="0" borderId="0" xfId="0" applyAlignment="1">
      <alignment/>
    </xf>
    <xf numFmtId="43" fontId="3" fillId="0" borderId="0" xfId="15" applyFont="1" applyFill="1" applyBorder="1" applyAlignment="1" applyProtection="1">
      <alignment vertical="center"/>
      <protection/>
    </xf>
    <xf numFmtId="0" fontId="3" fillId="0" borderId="0" xfId="0" applyFont="1" applyFill="1" applyBorder="1" applyAlignment="1" applyProtection="1">
      <alignment vertical="center"/>
      <protection locked="0"/>
    </xf>
    <xf numFmtId="0" fontId="5" fillId="0" borderId="0" xfId="0" applyFont="1" applyFill="1" applyBorder="1" applyAlignment="1" applyProtection="1">
      <alignment horizontal="center" vertical="center"/>
      <protection locked="0"/>
    </xf>
    <xf numFmtId="0" fontId="6" fillId="0" borderId="0" xfId="0" applyFont="1" applyFill="1" applyBorder="1" applyAlignment="1" applyProtection="1">
      <alignment vertical="center"/>
      <protection locked="0"/>
    </xf>
    <xf numFmtId="0" fontId="3" fillId="0" borderId="0"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horizontal="center" vertical="center"/>
      <protection locked="0"/>
    </xf>
    <xf numFmtId="0" fontId="12" fillId="0" borderId="0" xfId="0" applyFont="1" applyFill="1" applyBorder="1" applyAlignment="1" applyProtection="1">
      <alignment vertical="center"/>
      <protection locked="0"/>
    </xf>
    <xf numFmtId="0" fontId="12" fillId="0" borderId="0" xfId="0" applyNumberFormat="1" applyFont="1" applyFill="1" applyBorder="1" applyAlignment="1" applyProtection="1">
      <alignment horizontal="center" vertical="center"/>
      <protection locked="0"/>
    </xf>
    <xf numFmtId="0" fontId="14" fillId="0" borderId="0" xfId="0" applyFont="1" applyFill="1" applyBorder="1" applyAlignment="1" applyProtection="1">
      <alignment vertical="center"/>
      <protection locked="0"/>
    </xf>
    <xf numFmtId="184" fontId="3" fillId="0" borderId="0" xfId="0" applyNumberFormat="1" applyFont="1" applyFill="1" applyBorder="1" applyAlignment="1" applyProtection="1">
      <alignment horizontal="center" vertical="center"/>
      <protection/>
    </xf>
    <xf numFmtId="184" fontId="12" fillId="0" borderId="0" xfId="0" applyNumberFormat="1" applyFont="1" applyFill="1" applyBorder="1" applyAlignment="1" applyProtection="1">
      <alignment horizontal="center" vertical="center"/>
      <protection locked="0"/>
    </xf>
    <xf numFmtId="184" fontId="6" fillId="0" borderId="0" xfId="0" applyNumberFormat="1" applyFont="1" applyFill="1" applyBorder="1" applyAlignment="1" applyProtection="1">
      <alignment horizontal="center" vertical="center"/>
      <protection locked="0"/>
    </xf>
    <xf numFmtId="0" fontId="11" fillId="0" borderId="0" xfId="0" applyFont="1" applyFill="1" applyBorder="1" applyAlignment="1" applyProtection="1">
      <alignment vertical="center"/>
      <protection locked="0"/>
    </xf>
    <xf numFmtId="0" fontId="3" fillId="0" borderId="0" xfId="0" applyFont="1" applyFill="1" applyBorder="1" applyAlignment="1" applyProtection="1">
      <alignment horizontal="left" vertical="center"/>
      <protection/>
    </xf>
    <xf numFmtId="0" fontId="12" fillId="0" borderId="0" xfId="0" applyFont="1" applyFill="1" applyBorder="1" applyAlignment="1" applyProtection="1">
      <alignment horizontal="left" vertical="center"/>
      <protection locked="0"/>
    </xf>
    <xf numFmtId="0" fontId="6" fillId="0" borderId="0" xfId="0" applyFont="1" applyFill="1" applyBorder="1" applyAlignment="1" applyProtection="1">
      <alignment horizontal="left" vertical="center"/>
      <protection locked="0"/>
    </xf>
    <xf numFmtId="187" fontId="4" fillId="0" borderId="0" xfId="0" applyNumberFormat="1" applyFont="1" applyFill="1" applyBorder="1" applyAlignment="1" applyProtection="1">
      <alignment horizontal="right" vertical="center"/>
      <protection/>
    </xf>
    <xf numFmtId="187" fontId="6" fillId="0" borderId="0" xfId="0" applyNumberFormat="1" applyFont="1" applyFill="1" applyBorder="1" applyAlignment="1" applyProtection="1">
      <alignment horizontal="right" vertical="center"/>
      <protection locked="0"/>
    </xf>
    <xf numFmtId="193" fontId="4" fillId="0" borderId="0" xfId="0" applyNumberFormat="1" applyFont="1" applyFill="1" applyBorder="1" applyAlignment="1" applyProtection="1">
      <alignment horizontal="right" vertical="center"/>
      <protection/>
    </xf>
    <xf numFmtId="192" fontId="12" fillId="0" borderId="0" xfId="0" applyNumberFormat="1" applyFont="1" applyFill="1" applyBorder="1" applyAlignment="1" applyProtection="1">
      <alignment vertical="center"/>
      <protection locked="0"/>
    </xf>
    <xf numFmtId="0" fontId="13" fillId="0" borderId="0" xfId="0" applyFont="1" applyBorder="1" applyAlignment="1">
      <alignment horizontal="center" vertical="center"/>
    </xf>
    <xf numFmtId="187" fontId="11" fillId="0" borderId="0" xfId="0" applyNumberFormat="1" applyFont="1" applyFill="1" applyBorder="1" applyAlignment="1" applyProtection="1">
      <alignment horizontal="center" vertical="center"/>
      <protection locked="0"/>
    </xf>
    <xf numFmtId="192" fontId="3" fillId="0" borderId="0" xfId="0" applyNumberFormat="1" applyFont="1" applyFill="1" applyBorder="1" applyAlignment="1" applyProtection="1">
      <alignment vertical="center"/>
      <protection/>
    </xf>
    <xf numFmtId="192" fontId="6" fillId="0" borderId="0" xfId="0" applyNumberFormat="1" applyFont="1" applyFill="1" applyBorder="1" applyAlignment="1" applyProtection="1">
      <alignment vertical="center"/>
      <protection locked="0"/>
    </xf>
    <xf numFmtId="0" fontId="15" fillId="0" borderId="0" xfId="0" applyNumberFormat="1" applyFont="1" applyFill="1" applyBorder="1" applyAlignment="1" applyProtection="1">
      <alignment horizontal="center" vertical="center"/>
      <protection locked="0"/>
    </xf>
    <xf numFmtId="0" fontId="15" fillId="0" borderId="0" xfId="0" applyFont="1" applyFill="1" applyBorder="1" applyAlignment="1" applyProtection="1">
      <alignment vertical="center"/>
      <protection locked="0"/>
    </xf>
    <xf numFmtId="0" fontId="18" fillId="2" borderId="1" xfId="0" applyFont="1" applyFill="1" applyBorder="1" applyAlignment="1">
      <alignment vertical="center"/>
    </xf>
    <xf numFmtId="184" fontId="18" fillId="2" borderId="1" xfId="0" applyNumberFormat="1" applyFont="1" applyFill="1" applyBorder="1" applyAlignment="1">
      <alignment horizontal="center" vertical="center"/>
    </xf>
    <xf numFmtId="0" fontId="18" fillId="2" borderId="1" xfId="0" applyFont="1" applyFill="1" applyBorder="1" applyAlignment="1">
      <alignment horizontal="center" vertical="center"/>
    </xf>
    <xf numFmtId="3" fontId="18" fillId="2" borderId="1" xfId="0" applyNumberFormat="1" applyFont="1" applyFill="1" applyBorder="1" applyAlignment="1">
      <alignment horizontal="center" vertical="center"/>
    </xf>
    <xf numFmtId="192" fontId="18" fillId="2" borderId="1" xfId="0" applyNumberFormat="1" applyFont="1" applyFill="1" applyBorder="1" applyAlignment="1">
      <alignment vertical="center"/>
    </xf>
    <xf numFmtId="193" fontId="11" fillId="0" borderId="0" xfId="0" applyNumberFormat="1" applyFont="1" applyFill="1" applyBorder="1" applyAlignment="1" applyProtection="1">
      <alignment horizontal="right" vertical="center"/>
      <protection locked="0"/>
    </xf>
    <xf numFmtId="193" fontId="12" fillId="0" borderId="0" xfId="0" applyNumberFormat="1" applyFont="1" applyFill="1" applyBorder="1" applyAlignment="1" applyProtection="1">
      <alignment horizontal="right" vertical="center"/>
      <protection locked="0"/>
    </xf>
    <xf numFmtId="193" fontId="3" fillId="0" borderId="0" xfId="0" applyNumberFormat="1" applyFont="1" applyFill="1" applyBorder="1" applyAlignment="1" applyProtection="1">
      <alignment horizontal="right" vertical="center"/>
      <protection/>
    </xf>
    <xf numFmtId="193" fontId="18" fillId="2" borderId="1" xfId="0" applyNumberFormat="1" applyFont="1" applyFill="1" applyBorder="1" applyAlignment="1">
      <alignment horizontal="right" vertical="center"/>
    </xf>
    <xf numFmtId="193" fontId="6" fillId="0" borderId="0" xfId="0" applyNumberFormat="1" applyFont="1" applyFill="1" applyBorder="1" applyAlignment="1" applyProtection="1">
      <alignment horizontal="right" vertical="center"/>
      <protection locked="0"/>
    </xf>
    <xf numFmtId="0" fontId="5" fillId="0" borderId="0" xfId="0" applyFont="1" applyFill="1" applyBorder="1" applyAlignment="1" applyProtection="1">
      <alignment horizontal="center" vertical="center" wrapText="1"/>
      <protection locked="0"/>
    </xf>
    <xf numFmtId="187" fontId="18" fillId="2" borderId="1" xfId="0" applyNumberFormat="1" applyFont="1" applyFill="1" applyBorder="1" applyAlignment="1">
      <alignment horizontal="right" vertical="center"/>
    </xf>
    <xf numFmtId="187" fontId="12" fillId="0" borderId="0" xfId="15" applyNumberFormat="1" applyFont="1" applyFill="1" applyBorder="1" applyAlignment="1" applyProtection="1">
      <alignment horizontal="right" vertical="center"/>
      <protection/>
    </xf>
    <xf numFmtId="192" fontId="3" fillId="0" borderId="0" xfId="0" applyNumberFormat="1" applyFont="1" applyFill="1" applyBorder="1" applyAlignment="1" applyProtection="1">
      <alignment horizontal="right" vertical="center"/>
      <protection/>
    </xf>
    <xf numFmtId="192" fontId="18" fillId="2" borderId="2" xfId="0" applyNumberFormat="1" applyFont="1" applyFill="1" applyBorder="1" applyAlignment="1">
      <alignment horizontal="right" vertical="center"/>
    </xf>
    <xf numFmtId="192" fontId="12" fillId="0" borderId="0" xfId="0" applyNumberFormat="1" applyFont="1" applyFill="1" applyBorder="1" applyAlignment="1" applyProtection="1">
      <alignment horizontal="right" vertical="center"/>
      <protection locked="0"/>
    </xf>
    <xf numFmtId="192" fontId="6" fillId="0" borderId="0" xfId="0" applyNumberFormat="1" applyFont="1" applyFill="1" applyBorder="1" applyAlignment="1" applyProtection="1">
      <alignment horizontal="right" vertical="center"/>
      <protection locked="0"/>
    </xf>
    <xf numFmtId="187" fontId="21" fillId="0" borderId="0" xfId="0" applyNumberFormat="1" applyFont="1" applyFill="1" applyBorder="1" applyAlignment="1" applyProtection="1">
      <alignment horizontal="right" vertical="center"/>
      <protection/>
    </xf>
    <xf numFmtId="187" fontId="17" fillId="2" borderId="1" xfId="0" applyNumberFormat="1" applyFont="1" applyFill="1" applyBorder="1" applyAlignment="1">
      <alignment horizontal="right" vertical="center"/>
    </xf>
    <xf numFmtId="187" fontId="22" fillId="0" borderId="0" xfId="0" applyNumberFormat="1" applyFont="1" applyFill="1" applyBorder="1" applyAlignment="1" applyProtection="1">
      <alignment horizontal="right" vertical="center"/>
      <protection locked="0"/>
    </xf>
    <xf numFmtId="187" fontId="23" fillId="0" borderId="0" xfId="0" applyNumberFormat="1" applyFont="1" applyFill="1" applyBorder="1" applyAlignment="1" applyProtection="1">
      <alignment horizontal="right" vertical="center"/>
      <protection locked="0"/>
    </xf>
    <xf numFmtId="0" fontId="0" fillId="0" borderId="0" xfId="0" applyFont="1" applyBorder="1" applyAlignment="1">
      <alignment horizontal="center"/>
    </xf>
    <xf numFmtId="0" fontId="0" fillId="0" borderId="0" xfId="0" applyBorder="1" applyAlignment="1">
      <alignment horizontal="center" vertical="center"/>
    </xf>
    <xf numFmtId="1" fontId="25" fillId="0" borderId="0" xfId="0" applyNumberFormat="1" applyFont="1" applyFill="1" applyBorder="1" applyAlignment="1" applyProtection="1">
      <alignment horizontal="right" vertical="center"/>
      <protection/>
    </xf>
    <xf numFmtId="1" fontId="25" fillId="0" borderId="0" xfId="0" applyNumberFormat="1" applyFont="1" applyFill="1" applyBorder="1" applyAlignment="1" applyProtection="1">
      <alignment horizontal="right" vertical="center"/>
      <protection locked="0"/>
    </xf>
    <xf numFmtId="0" fontId="28" fillId="0" borderId="3" xfId="0" applyNumberFormat="1" applyFont="1" applyFill="1" applyBorder="1" applyAlignment="1" applyProtection="1">
      <alignment horizontal="center" vertical="center" wrapText="1"/>
      <protection/>
    </xf>
    <xf numFmtId="4" fontId="31" fillId="0" borderId="1" xfId="0" applyNumberFormat="1" applyFont="1" applyFill="1" applyBorder="1" applyAlignment="1" applyProtection="1">
      <alignment horizontal="right" vertical="center" indent="1"/>
      <protection locked="0"/>
    </xf>
    <xf numFmtId="193" fontId="33" fillId="0" borderId="1" xfId="0" applyNumberFormat="1" applyFont="1" applyFill="1" applyBorder="1" applyAlignment="1" applyProtection="1">
      <alignment horizontal="right" vertical="center" indent="1"/>
      <protection locked="0"/>
    </xf>
    <xf numFmtId="4" fontId="31" fillId="0" borderId="4" xfId="0" applyNumberFormat="1" applyFont="1" applyFill="1" applyBorder="1" applyAlignment="1" applyProtection="1">
      <alignment horizontal="right" vertical="center" indent="1"/>
      <protection locked="0"/>
    </xf>
    <xf numFmtId="193" fontId="33" fillId="0" borderId="4" xfId="0" applyNumberFormat="1" applyFont="1" applyFill="1" applyBorder="1" applyAlignment="1" applyProtection="1">
      <alignment horizontal="right" vertical="center" indent="1"/>
      <protection locked="0"/>
    </xf>
    <xf numFmtId="0" fontId="31" fillId="0" borderId="5" xfId="0" applyFont="1" applyFill="1" applyBorder="1" applyAlignment="1" applyProtection="1">
      <alignment horizontal="center" vertical="center"/>
      <protection locked="0"/>
    </xf>
    <xf numFmtId="0" fontId="33" fillId="0" borderId="6" xfId="0" applyFont="1" applyFill="1" applyBorder="1" applyAlignment="1" applyProtection="1">
      <alignment horizontal="right" vertical="center"/>
      <protection locked="0"/>
    </xf>
    <xf numFmtId="0" fontId="33" fillId="0" borderId="7" xfId="0" applyFont="1" applyFill="1" applyBorder="1" applyAlignment="1" applyProtection="1">
      <alignment horizontal="right" vertical="center"/>
      <protection locked="0"/>
    </xf>
    <xf numFmtId="1" fontId="34" fillId="0" borderId="8" xfId="0" applyNumberFormat="1" applyFont="1" applyFill="1" applyBorder="1" applyAlignment="1" applyProtection="1">
      <alignment horizontal="right" vertical="center"/>
      <protection locked="0"/>
    </xf>
    <xf numFmtId="1" fontId="34" fillId="0" borderId="9" xfId="0" applyNumberFormat="1" applyFont="1" applyFill="1" applyBorder="1" applyAlignment="1" applyProtection="1">
      <alignment horizontal="right" vertical="center"/>
      <protection/>
    </xf>
    <xf numFmtId="1" fontId="34" fillId="0" borderId="10" xfId="0" applyNumberFormat="1" applyFont="1" applyFill="1" applyBorder="1" applyAlignment="1" applyProtection="1">
      <alignment horizontal="right" vertical="center"/>
      <protection/>
    </xf>
    <xf numFmtId="1" fontId="34" fillId="0" borderId="11" xfId="0" applyNumberFormat="1" applyFont="1" applyFill="1" applyBorder="1" applyAlignment="1" applyProtection="1">
      <alignment horizontal="right" vertical="center"/>
      <protection/>
    </xf>
    <xf numFmtId="0" fontId="33" fillId="0" borderId="12" xfId="0" applyFont="1" applyFill="1" applyBorder="1" applyAlignment="1" applyProtection="1">
      <alignment horizontal="right" vertical="center"/>
      <protection locked="0"/>
    </xf>
    <xf numFmtId="4" fontId="31" fillId="0" borderId="13" xfId="0" applyNumberFormat="1" applyFont="1" applyFill="1" applyBorder="1" applyAlignment="1" applyProtection="1">
      <alignment horizontal="right" vertical="center" indent="1"/>
      <protection locked="0"/>
    </xf>
    <xf numFmtId="193" fontId="33" fillId="0" borderId="13" xfId="0" applyNumberFormat="1" applyFont="1" applyFill="1" applyBorder="1" applyAlignment="1" applyProtection="1">
      <alignment horizontal="right" vertical="center" indent="1"/>
      <protection locked="0"/>
    </xf>
    <xf numFmtId="1" fontId="34" fillId="0" borderId="14" xfId="0" applyNumberFormat="1" applyFont="1" applyFill="1" applyBorder="1" applyAlignment="1" applyProtection="1">
      <alignment horizontal="right" vertical="center"/>
      <protection locked="0"/>
    </xf>
    <xf numFmtId="0" fontId="31" fillId="0" borderId="15" xfId="0" applyFont="1" applyFill="1" applyBorder="1" applyAlignment="1" applyProtection="1">
      <alignment horizontal="center" vertical="center"/>
      <protection locked="0"/>
    </xf>
    <xf numFmtId="184" fontId="31" fillId="0" borderId="16" xfId="0" applyNumberFormat="1" applyFont="1" applyFill="1" applyBorder="1" applyAlignment="1" applyProtection="1">
      <alignment horizontal="center" vertical="center"/>
      <protection locked="0"/>
    </xf>
    <xf numFmtId="0" fontId="31" fillId="0" borderId="16" xfId="0" applyFont="1" applyFill="1" applyBorder="1" applyAlignment="1" applyProtection="1">
      <alignment horizontal="center" vertical="center"/>
      <protection locked="0"/>
    </xf>
    <xf numFmtId="0" fontId="31" fillId="0" borderId="17" xfId="0" applyNumberFormat="1" applyFont="1" applyFill="1" applyBorder="1" applyAlignment="1" applyProtection="1">
      <alignment horizontal="center" vertical="center" wrapText="1"/>
      <protection locked="0"/>
    </xf>
    <xf numFmtId="0" fontId="0" fillId="0" borderId="0" xfId="0" applyAlignment="1">
      <alignment vertical="center" readingOrder="1"/>
    </xf>
    <xf numFmtId="0" fontId="0" fillId="0" borderId="0" xfId="0" applyAlignment="1">
      <alignment horizontal="right" vertical="center"/>
    </xf>
    <xf numFmtId="1" fontId="27" fillId="0" borderId="18" xfId="0" applyNumberFormat="1" applyFont="1" applyFill="1" applyBorder="1" applyAlignment="1" applyProtection="1">
      <alignment horizontal="center" vertical="center" wrapText="1"/>
      <protection/>
    </xf>
    <xf numFmtId="1" fontId="29" fillId="0" borderId="19" xfId="0" applyNumberFormat="1" applyFont="1" applyFill="1" applyBorder="1" applyAlignment="1" applyProtection="1">
      <alignment horizontal="center" vertical="center" wrapText="1"/>
      <protection/>
    </xf>
    <xf numFmtId="187" fontId="28" fillId="0" borderId="20" xfId="0" applyNumberFormat="1" applyFont="1" applyFill="1" applyBorder="1" applyAlignment="1" applyProtection="1">
      <alignment horizontal="center" vertical="center" wrapText="1"/>
      <protection/>
    </xf>
    <xf numFmtId="193" fontId="28" fillId="0" borderId="20" xfId="0" applyNumberFormat="1" applyFont="1" applyFill="1" applyBorder="1" applyAlignment="1" applyProtection="1">
      <alignment horizontal="center" vertical="center" wrapText="1"/>
      <protection/>
    </xf>
    <xf numFmtId="0" fontId="19" fillId="0" borderId="0" xfId="0" applyFont="1" applyBorder="1" applyAlignment="1">
      <alignment vertical="center"/>
    </xf>
    <xf numFmtId="0" fontId="28" fillId="0" borderId="0" xfId="0" applyFont="1" applyFill="1" applyBorder="1" applyAlignment="1">
      <alignment horizontal="center" vertical="center"/>
    </xf>
    <xf numFmtId="0" fontId="0" fillId="0" borderId="0" xfId="0" applyFill="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187" fontId="13" fillId="0" borderId="0" xfId="0" applyNumberFormat="1" applyFont="1" applyFill="1" applyBorder="1" applyAlignment="1">
      <alignment horizontal="right" vertical="center"/>
    </xf>
    <xf numFmtId="192" fontId="0" fillId="0" borderId="0" xfId="0" applyNumberFormat="1" applyFont="1" applyFill="1" applyBorder="1" applyAlignment="1">
      <alignment horizontal="right" vertical="center" indent="1"/>
    </xf>
    <xf numFmtId="0" fontId="0" fillId="0" borderId="0" xfId="0" applyBorder="1" applyAlignment="1">
      <alignment vertical="center"/>
    </xf>
    <xf numFmtId="187" fontId="13" fillId="0" borderId="0" xfId="0" applyNumberFormat="1" applyFont="1" applyBorder="1" applyAlignment="1">
      <alignment horizontal="right" vertical="center"/>
    </xf>
    <xf numFmtId="192" fontId="0" fillId="0" borderId="0" xfId="0" applyNumberFormat="1" applyBorder="1" applyAlignment="1">
      <alignment horizontal="right" vertical="center" indent="1"/>
    </xf>
    <xf numFmtId="0" fontId="0" fillId="0" borderId="0" xfId="0" applyBorder="1" applyAlignment="1">
      <alignment horizontal="right" vertical="center" wrapText="1"/>
    </xf>
    <xf numFmtId="0" fontId="25" fillId="0" borderId="0" xfId="0" applyFont="1" applyFill="1" applyBorder="1" applyAlignment="1">
      <alignment horizontal="right" vertical="center"/>
    </xf>
    <xf numFmtId="0" fontId="25" fillId="0" borderId="0" xfId="0" applyFont="1" applyBorder="1" applyAlignment="1">
      <alignment horizontal="right" vertical="center"/>
    </xf>
    <xf numFmtId="193" fontId="38" fillId="0" borderId="0" xfId="0" applyNumberFormat="1" applyFont="1" applyFill="1" applyBorder="1" applyAlignment="1" applyProtection="1">
      <alignment horizontal="right" vertical="center"/>
      <protection/>
    </xf>
    <xf numFmtId="193" fontId="17" fillId="2" borderId="1" xfId="0" applyNumberFormat="1" applyFont="1" applyFill="1" applyBorder="1" applyAlignment="1">
      <alignment horizontal="right" vertical="center"/>
    </xf>
    <xf numFmtId="193" fontId="39" fillId="0" borderId="0" xfId="0" applyNumberFormat="1" applyFont="1" applyFill="1" applyBorder="1" applyAlignment="1" applyProtection="1">
      <alignment horizontal="right" vertical="center"/>
      <protection locked="0"/>
    </xf>
    <xf numFmtId="0" fontId="25" fillId="0" borderId="18" xfId="0" applyFont="1" applyFill="1" applyBorder="1" applyAlignment="1">
      <alignment horizontal="center" vertical="center"/>
    </xf>
    <xf numFmtId="0" fontId="26" fillId="0" borderId="19" xfId="0" applyFont="1" applyFill="1" applyBorder="1" applyAlignment="1">
      <alignment horizontal="center" vertical="center"/>
    </xf>
    <xf numFmtId="193" fontId="13" fillId="0" borderId="0" xfId="0" applyNumberFormat="1" applyFont="1" applyFill="1" applyBorder="1" applyAlignment="1">
      <alignment horizontal="right" vertical="center" indent="1"/>
    </xf>
    <xf numFmtId="193" fontId="13" fillId="0" borderId="0" xfId="0" applyNumberFormat="1" applyFont="1" applyBorder="1" applyAlignment="1">
      <alignment horizontal="right" vertical="center" indent="1"/>
    </xf>
    <xf numFmtId="0" fontId="28" fillId="0" borderId="18" xfId="0" applyFont="1" applyFill="1" applyBorder="1" applyAlignment="1">
      <alignment horizontal="center" vertical="center"/>
    </xf>
    <xf numFmtId="0" fontId="28" fillId="0" borderId="20" xfId="0" applyNumberFormat="1" applyFont="1" applyFill="1" applyBorder="1" applyAlignment="1">
      <alignment horizontal="center" wrapText="1"/>
    </xf>
    <xf numFmtId="0" fontId="35" fillId="0" borderId="21" xfId="0" applyFont="1" applyFill="1" applyBorder="1" applyAlignment="1">
      <alignment horizontal="center" vertical="center"/>
    </xf>
    <xf numFmtId="1" fontId="25" fillId="0" borderId="22" xfId="0" applyNumberFormat="1" applyFont="1" applyFill="1" applyBorder="1" applyAlignment="1" applyProtection="1">
      <alignment horizontal="right" vertical="center"/>
      <protection/>
    </xf>
    <xf numFmtId="0" fontId="0" fillId="0" borderId="0" xfId="0" applyBorder="1" applyAlignment="1">
      <alignment horizontal="center" vertical="center" wrapText="1"/>
    </xf>
    <xf numFmtId="184" fontId="18" fillId="2" borderId="13" xfId="0" applyNumberFormat="1" applyFont="1" applyFill="1" applyBorder="1" applyAlignment="1">
      <alignment horizontal="center" vertical="center"/>
    </xf>
    <xf numFmtId="0" fontId="18" fillId="2" borderId="13" xfId="0" applyFont="1" applyFill="1" applyBorder="1" applyAlignment="1">
      <alignment horizontal="center" vertical="center"/>
    </xf>
    <xf numFmtId="0" fontId="18" fillId="2" borderId="13" xfId="0" applyFont="1" applyFill="1" applyBorder="1" applyAlignment="1">
      <alignment vertical="center"/>
    </xf>
    <xf numFmtId="3" fontId="18" fillId="2" borderId="13" xfId="0" applyNumberFormat="1" applyFont="1" applyFill="1" applyBorder="1" applyAlignment="1">
      <alignment horizontal="center" vertical="center"/>
    </xf>
    <xf numFmtId="187" fontId="17" fillId="2" borderId="13" xfId="0" applyNumberFormat="1" applyFont="1" applyFill="1" applyBorder="1" applyAlignment="1">
      <alignment horizontal="right" vertical="center"/>
    </xf>
    <xf numFmtId="193" fontId="17" fillId="2" borderId="13" xfId="0" applyNumberFormat="1" applyFont="1" applyFill="1" applyBorder="1" applyAlignment="1">
      <alignment horizontal="right" vertical="center"/>
    </xf>
    <xf numFmtId="193" fontId="18" fillId="2" borderId="13" xfId="0" applyNumberFormat="1" applyFont="1" applyFill="1" applyBorder="1" applyAlignment="1">
      <alignment horizontal="right" vertical="center"/>
    </xf>
    <xf numFmtId="192" fontId="18" fillId="2" borderId="13" xfId="0" applyNumberFormat="1" applyFont="1" applyFill="1" applyBorder="1" applyAlignment="1">
      <alignment vertical="center"/>
    </xf>
    <xf numFmtId="187" fontId="18" fillId="2" borderId="13" xfId="0" applyNumberFormat="1" applyFont="1" applyFill="1" applyBorder="1" applyAlignment="1">
      <alignment horizontal="right" vertical="center"/>
    </xf>
    <xf numFmtId="192" fontId="18" fillId="2" borderId="23" xfId="0" applyNumberFormat="1" applyFont="1" applyFill="1" applyBorder="1" applyAlignment="1">
      <alignment horizontal="right" vertical="center"/>
    </xf>
    <xf numFmtId="0" fontId="41" fillId="0" borderId="0" xfId="0" applyFont="1" applyFill="1" applyBorder="1" applyAlignment="1" applyProtection="1">
      <alignment vertical="center"/>
      <protection locked="0"/>
    </xf>
    <xf numFmtId="184" fontId="15" fillId="0" borderId="1" xfId="0" applyNumberFormat="1" applyFont="1" applyFill="1" applyBorder="1" applyAlignment="1" applyProtection="1">
      <alignment horizontal="center" vertical="center"/>
      <protection locked="0"/>
    </xf>
    <xf numFmtId="184" fontId="15" fillId="0" borderId="1" xfId="0" applyNumberFormat="1" applyFont="1" applyFill="1" applyBorder="1" applyAlignment="1">
      <alignment horizontal="center" vertical="center"/>
    </xf>
    <xf numFmtId="0" fontId="15" fillId="0" borderId="1" xfId="0" applyFont="1" applyFill="1" applyBorder="1" applyAlignment="1">
      <alignment horizontal="center" vertical="center"/>
    </xf>
    <xf numFmtId="184" fontId="15" fillId="0" borderId="1" xfId="0" applyNumberFormat="1" applyFont="1" applyFill="1" applyBorder="1" applyAlignment="1" applyProtection="1">
      <alignment horizontal="center" vertical="center"/>
      <protection/>
    </xf>
    <xf numFmtId="3" fontId="15" fillId="0" borderId="1" xfId="0" applyNumberFormat="1" applyFont="1" applyFill="1" applyBorder="1" applyAlignment="1">
      <alignment horizontal="center" vertical="center"/>
    </xf>
    <xf numFmtId="0" fontId="15" fillId="0" borderId="24" xfId="0" applyFont="1" applyFill="1" applyBorder="1" applyAlignment="1" applyProtection="1">
      <alignment horizontal="left" vertical="center"/>
      <protection/>
    </xf>
    <xf numFmtId="193" fontId="42" fillId="0" borderId="1" xfId="0" applyNumberFormat="1" applyFont="1" applyFill="1" applyBorder="1" applyAlignment="1">
      <alignment horizontal="right" vertical="center"/>
    </xf>
    <xf numFmtId="0" fontId="13" fillId="0" borderId="0" xfId="0" applyFont="1" applyBorder="1" applyAlignment="1">
      <alignment horizontal="right" vertical="center" wrapText="1"/>
    </xf>
    <xf numFmtId="0" fontId="13" fillId="0" borderId="0" xfId="0" applyFont="1" applyAlignment="1">
      <alignment horizontal="right" vertical="center"/>
    </xf>
    <xf numFmtId="0" fontId="13" fillId="0" borderId="0" xfId="0" applyFont="1" applyAlignment="1">
      <alignment vertical="center" readingOrder="1"/>
    </xf>
    <xf numFmtId="0" fontId="15" fillId="0" borderId="1" xfId="0" applyFont="1" applyFill="1" applyBorder="1" applyAlignment="1" applyProtection="1">
      <alignment horizontal="left" vertical="center"/>
      <protection locked="0"/>
    </xf>
    <xf numFmtId="184" fontId="15" fillId="0" borderId="1" xfId="0" applyNumberFormat="1" applyFont="1" applyFill="1" applyBorder="1" applyAlignment="1" applyProtection="1">
      <alignment horizontal="left" vertical="center"/>
      <protection locked="0"/>
    </xf>
    <xf numFmtId="0" fontId="15" fillId="0" borderId="1" xfId="0" applyFont="1" applyFill="1" applyBorder="1" applyAlignment="1">
      <alignment horizontal="left" vertical="center"/>
    </xf>
    <xf numFmtId="49" fontId="15" fillId="0" borderId="1" xfId="0" applyNumberFormat="1" applyFont="1" applyFill="1" applyBorder="1" applyAlignment="1" applyProtection="1">
      <alignment horizontal="left" vertical="center"/>
      <protection locked="0"/>
    </xf>
    <xf numFmtId="0" fontId="15" fillId="0" borderId="1" xfId="0" applyFont="1" applyFill="1" applyBorder="1" applyAlignment="1" applyProtection="1">
      <alignment horizontal="left" vertical="center"/>
      <protection/>
    </xf>
    <xf numFmtId="49" fontId="15" fillId="0" borderId="1" xfId="0" applyNumberFormat="1" applyFont="1" applyFill="1" applyBorder="1" applyAlignment="1">
      <alignment horizontal="left" vertical="center"/>
    </xf>
    <xf numFmtId="197" fontId="15" fillId="0" borderId="1" xfId="0" applyNumberFormat="1" applyFont="1" applyFill="1" applyBorder="1" applyAlignment="1">
      <alignment horizontal="left" vertical="center"/>
    </xf>
    <xf numFmtId="0" fontId="40" fillId="0" borderId="0" xfId="0" applyFont="1" applyFill="1" applyBorder="1" applyAlignment="1">
      <alignment horizontal="center" vertical="center"/>
    </xf>
    <xf numFmtId="0" fontId="15" fillId="0" borderId="0" xfId="0" applyFont="1" applyBorder="1" applyAlignment="1">
      <alignment vertical="center"/>
    </xf>
    <xf numFmtId="0" fontId="15" fillId="0" borderId="0" xfId="0" applyFont="1" applyBorder="1" applyAlignment="1">
      <alignment horizontal="center" vertical="center"/>
    </xf>
    <xf numFmtId="0" fontId="15" fillId="0" borderId="0" xfId="0" applyFont="1" applyFill="1" applyBorder="1" applyAlignment="1">
      <alignment horizontal="center" vertical="center"/>
    </xf>
    <xf numFmtId="0" fontId="17" fillId="2" borderId="1" xfId="0" applyFont="1" applyFill="1" applyBorder="1" applyAlignment="1">
      <alignment horizontal="center" vertical="center"/>
    </xf>
    <xf numFmtId="3" fontId="17" fillId="2" borderId="1" xfId="0" applyNumberFormat="1" applyFont="1" applyFill="1" applyBorder="1" applyAlignment="1">
      <alignment horizontal="center" vertical="center"/>
    </xf>
    <xf numFmtId="0" fontId="42" fillId="0" borderId="1" xfId="0" applyFont="1" applyFill="1" applyBorder="1" applyAlignment="1">
      <alignment horizontal="center" vertical="center"/>
    </xf>
    <xf numFmtId="0" fontId="0" fillId="2" borderId="1" xfId="0" applyFont="1" applyFill="1" applyBorder="1" applyAlignment="1">
      <alignment horizontal="center" vertical="center"/>
    </xf>
    <xf numFmtId="187" fontId="42" fillId="0" borderId="1" xfId="0" applyNumberFormat="1" applyFont="1" applyFill="1" applyBorder="1" applyAlignment="1">
      <alignment horizontal="right" vertical="center"/>
    </xf>
    <xf numFmtId="193" fontId="0" fillId="0" borderId="0" xfId="0" applyNumberFormat="1" applyBorder="1" applyAlignment="1">
      <alignment horizontal="center" vertical="center"/>
    </xf>
    <xf numFmtId="193" fontId="15" fillId="0" borderId="0" xfId="0" applyNumberFormat="1" applyFont="1" applyBorder="1" applyAlignment="1">
      <alignment vertical="center"/>
    </xf>
    <xf numFmtId="193" fontId="0" fillId="0" borderId="0" xfId="0" applyNumberFormat="1" applyBorder="1" applyAlignment="1">
      <alignment vertical="center"/>
    </xf>
    <xf numFmtId="49" fontId="15" fillId="0" borderId="24" xfId="0" applyNumberFormat="1" applyFont="1" applyFill="1" applyBorder="1" applyAlignment="1" applyProtection="1">
      <alignment vertical="center"/>
      <protection locked="0"/>
    </xf>
    <xf numFmtId="0" fontId="15" fillId="0" borderId="1" xfId="0" applyFont="1" applyFill="1" applyBorder="1" applyAlignment="1">
      <alignment horizontal="left"/>
    </xf>
    <xf numFmtId="0" fontId="15" fillId="0" borderId="24" xfId="0" applyFont="1" applyFill="1" applyBorder="1" applyAlignment="1" applyProtection="1">
      <alignment vertical="center"/>
      <protection locked="0"/>
    </xf>
    <xf numFmtId="0" fontId="15" fillId="0" borderId="24" xfId="0" applyFont="1" applyFill="1" applyBorder="1" applyAlignment="1">
      <alignment horizontal="left"/>
    </xf>
    <xf numFmtId="0" fontId="15" fillId="0" borderId="24" xfId="0" applyFont="1" applyFill="1" applyBorder="1" applyAlignment="1">
      <alignment vertical="center"/>
    </xf>
    <xf numFmtId="49" fontId="15" fillId="0" borderId="24" xfId="0" applyNumberFormat="1" applyFont="1" applyFill="1" applyBorder="1" applyAlignment="1">
      <alignment vertical="center"/>
    </xf>
    <xf numFmtId="184" fontId="15" fillId="0" borderId="1" xfId="0" applyNumberFormat="1" applyFont="1" applyFill="1" applyBorder="1" applyAlignment="1">
      <alignment horizontal="center"/>
    </xf>
    <xf numFmtId="184" fontId="0" fillId="0" borderId="0" xfId="0" applyNumberFormat="1" applyAlignment="1">
      <alignment horizontal="center" vertical="center"/>
    </xf>
    <xf numFmtId="49" fontId="33" fillId="0" borderId="13" xfId="0" applyNumberFormat="1" applyFont="1" applyFill="1" applyBorder="1" applyAlignment="1" applyProtection="1">
      <alignment horizontal="center" vertical="center"/>
      <protection locked="0"/>
    </xf>
    <xf numFmtId="49" fontId="33" fillId="0" borderId="1" xfId="0" applyNumberFormat="1" applyFont="1" applyFill="1" applyBorder="1" applyAlignment="1" applyProtection="1">
      <alignment horizontal="center" vertical="center"/>
      <protection locked="0"/>
    </xf>
    <xf numFmtId="49" fontId="33" fillId="0" borderId="4" xfId="0" applyNumberFormat="1" applyFont="1" applyFill="1" applyBorder="1" applyAlignment="1" applyProtection="1">
      <alignment horizontal="center" vertical="center"/>
      <protection locked="0"/>
    </xf>
    <xf numFmtId="193" fontId="42" fillId="0" borderId="2" xfId="15" applyNumberFormat="1" applyFont="1" applyFill="1" applyBorder="1" applyAlignment="1" applyProtection="1">
      <alignment horizontal="right" vertical="center"/>
      <protection locked="0"/>
    </xf>
    <xf numFmtId="193" fontId="42" fillId="0" borderId="2" xfId="0" applyNumberFormat="1" applyFont="1" applyFill="1" applyBorder="1" applyAlignment="1">
      <alignment horizontal="right"/>
    </xf>
    <xf numFmtId="193" fontId="42" fillId="0" borderId="2" xfId="15" applyNumberFormat="1" applyFont="1" applyFill="1" applyBorder="1" applyAlignment="1" applyProtection="1">
      <alignment horizontal="right" vertical="center"/>
      <protection/>
    </xf>
    <xf numFmtId="193" fontId="42" fillId="0" borderId="2" xfId="0" applyNumberFormat="1" applyFont="1" applyFill="1" applyBorder="1" applyAlignment="1">
      <alignment horizontal="right" vertical="center"/>
    </xf>
    <xf numFmtId="193" fontId="42" fillId="0" borderId="2" xfId="0" applyNumberFormat="1" applyFont="1" applyFill="1" applyBorder="1" applyAlignment="1" applyProtection="1">
      <alignment horizontal="right" vertical="center"/>
      <protection/>
    </xf>
    <xf numFmtId="193" fontId="42" fillId="0" borderId="2" xfId="0" applyNumberFormat="1" applyFont="1" applyFill="1" applyBorder="1" applyAlignment="1" applyProtection="1">
      <alignment horizontal="right" vertical="center"/>
      <protection locked="0"/>
    </xf>
    <xf numFmtId="192" fontId="15" fillId="0" borderId="2" xfId="0" applyNumberFormat="1" applyFont="1" applyBorder="1" applyAlignment="1">
      <alignment vertical="center"/>
    </xf>
    <xf numFmtId="192" fontId="17" fillId="2" borderId="2" xfId="0" applyNumberFormat="1" applyFont="1" applyFill="1" applyBorder="1" applyAlignment="1">
      <alignment horizontal="center" vertical="center"/>
    </xf>
    <xf numFmtId="0" fontId="42" fillId="0" borderId="24" xfId="0" applyFont="1" applyFill="1" applyBorder="1" applyAlignment="1">
      <alignment horizontal="right" vertical="center"/>
    </xf>
    <xf numFmtId="0" fontId="25" fillId="2" borderId="24" xfId="0" applyFont="1" applyFill="1" applyBorder="1" applyAlignment="1">
      <alignment horizontal="center" vertical="center"/>
    </xf>
    <xf numFmtId="0" fontId="42" fillId="3" borderId="25" xfId="0" applyFont="1" applyFill="1" applyBorder="1" applyAlignment="1">
      <alignment vertical="center"/>
    </xf>
    <xf numFmtId="0" fontId="42" fillId="3" borderId="4" xfId="0" applyFont="1" applyFill="1" applyBorder="1" applyAlignment="1">
      <alignment vertical="center"/>
    </xf>
    <xf numFmtId="187" fontId="42" fillId="3" borderId="4" xfId="0" applyNumberFormat="1" applyFont="1" applyFill="1" applyBorder="1" applyAlignment="1">
      <alignment vertical="center"/>
    </xf>
    <xf numFmtId="193" fontId="42" fillId="3" borderId="4" xfId="0" applyNumberFormat="1" applyFont="1" applyFill="1" applyBorder="1" applyAlignment="1">
      <alignment vertical="center"/>
    </xf>
    <xf numFmtId="192" fontId="42" fillId="3" borderId="26" xfId="0" applyNumberFormat="1" applyFont="1" applyFill="1" applyBorder="1" applyAlignment="1">
      <alignment vertical="center"/>
    </xf>
    <xf numFmtId="193" fontId="13" fillId="0" borderId="0" xfId="0" applyNumberFormat="1" applyFont="1" applyFill="1" applyBorder="1" applyAlignment="1">
      <alignment horizontal="right" vertical="center"/>
    </xf>
    <xf numFmtId="193" fontId="13" fillId="0" borderId="0" xfId="0" applyNumberFormat="1" applyFont="1" applyBorder="1" applyAlignment="1">
      <alignment horizontal="right" vertical="center"/>
    </xf>
    <xf numFmtId="193" fontId="13" fillId="0" borderId="0" xfId="0" applyNumberFormat="1" applyFont="1" applyBorder="1" applyAlignment="1">
      <alignment horizontal="right" vertical="center" wrapText="1"/>
    </xf>
    <xf numFmtId="193" fontId="13" fillId="0" borderId="0" xfId="0" applyNumberFormat="1" applyFont="1" applyAlignment="1">
      <alignment/>
    </xf>
    <xf numFmtId="0" fontId="31" fillId="0" borderId="0" xfId="0" applyFont="1" applyFill="1" applyBorder="1" applyAlignment="1" applyProtection="1">
      <alignment horizontal="center" vertical="center"/>
      <protection locked="0"/>
    </xf>
    <xf numFmtId="0" fontId="31" fillId="0" borderId="0" xfId="0" applyNumberFormat="1" applyFont="1" applyFill="1" applyBorder="1" applyAlignment="1" applyProtection="1">
      <alignment horizontal="center" vertical="center"/>
      <protection locked="0"/>
    </xf>
    <xf numFmtId="0" fontId="15" fillId="0" borderId="1" xfId="0" applyNumberFormat="1" applyFont="1" applyFill="1" applyBorder="1" applyAlignment="1">
      <alignment horizontal="left" vertical="center"/>
    </xf>
    <xf numFmtId="0" fontId="15" fillId="0" borderId="1" xfId="0" applyNumberFormat="1" applyFont="1" applyFill="1" applyBorder="1" applyAlignment="1" applyProtection="1">
      <alignment horizontal="left" vertical="center"/>
      <protection locked="0"/>
    </xf>
    <xf numFmtId="0" fontId="15" fillId="0" borderId="1" xfId="0" applyNumberFormat="1" applyFont="1" applyFill="1" applyBorder="1" applyAlignment="1" applyProtection="1">
      <alignment horizontal="left" vertical="center"/>
      <protection/>
    </xf>
    <xf numFmtId="0" fontId="15" fillId="0" borderId="24" xfId="0" applyNumberFormat="1" applyFont="1" applyFill="1" applyBorder="1" applyAlignment="1" applyProtection="1">
      <alignment vertical="center"/>
      <protection locked="0"/>
    </xf>
    <xf numFmtId="0" fontId="15" fillId="0" borderId="24" xfId="0" applyNumberFormat="1" applyFont="1" applyFill="1" applyBorder="1" applyAlignment="1">
      <alignment vertical="center"/>
    </xf>
    <xf numFmtId="0" fontId="15" fillId="0" borderId="24" xfId="0" applyNumberFormat="1" applyFont="1" applyFill="1" applyBorder="1" applyAlignment="1" applyProtection="1">
      <alignment vertical="center"/>
      <protection/>
    </xf>
    <xf numFmtId="184" fontId="15" fillId="0" borderId="27" xfId="0" applyNumberFormat="1" applyFont="1" applyFill="1" applyBorder="1" applyAlignment="1">
      <alignment horizontal="center" vertical="center"/>
    </xf>
    <xf numFmtId="0" fontId="26" fillId="0" borderId="21" xfId="0" applyFont="1" applyFill="1" applyBorder="1" applyAlignment="1">
      <alignment horizontal="center" vertical="center"/>
    </xf>
    <xf numFmtId="0" fontId="17" fillId="2" borderId="13" xfId="0" applyFont="1" applyFill="1" applyBorder="1" applyAlignment="1">
      <alignment horizontal="center" vertical="center"/>
    </xf>
    <xf numFmtId="3" fontId="17" fillId="2" borderId="13" xfId="0" applyNumberFormat="1" applyFont="1" applyFill="1" applyBorder="1" applyAlignment="1">
      <alignment horizontal="center" vertical="center"/>
    </xf>
    <xf numFmtId="187" fontId="17" fillId="2" borderId="13" xfId="0" applyNumberFormat="1" applyFont="1" applyFill="1" applyBorder="1" applyAlignment="1">
      <alignment horizontal="center" vertical="center"/>
    </xf>
    <xf numFmtId="193" fontId="17" fillId="2" borderId="13" xfId="0" applyNumberFormat="1" applyFont="1" applyFill="1" applyBorder="1" applyAlignment="1">
      <alignment horizontal="center" vertical="center"/>
    </xf>
    <xf numFmtId="192" fontId="17" fillId="2" borderId="23" xfId="0" applyNumberFormat="1" applyFont="1" applyFill="1" applyBorder="1" applyAlignment="1">
      <alignment horizontal="center" vertical="center"/>
    </xf>
    <xf numFmtId="0" fontId="25" fillId="0" borderId="28" xfId="0" applyFont="1" applyFill="1" applyBorder="1" applyAlignment="1" applyProtection="1">
      <alignment horizontal="right" vertical="center"/>
      <protection/>
    </xf>
    <xf numFmtId="0" fontId="42" fillId="3" borderId="4" xfId="0" applyFont="1" applyFill="1" applyBorder="1" applyAlignment="1">
      <alignment horizontal="center" vertical="center"/>
    </xf>
    <xf numFmtId="0" fontId="25" fillId="0" borderId="22" xfId="0" applyFont="1" applyFill="1" applyBorder="1" applyAlignment="1">
      <alignment horizontal="right" vertical="center"/>
    </xf>
    <xf numFmtId="0" fontId="25" fillId="0" borderId="29" xfId="0" applyFont="1" applyFill="1" applyBorder="1" applyAlignment="1" applyProtection="1">
      <alignment horizontal="right" vertical="center"/>
      <protection/>
    </xf>
    <xf numFmtId="193" fontId="42" fillId="0" borderId="30" xfId="0" applyNumberFormat="1" applyFont="1" applyFill="1" applyBorder="1" applyAlignment="1">
      <alignment vertical="center"/>
    </xf>
    <xf numFmtId="193" fontId="42" fillId="0" borderId="2" xfId="15" applyNumberFormat="1" applyFont="1" applyFill="1" applyBorder="1" applyAlignment="1" applyProtection="1">
      <alignment vertical="center"/>
      <protection locked="0"/>
    </xf>
    <xf numFmtId="193" fontId="42" fillId="0" borderId="2" xfId="0" applyNumberFormat="1" applyFont="1" applyFill="1" applyBorder="1" applyAlignment="1">
      <alignment vertical="center"/>
    </xf>
    <xf numFmtId="193" fontId="42" fillId="0" borderId="2" xfId="15" applyNumberFormat="1" applyFont="1" applyFill="1" applyBorder="1" applyAlignment="1" applyProtection="1">
      <alignment vertical="center"/>
      <protection/>
    </xf>
    <xf numFmtId="193" fontId="42" fillId="0" borderId="2" xfId="0" applyNumberFormat="1" applyFont="1" applyFill="1" applyBorder="1" applyAlignment="1" applyProtection="1">
      <alignment vertical="center"/>
      <protection/>
    </xf>
    <xf numFmtId="193" fontId="42" fillId="0" borderId="2" xfId="0" applyNumberFormat="1" applyFont="1" applyFill="1" applyBorder="1" applyAlignment="1" applyProtection="1">
      <alignment vertical="center"/>
      <protection locked="0"/>
    </xf>
    <xf numFmtId="0" fontId="15" fillId="0" borderId="25" xfId="0" applyFont="1" applyFill="1" applyBorder="1" applyAlignment="1">
      <alignment horizontal="left"/>
    </xf>
    <xf numFmtId="184" fontId="15" fillId="0" borderId="4" xfId="0" applyNumberFormat="1" applyFont="1" applyFill="1" applyBorder="1" applyAlignment="1">
      <alignment horizontal="center"/>
    </xf>
    <xf numFmtId="0" fontId="15" fillId="0" borderId="4" xfId="0" applyFont="1" applyFill="1" applyBorder="1" applyAlignment="1">
      <alignment horizontal="left" vertical="center"/>
    </xf>
    <xf numFmtId="0" fontId="15" fillId="0" borderId="4" xfId="0" applyFont="1" applyFill="1" applyBorder="1" applyAlignment="1">
      <alignment horizontal="left"/>
    </xf>
    <xf numFmtId="193" fontId="42" fillId="0" borderId="26" xfId="0" applyNumberFormat="1" applyFont="1" applyFill="1" applyBorder="1" applyAlignment="1">
      <alignment horizontal="right"/>
    </xf>
    <xf numFmtId="0" fontId="34" fillId="4" borderId="31" xfId="0" applyFont="1" applyFill="1" applyBorder="1" applyAlignment="1">
      <alignment horizontal="right"/>
    </xf>
    <xf numFmtId="49" fontId="34" fillId="4" borderId="32" xfId="0" applyNumberFormat="1" applyFont="1" applyFill="1" applyBorder="1" applyAlignment="1">
      <alignment horizontal="right"/>
    </xf>
    <xf numFmtId="0" fontId="34" fillId="4" borderId="32" xfId="0" applyFont="1" applyFill="1" applyBorder="1" applyAlignment="1">
      <alignment/>
    </xf>
    <xf numFmtId="0" fontId="34" fillId="4" borderId="32" xfId="0" applyFont="1" applyFill="1" applyBorder="1" applyAlignment="1">
      <alignment horizontal="right"/>
    </xf>
    <xf numFmtId="0" fontId="34" fillId="4" borderId="33" xfId="0" applyFont="1" applyFill="1" applyBorder="1" applyAlignment="1">
      <alignment horizontal="right"/>
    </xf>
    <xf numFmtId="0" fontId="34" fillId="5" borderId="31" xfId="0" applyFont="1" applyFill="1" applyBorder="1" applyAlignment="1">
      <alignment horizontal="right"/>
    </xf>
    <xf numFmtId="4" fontId="34" fillId="5" borderId="32" xfId="0" applyNumberFormat="1" applyFont="1" applyFill="1" applyBorder="1" applyAlignment="1">
      <alignment horizontal="right"/>
    </xf>
    <xf numFmtId="3" fontId="34" fillId="5" borderId="33" xfId="0" applyNumberFormat="1" applyFont="1" applyFill="1" applyBorder="1" applyAlignment="1">
      <alignment horizontal="right"/>
    </xf>
    <xf numFmtId="0" fontId="34" fillId="4" borderId="31" xfId="0" applyFont="1" applyFill="1" applyBorder="1" applyAlignment="1">
      <alignment/>
    </xf>
    <xf numFmtId="4" fontId="34" fillId="4" borderId="32" xfId="0" applyNumberFormat="1" applyFont="1" applyFill="1" applyBorder="1" applyAlignment="1">
      <alignment horizontal="right"/>
    </xf>
    <xf numFmtId="3" fontId="34" fillId="4" borderId="32" xfId="0" applyNumberFormat="1" applyFont="1" applyFill="1" applyBorder="1" applyAlignment="1">
      <alignment horizontal="right"/>
    </xf>
    <xf numFmtId="10" fontId="34" fillId="4" borderId="33" xfId="0" applyNumberFormat="1" applyFont="1" applyFill="1" applyBorder="1" applyAlignment="1">
      <alignment horizontal="right"/>
    </xf>
    <xf numFmtId="3" fontId="34" fillId="5" borderId="32" xfId="0" applyNumberFormat="1" applyFont="1" applyFill="1" applyBorder="1" applyAlignment="1">
      <alignment horizontal="right"/>
    </xf>
    <xf numFmtId="10" fontId="34" fillId="5" borderId="33" xfId="0" applyNumberFormat="1" applyFont="1" applyFill="1" applyBorder="1" applyAlignment="1">
      <alignment horizontal="right"/>
    </xf>
    <xf numFmtId="0" fontId="34" fillId="5" borderId="31" xfId="0" applyFont="1" applyFill="1" applyBorder="1" applyAlignment="1">
      <alignment/>
    </xf>
    <xf numFmtId="0" fontId="34" fillId="0" borderId="0" xfId="0" applyFont="1" applyFill="1" applyAlignment="1">
      <alignment/>
    </xf>
    <xf numFmtId="0" fontId="34" fillId="4" borderId="34" xfId="0" applyFont="1" applyFill="1" applyBorder="1" applyAlignment="1">
      <alignment horizontal="right"/>
    </xf>
    <xf numFmtId="0" fontId="34" fillId="5" borderId="34" xfId="0" applyFont="1" applyFill="1" applyBorder="1" applyAlignment="1">
      <alignment horizontal="right"/>
    </xf>
    <xf numFmtId="4" fontId="34" fillId="5" borderId="34" xfId="0" applyNumberFormat="1" applyFont="1" applyFill="1" applyBorder="1" applyAlignment="1">
      <alignment horizontal="right"/>
    </xf>
    <xf numFmtId="3" fontId="34" fillId="5" borderId="34" xfId="0" applyNumberFormat="1" applyFont="1" applyFill="1" applyBorder="1" applyAlignment="1">
      <alignment horizontal="right"/>
    </xf>
    <xf numFmtId="4" fontId="34" fillId="4" borderId="34" xfId="0" applyNumberFormat="1" applyFont="1" applyFill="1" applyBorder="1" applyAlignment="1">
      <alignment horizontal="right"/>
    </xf>
    <xf numFmtId="3" fontId="34" fillId="4" borderId="34" xfId="0" applyNumberFormat="1" applyFont="1" applyFill="1" applyBorder="1" applyAlignment="1">
      <alignment horizontal="right"/>
    </xf>
    <xf numFmtId="10" fontId="34" fillId="4" borderId="34" xfId="0" applyNumberFormat="1" applyFont="1" applyFill="1" applyBorder="1" applyAlignment="1">
      <alignment horizontal="right"/>
    </xf>
    <xf numFmtId="10" fontId="34" fillId="5" borderId="34" xfId="0" applyNumberFormat="1" applyFont="1" applyFill="1" applyBorder="1" applyAlignment="1">
      <alignment horizontal="right"/>
    </xf>
    <xf numFmtId="0" fontId="34" fillId="5" borderId="34" xfId="0" applyFont="1" applyFill="1" applyBorder="1" applyAlignment="1">
      <alignment/>
    </xf>
    <xf numFmtId="0" fontId="34" fillId="4" borderId="0" xfId="0" applyFont="1" applyFill="1" applyAlignment="1">
      <alignment horizontal="right"/>
    </xf>
    <xf numFmtId="49" fontId="34" fillId="4" borderId="0" xfId="0" applyNumberFormat="1" applyFont="1" applyFill="1" applyAlignment="1">
      <alignment horizontal="right"/>
    </xf>
    <xf numFmtId="0" fontId="34" fillId="4" borderId="0" xfId="0" applyFont="1" applyFill="1" applyAlignment="1">
      <alignment/>
    </xf>
    <xf numFmtId="0" fontId="34" fillId="5" borderId="0" xfId="0" applyFont="1" applyFill="1" applyAlignment="1">
      <alignment horizontal="right"/>
    </xf>
    <xf numFmtId="4" fontId="34" fillId="5" borderId="0" xfId="0" applyNumberFormat="1" applyFont="1" applyFill="1" applyAlignment="1">
      <alignment horizontal="right"/>
    </xf>
    <xf numFmtId="3" fontId="34" fillId="5" borderId="0" xfId="0" applyNumberFormat="1" applyFont="1" applyFill="1" applyAlignment="1">
      <alignment horizontal="right"/>
    </xf>
    <xf numFmtId="4" fontId="34" fillId="4" borderId="0" xfId="0" applyNumberFormat="1" applyFont="1" applyFill="1" applyAlignment="1">
      <alignment horizontal="right"/>
    </xf>
    <xf numFmtId="3" fontId="34" fillId="4" borderId="0" xfId="0" applyNumberFormat="1" applyFont="1" applyFill="1" applyAlignment="1">
      <alignment horizontal="right"/>
    </xf>
    <xf numFmtId="10" fontId="34" fillId="4" borderId="0" xfId="0" applyNumberFormat="1" applyFont="1" applyFill="1" applyAlignment="1">
      <alignment horizontal="right"/>
    </xf>
    <xf numFmtId="10" fontId="34" fillId="5" borderId="0" xfId="0" applyNumberFormat="1" applyFont="1" applyFill="1" applyAlignment="1">
      <alignment horizontal="right"/>
    </xf>
    <xf numFmtId="0" fontId="34" fillId="5" borderId="0" xfId="0" applyFont="1" applyFill="1" applyAlignment="1">
      <alignment/>
    </xf>
    <xf numFmtId="0" fontId="15" fillId="0" borderId="24" xfId="0" applyFont="1" applyFill="1" applyBorder="1" applyAlignment="1" applyProtection="1">
      <alignment vertical="center"/>
      <protection/>
    </xf>
    <xf numFmtId="0" fontId="45" fillId="0" borderId="0" xfId="0" applyFont="1" applyFill="1" applyBorder="1" applyAlignment="1" applyProtection="1">
      <alignment vertical="center"/>
      <protection locked="0"/>
    </xf>
    <xf numFmtId="0" fontId="45" fillId="0" borderId="0" xfId="0" applyFont="1" applyFill="1" applyBorder="1" applyAlignment="1" applyProtection="1">
      <alignment vertical="center" wrapText="1"/>
      <protection locked="0"/>
    </xf>
    <xf numFmtId="0" fontId="46" fillId="0" borderId="0" xfId="0" applyFont="1" applyFill="1" applyBorder="1" applyAlignment="1" applyProtection="1">
      <alignment vertical="center"/>
      <protection locked="0"/>
    </xf>
    <xf numFmtId="192" fontId="33" fillId="0" borderId="2" xfId="0" applyNumberFormat="1" applyFont="1" applyFill="1" applyBorder="1" applyAlignment="1" applyProtection="1">
      <alignment horizontal="right" vertical="center"/>
      <protection locked="0"/>
    </xf>
    <xf numFmtId="0" fontId="15" fillId="0" borderId="24" xfId="0" applyFont="1" applyFill="1" applyBorder="1" applyAlignment="1" applyProtection="1">
      <alignment horizontal="left" vertical="center"/>
      <protection locked="0"/>
    </xf>
    <xf numFmtId="0" fontId="15" fillId="0" borderId="24" xfId="0" applyFont="1" applyFill="1" applyBorder="1" applyAlignment="1">
      <alignment horizontal="left" vertical="center"/>
    </xf>
    <xf numFmtId="49" fontId="15" fillId="0" borderId="24" xfId="0" applyNumberFormat="1" applyFont="1" applyFill="1" applyBorder="1" applyAlignment="1">
      <alignment horizontal="left" vertical="center"/>
    </xf>
    <xf numFmtId="49" fontId="15" fillId="0" borderId="24" xfId="0" applyNumberFormat="1" applyFont="1" applyFill="1" applyBorder="1" applyAlignment="1" applyProtection="1">
      <alignment horizontal="left" vertical="center"/>
      <protection locked="0"/>
    </xf>
    <xf numFmtId="200" fontId="42" fillId="0" borderId="1" xfId="0" applyNumberFormat="1" applyFont="1" applyFill="1" applyBorder="1" applyAlignment="1">
      <alignment vertical="center"/>
    </xf>
    <xf numFmtId="200" fontId="42" fillId="0" borderId="1" xfId="15" applyNumberFormat="1" applyFont="1" applyFill="1" applyBorder="1" applyAlignment="1" applyProtection="1">
      <alignment vertical="center"/>
      <protection locked="0"/>
    </xf>
    <xf numFmtId="200" fontId="42" fillId="0" borderId="1" xfId="15" applyNumberFormat="1" applyFont="1" applyFill="1" applyBorder="1" applyAlignment="1" applyProtection="1">
      <alignment vertical="center"/>
      <protection/>
    </xf>
    <xf numFmtId="200" fontId="42" fillId="0" borderId="27" xfId="0" applyNumberFormat="1" applyFont="1" applyFill="1" applyBorder="1" applyAlignment="1">
      <alignment vertical="center"/>
    </xf>
    <xf numFmtId="200" fontId="42" fillId="0" borderId="1" xfId="0" applyNumberFormat="1" applyFont="1" applyFill="1" applyBorder="1" applyAlignment="1">
      <alignment horizontal="right" vertical="center"/>
    </xf>
    <xf numFmtId="200" fontId="42" fillId="0" borderId="1" xfId="15" applyNumberFormat="1" applyFont="1" applyFill="1" applyBorder="1" applyAlignment="1" applyProtection="1">
      <alignment horizontal="right" vertical="center"/>
      <protection locked="0"/>
    </xf>
    <xf numFmtId="200" fontId="42" fillId="0" borderId="1" xfId="0" applyNumberFormat="1" applyFont="1" applyFill="1" applyBorder="1" applyAlignment="1">
      <alignment horizontal="right"/>
    </xf>
    <xf numFmtId="200" fontId="42" fillId="0" borderId="1" xfId="15" applyNumberFormat="1" applyFont="1" applyFill="1" applyBorder="1" applyAlignment="1" applyProtection="1">
      <alignment horizontal="right" vertical="center"/>
      <protection/>
    </xf>
    <xf numFmtId="200" fontId="42" fillId="0" borderId="1" xfId="0" applyNumberFormat="1" applyFont="1" applyFill="1" applyBorder="1" applyAlignment="1" applyProtection="1">
      <alignment vertical="center"/>
      <protection/>
    </xf>
    <xf numFmtId="200" fontId="42" fillId="0" borderId="1" xfId="0" applyNumberFormat="1" applyFont="1" applyFill="1" applyBorder="1" applyAlignment="1" applyProtection="1">
      <alignment horizontal="right" vertical="center"/>
      <protection/>
    </xf>
    <xf numFmtId="200" fontId="42" fillId="0" borderId="1" xfId="0" applyNumberFormat="1" applyFont="1" applyFill="1" applyBorder="1" applyAlignment="1" applyProtection="1">
      <alignment vertical="center"/>
      <protection locked="0"/>
    </xf>
    <xf numFmtId="200" fontId="42" fillId="0" borderId="1" xfId="0" applyNumberFormat="1" applyFont="1" applyFill="1" applyBorder="1" applyAlignment="1" applyProtection="1">
      <alignment horizontal="right" vertical="center"/>
      <protection locked="0"/>
    </xf>
    <xf numFmtId="200" fontId="42" fillId="0" borderId="4" xfId="0" applyNumberFormat="1" applyFont="1" applyFill="1" applyBorder="1" applyAlignment="1">
      <alignment horizontal="right"/>
    </xf>
    <xf numFmtId="200" fontId="17" fillId="2" borderId="13" xfId="0" applyNumberFormat="1" applyFont="1" applyFill="1" applyBorder="1" applyAlignment="1">
      <alignment horizontal="center" vertical="center"/>
    </xf>
    <xf numFmtId="200" fontId="13" fillId="0" borderId="0" xfId="0" applyNumberFormat="1" applyFont="1" applyFill="1" applyBorder="1" applyAlignment="1">
      <alignment horizontal="center" vertical="center"/>
    </xf>
    <xf numFmtId="200" fontId="13" fillId="0" borderId="0" xfId="0" applyNumberFormat="1" applyFont="1" applyBorder="1" applyAlignment="1">
      <alignment horizontal="center" vertical="center"/>
    </xf>
    <xf numFmtId="200" fontId="13" fillId="0" borderId="0" xfId="0" applyNumberFormat="1" applyFont="1" applyBorder="1" applyAlignment="1">
      <alignment horizontal="right" vertical="center" wrapText="1"/>
    </xf>
    <xf numFmtId="200" fontId="13" fillId="0" borderId="0" xfId="0" applyNumberFormat="1" applyFont="1" applyAlignment="1">
      <alignment/>
    </xf>
    <xf numFmtId="192" fontId="15" fillId="0" borderId="2" xfId="22" applyNumberFormat="1" applyFont="1" applyFill="1" applyBorder="1" applyAlignment="1" applyProtection="1">
      <alignment vertical="center"/>
      <protection/>
    </xf>
    <xf numFmtId="184" fontId="15" fillId="0" borderId="4" xfId="0" applyNumberFormat="1" applyFont="1" applyFill="1" applyBorder="1" applyAlignment="1">
      <alignment horizontal="center" vertical="center"/>
    </xf>
    <xf numFmtId="1" fontId="25" fillId="0" borderId="35" xfId="0" applyNumberFormat="1" applyFont="1" applyFill="1" applyBorder="1" applyAlignment="1" applyProtection="1">
      <alignment horizontal="right" vertical="center"/>
      <protection/>
    </xf>
    <xf numFmtId="1" fontId="25" fillId="0" borderId="36" xfId="0" applyNumberFormat="1" applyFont="1" applyFill="1" applyBorder="1" applyAlignment="1" applyProtection="1">
      <alignment horizontal="right" vertical="center"/>
      <protection/>
    </xf>
    <xf numFmtId="184" fontId="15" fillId="0" borderId="1" xfId="0" applyNumberFormat="1" applyFont="1" applyFill="1" applyBorder="1" applyAlignment="1" applyProtection="1">
      <alignment vertical="center"/>
      <protection locked="0"/>
    </xf>
    <xf numFmtId="0" fontId="15" fillId="0" borderId="1" xfId="0" applyFont="1" applyFill="1" applyBorder="1" applyAlignment="1" applyProtection="1">
      <alignment vertical="center"/>
      <protection locked="0"/>
    </xf>
    <xf numFmtId="0" fontId="15" fillId="0" borderId="1" xfId="0" applyFont="1" applyFill="1" applyBorder="1" applyAlignment="1">
      <alignment/>
    </xf>
    <xf numFmtId="49" fontId="15" fillId="0" borderId="1" xfId="0" applyNumberFormat="1" applyFont="1" applyFill="1" applyBorder="1" applyAlignment="1" applyProtection="1">
      <alignment vertical="center"/>
      <protection locked="0"/>
    </xf>
    <xf numFmtId="197" fontId="15" fillId="0" borderId="1" xfId="0" applyNumberFormat="1" applyFont="1" applyFill="1" applyBorder="1" applyAlignment="1">
      <alignment vertical="center"/>
    </xf>
    <xf numFmtId="49" fontId="15" fillId="0" borderId="1" xfId="0" applyNumberFormat="1" applyFont="1" applyFill="1" applyBorder="1" applyAlignment="1">
      <alignment vertical="center"/>
    </xf>
    <xf numFmtId="0" fontId="15" fillId="0" borderId="1" xfId="0" applyNumberFormat="1" applyFont="1" applyFill="1" applyBorder="1" applyAlignment="1" applyProtection="1">
      <alignment horizontal="center" vertical="center"/>
      <protection locked="0"/>
    </xf>
    <xf numFmtId="0" fontId="15" fillId="0" borderId="1" xfId="0" applyFont="1" applyFill="1" applyBorder="1" applyAlignment="1" applyProtection="1">
      <alignment vertical="center"/>
      <protection/>
    </xf>
    <xf numFmtId="200" fontId="28" fillId="0" borderId="20" xfId="0" applyNumberFormat="1" applyFont="1" applyFill="1" applyBorder="1" applyAlignment="1" applyProtection="1">
      <alignment horizontal="center" vertical="center" wrapText="1"/>
      <protection/>
    </xf>
    <xf numFmtId="193" fontId="28" fillId="0" borderId="37" xfId="0" applyNumberFormat="1" applyFont="1" applyFill="1" applyBorder="1" applyAlignment="1" applyProtection="1">
      <alignment horizontal="center" vertical="center" wrapText="1"/>
      <protection/>
    </xf>
    <xf numFmtId="0" fontId="15" fillId="0" borderId="1" xfId="0" applyFont="1" applyFill="1" applyBorder="1" applyAlignment="1">
      <alignment vertical="center"/>
    </xf>
    <xf numFmtId="0" fontId="15" fillId="0" borderId="24" xfId="0" applyFont="1" applyFill="1" applyBorder="1" applyAlignment="1">
      <alignment/>
    </xf>
    <xf numFmtId="0" fontId="25" fillId="0" borderId="35" xfId="0" applyFont="1" applyFill="1" applyBorder="1" applyAlignment="1">
      <alignment horizontal="right" vertical="center"/>
    </xf>
    <xf numFmtId="0" fontId="25" fillId="0" borderId="36" xfId="0" applyFont="1" applyFill="1" applyBorder="1" applyAlignment="1">
      <alignment horizontal="right" vertical="center"/>
    </xf>
    <xf numFmtId="0" fontId="47" fillId="5" borderId="34" xfId="0" applyFont="1" applyFill="1" applyBorder="1" applyAlignment="1">
      <alignment horizontal="right"/>
    </xf>
    <xf numFmtId="4" fontId="47" fillId="5" borderId="34" xfId="0" applyNumberFormat="1" applyFont="1" applyFill="1" applyBorder="1" applyAlignment="1">
      <alignment horizontal="right"/>
    </xf>
    <xf numFmtId="3" fontId="47" fillId="5" borderId="34" xfId="0" applyNumberFormat="1" applyFont="1" applyFill="1" applyBorder="1" applyAlignment="1">
      <alignment horizontal="right"/>
    </xf>
    <xf numFmtId="4" fontId="47" fillId="4" borderId="34" xfId="0" applyNumberFormat="1" applyFont="1" applyFill="1" applyBorder="1" applyAlignment="1">
      <alignment horizontal="right"/>
    </xf>
    <xf numFmtId="3" fontId="47" fillId="4" borderId="34" xfId="0" applyNumberFormat="1" applyFont="1" applyFill="1" applyBorder="1" applyAlignment="1">
      <alignment horizontal="right"/>
    </xf>
    <xf numFmtId="10" fontId="47" fillId="4" borderId="34" xfId="0" applyNumberFormat="1" applyFont="1" applyFill="1" applyBorder="1" applyAlignment="1">
      <alignment horizontal="right"/>
    </xf>
    <xf numFmtId="10" fontId="47" fillId="5" borderId="34" xfId="0" applyNumberFormat="1" applyFont="1" applyFill="1" applyBorder="1" applyAlignment="1">
      <alignment horizontal="right"/>
    </xf>
    <xf numFmtId="0" fontId="47" fillId="4" borderId="34" xfId="0" applyFont="1" applyFill="1" applyBorder="1" applyAlignment="1">
      <alignment horizontal="right"/>
    </xf>
    <xf numFmtId="0" fontId="47" fillId="5" borderId="34" xfId="0" applyFont="1" applyFill="1" applyBorder="1" applyAlignment="1">
      <alignment/>
    </xf>
    <xf numFmtId="0" fontId="47" fillId="0" borderId="0" xfId="0" applyFont="1" applyFill="1" applyAlignment="1">
      <alignment/>
    </xf>
    <xf numFmtId="192" fontId="15" fillId="0" borderId="2" xfId="15" applyNumberFormat="1" applyFont="1" applyFill="1" applyBorder="1" applyAlignment="1" applyProtection="1">
      <alignment vertical="center"/>
      <protection/>
    </xf>
    <xf numFmtId="187" fontId="28" fillId="0" borderId="20" xfId="0" applyNumberFormat="1" applyFont="1" applyFill="1" applyBorder="1" applyAlignment="1" applyProtection="1">
      <alignment horizontal="center" wrapText="1"/>
      <protection/>
    </xf>
    <xf numFmtId="193" fontId="28" fillId="0" borderId="20" xfId="0" applyNumberFormat="1" applyFont="1" applyFill="1" applyBorder="1" applyAlignment="1" applyProtection="1">
      <alignment horizontal="center" wrapText="1"/>
      <protection/>
    </xf>
    <xf numFmtId="192" fontId="28" fillId="0" borderId="20" xfId="0" applyNumberFormat="1" applyFont="1" applyFill="1" applyBorder="1" applyAlignment="1" applyProtection="1">
      <alignment horizontal="center" wrapText="1"/>
      <protection/>
    </xf>
    <xf numFmtId="192" fontId="28" fillId="0" borderId="37" xfId="0" applyNumberFormat="1" applyFont="1" applyFill="1" applyBorder="1" applyAlignment="1" applyProtection="1">
      <alignment horizontal="center" wrapText="1"/>
      <protection/>
    </xf>
    <xf numFmtId="192" fontId="33" fillId="0" borderId="26" xfId="0" applyNumberFormat="1" applyFont="1" applyFill="1" applyBorder="1" applyAlignment="1" applyProtection="1">
      <alignment horizontal="right" vertical="center"/>
      <protection locked="0"/>
    </xf>
    <xf numFmtId="2" fontId="34" fillId="4" borderId="34" xfId="0" applyNumberFormat="1" applyFont="1" applyFill="1" applyBorder="1" applyAlignment="1">
      <alignment/>
    </xf>
    <xf numFmtId="2" fontId="47" fillId="4" borderId="34" xfId="0" applyNumberFormat="1" applyFont="1" applyFill="1" applyBorder="1" applyAlignment="1">
      <alignment/>
    </xf>
    <xf numFmtId="0" fontId="42" fillId="0" borderId="38" xfId="0" applyFont="1" applyFill="1" applyBorder="1" applyAlignment="1" applyProtection="1">
      <alignment horizontal="right" vertical="center"/>
      <protection/>
    </xf>
    <xf numFmtId="0" fontId="15" fillId="0" borderId="27" xfId="0" applyFont="1" applyBorder="1" applyAlignment="1">
      <alignment vertical="center"/>
    </xf>
    <xf numFmtId="0" fontId="15" fillId="0" borderId="27" xfId="0" applyFont="1" applyBorder="1" applyAlignment="1">
      <alignment horizontal="center" vertical="center"/>
    </xf>
    <xf numFmtId="3" fontId="15" fillId="0" borderId="27" xfId="0" applyNumberFormat="1" applyFont="1" applyBorder="1" applyAlignment="1">
      <alignment horizontal="center" vertical="center"/>
    </xf>
    <xf numFmtId="187" fontId="42" fillId="0" borderId="27" xfId="0" applyNumberFormat="1" applyFont="1" applyBorder="1" applyAlignment="1">
      <alignment horizontal="right" vertical="center"/>
    </xf>
    <xf numFmtId="193" fontId="42" fillId="0" borderId="27" xfId="0" applyNumberFormat="1" applyFont="1" applyBorder="1" applyAlignment="1">
      <alignment vertical="center"/>
    </xf>
    <xf numFmtId="192" fontId="15" fillId="0" borderId="30" xfId="0" applyNumberFormat="1" applyFont="1" applyBorder="1" applyAlignment="1">
      <alignment vertical="center"/>
    </xf>
    <xf numFmtId="0" fontId="42" fillId="0" borderId="25" xfId="0" applyFont="1" applyFill="1" applyBorder="1" applyAlignment="1" applyProtection="1">
      <alignment horizontal="right" vertical="center"/>
      <protection/>
    </xf>
    <xf numFmtId="0" fontId="15" fillId="0" borderId="4" xfId="0" applyFont="1" applyBorder="1" applyAlignment="1">
      <alignment vertical="center"/>
    </xf>
    <xf numFmtId="0" fontId="15" fillId="0" borderId="4" xfId="0" applyFont="1" applyBorder="1" applyAlignment="1">
      <alignment horizontal="center" vertical="center"/>
    </xf>
    <xf numFmtId="3" fontId="15" fillId="0" borderId="4" xfId="0" applyNumberFormat="1" applyFont="1" applyBorder="1" applyAlignment="1">
      <alignment horizontal="center" vertical="center"/>
    </xf>
    <xf numFmtId="187" fontId="42" fillId="0" borderId="4" xfId="0" applyNumberFormat="1" applyFont="1" applyBorder="1" applyAlignment="1">
      <alignment horizontal="right" vertical="center"/>
    </xf>
    <xf numFmtId="193" fontId="42" fillId="0" borderId="4" xfId="0" applyNumberFormat="1" applyFont="1" applyBorder="1" applyAlignment="1">
      <alignment vertical="center"/>
    </xf>
    <xf numFmtId="192" fontId="15" fillId="0" borderId="26" xfId="0" applyNumberFormat="1" applyFont="1" applyBorder="1" applyAlignment="1">
      <alignment vertical="center"/>
    </xf>
    <xf numFmtId="4" fontId="15" fillId="0" borderId="1" xfId="0" applyNumberFormat="1" applyFont="1" applyFill="1" applyBorder="1" applyAlignment="1" applyProtection="1">
      <alignment horizontal="left" vertical="center"/>
      <protection locked="0"/>
    </xf>
    <xf numFmtId="1" fontId="15" fillId="0" borderId="1" xfId="0" applyNumberFormat="1" applyFont="1" applyFill="1" applyBorder="1" applyAlignment="1" applyProtection="1">
      <alignment horizontal="center" vertical="center"/>
      <protection locked="0"/>
    </xf>
    <xf numFmtId="4" fontId="15" fillId="0" borderId="1" xfId="0" applyNumberFormat="1" applyFont="1" applyFill="1" applyBorder="1" applyAlignment="1">
      <alignment horizontal="left" vertical="center"/>
    </xf>
    <xf numFmtId="0" fontId="49" fillId="5" borderId="31" xfId="0" applyFont="1" applyFill="1" applyBorder="1" applyAlignment="1">
      <alignment/>
    </xf>
    <xf numFmtId="0" fontId="49" fillId="5" borderId="31" xfId="0" applyFont="1" applyFill="1" applyBorder="1" applyAlignment="1">
      <alignment horizontal="left"/>
    </xf>
    <xf numFmtId="0" fontId="15" fillId="0" borderId="1" xfId="21" applyNumberFormat="1" applyFont="1" applyFill="1" applyBorder="1" applyAlignment="1" applyProtection="1">
      <alignment horizontal="left" vertical="center"/>
      <protection locked="0"/>
    </xf>
    <xf numFmtId="184" fontId="15" fillId="0" borderId="1" xfId="21" applyNumberFormat="1" applyFont="1" applyFill="1" applyBorder="1" applyAlignment="1" applyProtection="1">
      <alignment horizontal="center" vertical="center"/>
      <protection locked="0"/>
    </xf>
    <xf numFmtId="0" fontId="15" fillId="0" borderId="1" xfId="21" applyNumberFormat="1" applyFont="1" applyFill="1" applyBorder="1" applyAlignment="1">
      <alignment horizontal="left" vertical="center"/>
      <protection/>
    </xf>
    <xf numFmtId="184" fontId="15" fillId="0" borderId="1" xfId="21" applyNumberFormat="1" applyFont="1" applyFill="1" applyBorder="1" applyAlignment="1">
      <alignment horizontal="center" vertical="center"/>
      <protection/>
    </xf>
    <xf numFmtId="0" fontId="15" fillId="0" borderId="1" xfId="21" applyNumberFormat="1" applyFont="1" applyFill="1" applyBorder="1" applyAlignment="1">
      <alignment horizontal="center" vertical="center"/>
      <protection/>
    </xf>
    <xf numFmtId="0" fontId="15" fillId="0" borderId="1" xfId="0" applyNumberFormat="1" applyFont="1" applyFill="1" applyBorder="1" applyAlignment="1">
      <alignment horizontal="center" vertical="center"/>
    </xf>
    <xf numFmtId="0" fontId="15" fillId="0" borderId="1" xfId="21" applyNumberFormat="1" applyFont="1" applyFill="1" applyBorder="1" applyAlignment="1" applyProtection="1">
      <alignment horizontal="left" vertical="center"/>
      <protection/>
    </xf>
    <xf numFmtId="184" fontId="15" fillId="0" borderId="1" xfId="21" applyNumberFormat="1" applyFont="1" applyFill="1" applyBorder="1" applyAlignment="1" applyProtection="1">
      <alignment horizontal="center" vertical="center"/>
      <protection/>
    </xf>
    <xf numFmtId="0" fontId="15" fillId="0" borderId="24" xfId="21" applyNumberFormat="1" applyFont="1" applyFill="1" applyBorder="1" applyAlignment="1" applyProtection="1">
      <alignment horizontal="left" vertical="center"/>
      <protection locked="0"/>
    </xf>
    <xf numFmtId="0" fontId="15" fillId="0" borderId="24" xfId="21" applyNumberFormat="1" applyFont="1" applyFill="1" applyBorder="1" applyAlignment="1">
      <alignment horizontal="left" vertical="center"/>
      <protection/>
    </xf>
    <xf numFmtId="192" fontId="15" fillId="0" borderId="2" xfId="0" applyNumberFormat="1" applyFont="1" applyFill="1" applyBorder="1" applyAlignment="1">
      <alignment vertical="center"/>
    </xf>
    <xf numFmtId="0" fontId="15" fillId="0" borderId="24" xfId="0" applyNumberFormat="1" applyFont="1" applyFill="1" applyBorder="1" applyAlignment="1" applyProtection="1">
      <alignment horizontal="left" vertical="center"/>
      <protection locked="0"/>
    </xf>
    <xf numFmtId="0" fontId="15" fillId="0" borderId="24" xfId="0" applyNumberFormat="1" applyFont="1" applyFill="1" applyBorder="1" applyAlignment="1">
      <alignment horizontal="left" vertical="center"/>
    </xf>
    <xf numFmtId="0" fontId="15" fillId="0" borderId="24" xfId="21" applyNumberFormat="1" applyFont="1" applyFill="1" applyBorder="1" applyAlignment="1" applyProtection="1">
      <alignment horizontal="left" vertical="center"/>
      <protection/>
    </xf>
    <xf numFmtId="200" fontId="42" fillId="0" borderId="1" xfId="21" applyNumberFormat="1" applyFont="1" applyFill="1" applyBorder="1" applyAlignment="1">
      <alignment vertical="center"/>
      <protection/>
    </xf>
    <xf numFmtId="200" fontId="42" fillId="0" borderId="1" xfId="21" applyNumberFormat="1" applyFont="1" applyFill="1" applyBorder="1" applyAlignment="1" applyProtection="1">
      <alignment vertical="center"/>
      <protection/>
    </xf>
    <xf numFmtId="193" fontId="42" fillId="0" borderId="2" xfId="21" applyNumberFormat="1" applyFont="1" applyFill="1" applyBorder="1" applyAlignment="1">
      <alignment vertical="center"/>
      <protection/>
    </xf>
    <xf numFmtId="193" fontId="42" fillId="0" borderId="2" xfId="21" applyNumberFormat="1" applyFont="1" applyFill="1" applyBorder="1" applyAlignment="1" applyProtection="1">
      <alignment vertical="center"/>
      <protection/>
    </xf>
    <xf numFmtId="0" fontId="15" fillId="0" borderId="1" xfId="0" applyNumberFormat="1" applyFont="1" applyFill="1" applyBorder="1" applyAlignment="1" applyProtection="1">
      <alignment horizontal="center" vertical="center"/>
      <protection/>
    </xf>
    <xf numFmtId="0" fontId="15" fillId="0" borderId="24" xfId="0" applyNumberFormat="1" applyFont="1" applyFill="1" applyBorder="1" applyAlignment="1" applyProtection="1">
      <alignment horizontal="left" vertical="center"/>
      <protection/>
    </xf>
    <xf numFmtId="192" fontId="15" fillId="0" borderId="2" xfId="0" applyNumberFormat="1" applyFont="1" applyFill="1" applyBorder="1" applyAlignment="1" applyProtection="1">
      <alignment vertical="center"/>
      <protection/>
    </xf>
    <xf numFmtId="184" fontId="15" fillId="0" borderId="16" xfId="0" applyNumberFormat="1" applyFont="1" applyFill="1" applyBorder="1" applyAlignment="1" applyProtection="1">
      <alignment horizontal="center" vertical="center"/>
      <protection locked="0"/>
    </xf>
    <xf numFmtId="184" fontId="15" fillId="0" borderId="13" xfId="0" applyNumberFormat="1" applyFont="1" applyFill="1" applyBorder="1" applyAlignment="1" applyProtection="1">
      <alignment horizontal="center" vertical="center"/>
      <protection locked="0"/>
    </xf>
    <xf numFmtId="0" fontId="0" fillId="0" borderId="0" xfId="0" applyAlignment="1">
      <alignment horizontal="center"/>
    </xf>
    <xf numFmtId="0" fontId="15" fillId="0" borderId="1" xfId="0" applyFont="1" applyFill="1" applyBorder="1" applyAlignment="1" applyProtection="1">
      <alignment horizontal="center" vertical="center"/>
      <protection locked="0"/>
    </xf>
    <xf numFmtId="49" fontId="15" fillId="0" borderId="1" xfId="0" applyNumberFormat="1" applyFont="1" applyFill="1" applyBorder="1" applyAlignment="1" applyProtection="1">
      <alignment horizontal="center" vertical="center"/>
      <protection locked="0"/>
    </xf>
    <xf numFmtId="0" fontId="15" fillId="0" borderId="38" xfId="0" applyFont="1" applyFill="1" applyBorder="1" applyAlignment="1">
      <alignment horizontal="left" vertical="center"/>
    </xf>
    <xf numFmtId="0" fontId="15" fillId="0" borderId="27" xfId="0" applyFont="1" applyFill="1" applyBorder="1" applyAlignment="1">
      <alignment horizontal="left" vertical="center"/>
    </xf>
    <xf numFmtId="0" fontId="15" fillId="0" borderId="27" xfId="0" applyFont="1" applyFill="1" applyBorder="1" applyAlignment="1">
      <alignment horizontal="center" vertical="center"/>
    </xf>
    <xf numFmtId="192" fontId="15" fillId="0" borderId="2" xfId="15" applyNumberFormat="1" applyFont="1" applyFill="1" applyBorder="1" applyAlignment="1" applyProtection="1">
      <alignment horizontal="right" vertical="center"/>
      <protection/>
    </xf>
    <xf numFmtId="200" fontId="15" fillId="0" borderId="1" xfId="0" applyNumberFormat="1" applyFont="1" applyFill="1" applyBorder="1" applyAlignment="1">
      <alignment vertical="center"/>
    </xf>
    <xf numFmtId="200" fontId="15" fillId="0" borderId="1" xfId="15" applyNumberFormat="1" applyFont="1" applyFill="1" applyBorder="1" applyAlignment="1" applyProtection="1">
      <alignment vertical="center"/>
      <protection locked="0"/>
    </xf>
    <xf numFmtId="200" fontId="15" fillId="0" borderId="1" xfId="0" applyNumberFormat="1" applyFont="1" applyFill="1" applyBorder="1" applyAlignment="1" applyProtection="1">
      <alignment vertical="center"/>
      <protection/>
    </xf>
    <xf numFmtId="192" fontId="15" fillId="0" borderId="1" xfId="15" applyNumberFormat="1" applyFont="1" applyFill="1" applyBorder="1" applyAlignment="1" applyProtection="1">
      <alignment vertical="center"/>
      <protection/>
    </xf>
    <xf numFmtId="200" fontId="15" fillId="0" borderId="1" xfId="15" applyNumberFormat="1" applyFont="1" applyFill="1" applyBorder="1" applyAlignment="1" applyProtection="1">
      <alignment vertical="center"/>
      <protection/>
    </xf>
    <xf numFmtId="192" fontId="15" fillId="0" borderId="27" xfId="15" applyNumberFormat="1" applyFont="1" applyFill="1" applyBorder="1" applyAlignment="1" applyProtection="1">
      <alignment vertical="center"/>
      <protection/>
    </xf>
    <xf numFmtId="192" fontId="15" fillId="0" borderId="30" xfId="15" applyNumberFormat="1" applyFont="1" applyFill="1" applyBorder="1" applyAlignment="1" applyProtection="1">
      <alignment vertical="center"/>
      <protection/>
    </xf>
    <xf numFmtId="192" fontId="15" fillId="0" borderId="4" xfId="15" applyNumberFormat="1" applyFont="1" applyFill="1" applyBorder="1" applyAlignment="1" applyProtection="1">
      <alignment vertical="center"/>
      <protection/>
    </xf>
    <xf numFmtId="192" fontId="15" fillId="0" borderId="26" xfId="15" applyNumberFormat="1" applyFont="1" applyFill="1" applyBorder="1" applyAlignment="1" applyProtection="1">
      <alignment vertical="center"/>
      <protection/>
    </xf>
    <xf numFmtId="192" fontId="15" fillId="0" borderId="23" xfId="15" applyNumberFormat="1" applyFont="1" applyFill="1" applyBorder="1" applyAlignment="1" applyProtection="1">
      <alignment vertical="center"/>
      <protection/>
    </xf>
    <xf numFmtId="192" fontId="15" fillId="0" borderId="17" xfId="15" applyNumberFormat="1" applyFont="1" applyFill="1" applyBorder="1" applyAlignment="1" applyProtection="1">
      <alignment vertical="center"/>
      <protection/>
    </xf>
    <xf numFmtId="197" fontId="15" fillId="0" borderId="1" xfId="0" applyNumberFormat="1" applyFont="1" applyFill="1" applyBorder="1" applyAlignment="1">
      <alignment horizontal="center" vertical="center"/>
    </xf>
    <xf numFmtId="0" fontId="15" fillId="0" borderId="1" xfId="0" applyNumberFormat="1" applyFont="1" applyFill="1" applyBorder="1" applyAlignment="1" applyProtection="1">
      <alignment vertical="center"/>
      <protection locked="0"/>
    </xf>
    <xf numFmtId="0" fontId="15" fillId="0" borderId="1" xfId="0" applyNumberFormat="1" applyFont="1" applyFill="1" applyBorder="1" applyAlignment="1">
      <alignment vertical="center"/>
    </xf>
    <xf numFmtId="0" fontId="15" fillId="0" borderId="1" xfId="0" applyNumberFormat="1" applyFont="1" applyFill="1" applyBorder="1" applyAlignment="1" applyProtection="1">
      <alignment vertical="center"/>
      <protection/>
    </xf>
    <xf numFmtId="4" fontId="15" fillId="0" borderId="2" xfId="0" applyNumberFormat="1" applyFont="1" applyFill="1" applyBorder="1" applyAlignment="1">
      <alignment horizontal="right" vertical="center"/>
    </xf>
    <xf numFmtId="200" fontId="15" fillId="0" borderId="1" xfId="15" applyNumberFormat="1" applyFont="1" applyFill="1" applyBorder="1" applyAlignment="1" applyProtection="1">
      <alignment horizontal="right" vertical="center"/>
      <protection locked="0"/>
    </xf>
    <xf numFmtId="193" fontId="15" fillId="0" borderId="1" xfId="15" applyNumberFormat="1" applyFont="1" applyFill="1" applyBorder="1" applyAlignment="1" applyProtection="1">
      <alignment horizontal="right" vertical="center"/>
      <protection locked="0"/>
    </xf>
    <xf numFmtId="193" fontId="15" fillId="0" borderId="1" xfId="0" applyNumberFormat="1" applyFont="1" applyFill="1" applyBorder="1" applyAlignment="1">
      <alignment vertical="center"/>
    </xf>
    <xf numFmtId="193" fontId="15" fillId="0" borderId="1" xfId="15" applyNumberFormat="1" applyFont="1" applyFill="1" applyBorder="1" applyAlignment="1" applyProtection="1">
      <alignment vertical="center"/>
      <protection locked="0"/>
    </xf>
    <xf numFmtId="200" fontId="15" fillId="0" borderId="1" xfId="21" applyNumberFormat="1" applyFont="1" applyFill="1" applyBorder="1" applyAlignment="1">
      <alignment vertical="center"/>
      <protection/>
    </xf>
    <xf numFmtId="193" fontId="15" fillId="0" borderId="1" xfId="21" applyNumberFormat="1" applyFont="1" applyFill="1" applyBorder="1" applyAlignment="1">
      <alignment vertical="center"/>
      <protection/>
    </xf>
    <xf numFmtId="200" fontId="15" fillId="0" borderId="1" xfId="0" applyNumberFormat="1" applyFont="1" applyFill="1" applyBorder="1" applyAlignment="1">
      <alignment horizontal="right" vertical="center"/>
    </xf>
    <xf numFmtId="193" fontId="15" fillId="0" borderId="1" xfId="0" applyNumberFormat="1" applyFont="1" applyFill="1" applyBorder="1" applyAlignment="1">
      <alignment horizontal="right" vertical="center"/>
    </xf>
    <xf numFmtId="193" fontId="15" fillId="0" borderId="1" xfId="0" applyNumberFormat="1" applyFont="1" applyFill="1" applyBorder="1" applyAlignment="1" applyProtection="1">
      <alignment vertical="center"/>
      <protection/>
    </xf>
    <xf numFmtId="0" fontId="15" fillId="0" borderId="1" xfId="0" applyFont="1" applyFill="1" applyBorder="1" applyAlignment="1" applyProtection="1">
      <alignment horizontal="center" vertical="center"/>
      <protection/>
    </xf>
    <xf numFmtId="0" fontId="15" fillId="0" borderId="39" xfId="0" applyFont="1" applyFill="1" applyBorder="1" applyAlignment="1" applyProtection="1">
      <alignment horizontal="left" vertical="center"/>
      <protection locked="0"/>
    </xf>
    <xf numFmtId="184" fontId="15" fillId="0" borderId="13" xfId="0" applyNumberFormat="1" applyFont="1" applyFill="1" applyBorder="1" applyAlignment="1" applyProtection="1">
      <alignment horizontal="left" vertical="center"/>
      <protection locked="0"/>
    </xf>
    <xf numFmtId="0" fontId="15" fillId="0" borderId="13" xfId="0" applyFont="1" applyFill="1" applyBorder="1" applyAlignment="1" applyProtection="1">
      <alignment horizontal="left" vertical="center"/>
      <protection locked="0"/>
    </xf>
    <xf numFmtId="0" fontId="15" fillId="0" borderId="13" xfId="0" applyFont="1" applyFill="1" applyBorder="1" applyAlignment="1" applyProtection="1">
      <alignment horizontal="center" vertical="center"/>
      <protection locked="0"/>
    </xf>
    <xf numFmtId="0" fontId="15" fillId="0" borderId="25" xfId="0" applyFont="1" applyFill="1" applyBorder="1" applyAlignment="1">
      <alignment horizontal="left" vertical="center"/>
    </xf>
    <xf numFmtId="0" fontId="15" fillId="0" borderId="4" xfId="0" applyFont="1" applyFill="1" applyBorder="1" applyAlignment="1">
      <alignment horizontal="center" vertical="center"/>
    </xf>
    <xf numFmtId="0" fontId="15" fillId="0" borderId="40" xfId="0" applyFont="1" applyFill="1" applyBorder="1" applyAlignment="1" applyProtection="1">
      <alignment horizontal="left" vertical="center"/>
      <protection locked="0"/>
    </xf>
    <xf numFmtId="184" fontId="15" fillId="0" borderId="16" xfId="0" applyNumberFormat="1" applyFont="1" applyFill="1" applyBorder="1" applyAlignment="1" applyProtection="1">
      <alignment horizontal="left" vertical="center"/>
      <protection locked="0"/>
    </xf>
    <xf numFmtId="0" fontId="15" fillId="0" borderId="16" xfId="0" applyFont="1" applyFill="1" applyBorder="1" applyAlignment="1" applyProtection="1">
      <alignment horizontal="left" vertical="center"/>
      <protection locked="0"/>
    </xf>
    <xf numFmtId="0" fontId="15" fillId="0" borderId="16" xfId="0" applyFont="1" applyFill="1" applyBorder="1" applyAlignment="1" applyProtection="1">
      <alignment horizontal="center" vertical="center"/>
      <protection locked="0"/>
    </xf>
    <xf numFmtId="193" fontId="15" fillId="0" borderId="1" xfId="15" applyNumberFormat="1" applyFont="1" applyFill="1" applyBorder="1" applyAlignment="1" applyProtection="1">
      <alignment vertical="center"/>
      <protection/>
    </xf>
    <xf numFmtId="49" fontId="15" fillId="0" borderId="38" xfId="0" applyNumberFormat="1" applyFont="1" applyFill="1" applyBorder="1" applyAlignment="1">
      <alignment horizontal="left" vertical="center"/>
    </xf>
    <xf numFmtId="197" fontId="15" fillId="0" borderId="27" xfId="0" applyNumberFormat="1" applyFont="1" applyFill="1" applyBorder="1" applyAlignment="1">
      <alignment horizontal="left" vertical="center"/>
    </xf>
    <xf numFmtId="49" fontId="15" fillId="0" borderId="27" xfId="0" applyNumberFormat="1" applyFont="1" applyFill="1" applyBorder="1" applyAlignment="1">
      <alignment horizontal="left" vertical="center"/>
    </xf>
    <xf numFmtId="193" fontId="15" fillId="0" borderId="27" xfId="15" applyNumberFormat="1" applyFont="1" applyFill="1" applyBorder="1" applyAlignment="1" applyProtection="1">
      <alignment vertical="center"/>
      <protection/>
    </xf>
    <xf numFmtId="200" fontId="15" fillId="0" borderId="4" xfId="0" applyNumberFormat="1" applyFont="1" applyFill="1" applyBorder="1" applyAlignment="1">
      <alignment vertical="center"/>
    </xf>
    <xf numFmtId="193" fontId="15" fillId="0" borderId="4" xfId="0" applyNumberFormat="1" applyFont="1" applyFill="1" applyBorder="1" applyAlignment="1">
      <alignment vertical="center"/>
    </xf>
    <xf numFmtId="193" fontId="15" fillId="0" borderId="4" xfId="15" applyNumberFormat="1" applyFont="1" applyFill="1" applyBorder="1" applyAlignment="1" applyProtection="1">
      <alignment vertical="center"/>
      <protection/>
    </xf>
    <xf numFmtId="200" fontId="15" fillId="0" borderId="13" xfId="15" applyNumberFormat="1" applyFont="1" applyFill="1" applyBorder="1" applyAlignment="1" applyProtection="1">
      <alignment vertical="center"/>
      <protection locked="0"/>
    </xf>
    <xf numFmtId="193" fontId="15" fillId="0" borderId="13" xfId="15" applyNumberFormat="1" applyFont="1" applyFill="1" applyBorder="1" applyAlignment="1" applyProtection="1">
      <alignment vertical="center"/>
      <protection locked="0"/>
    </xf>
    <xf numFmtId="200" fontId="15" fillId="0" borderId="16" xfId="15" applyNumberFormat="1" applyFont="1" applyFill="1" applyBorder="1" applyAlignment="1" applyProtection="1">
      <alignment vertical="center"/>
      <protection locked="0"/>
    </xf>
    <xf numFmtId="193" fontId="15" fillId="0" borderId="16" xfId="15" applyNumberFormat="1" applyFont="1" applyFill="1" applyBorder="1" applyAlignment="1" applyProtection="1">
      <alignment vertical="center"/>
      <protection locked="0"/>
    </xf>
    <xf numFmtId="184" fontId="15" fillId="0" borderId="13" xfId="0" applyNumberFormat="1" applyFont="1" applyFill="1" applyBorder="1" applyAlignment="1">
      <alignment horizontal="center" vertical="center"/>
    </xf>
    <xf numFmtId="200" fontId="15" fillId="0" borderId="13" xfId="0" applyNumberFormat="1" applyFont="1" applyFill="1" applyBorder="1" applyAlignment="1">
      <alignment vertical="center"/>
    </xf>
    <xf numFmtId="193" fontId="15" fillId="0" borderId="13" xfId="0" applyNumberFormat="1" applyFont="1" applyFill="1" applyBorder="1" applyAlignment="1">
      <alignment vertical="center"/>
    </xf>
    <xf numFmtId="184" fontId="15" fillId="0" borderId="0" xfId="0" applyNumberFormat="1" applyFont="1" applyFill="1" applyBorder="1" applyAlignment="1">
      <alignment horizontal="center" vertical="center"/>
    </xf>
    <xf numFmtId="200" fontId="42" fillId="0" borderId="0" xfId="0" applyNumberFormat="1" applyFont="1" applyFill="1" applyBorder="1" applyAlignment="1">
      <alignment vertical="center"/>
    </xf>
    <xf numFmtId="193" fontId="42" fillId="0" borderId="41" xfId="0" applyNumberFormat="1" applyFont="1" applyFill="1" applyBorder="1" applyAlignment="1">
      <alignment vertical="center"/>
    </xf>
    <xf numFmtId="0" fontId="31" fillId="0" borderId="0" xfId="0" applyFont="1" applyFill="1" applyBorder="1" applyAlignment="1" applyProtection="1">
      <alignment horizontal="center" vertical="center"/>
      <protection locked="0"/>
    </xf>
    <xf numFmtId="0" fontId="37" fillId="0" borderId="0" xfId="0" applyFont="1" applyBorder="1" applyAlignment="1" applyProtection="1">
      <alignment horizontal="right" vertical="center" wrapText="1"/>
      <protection locked="0"/>
    </xf>
    <xf numFmtId="0" fontId="16" fillId="0" borderId="0" xfId="0" applyFont="1" applyBorder="1" applyAlignment="1" applyProtection="1">
      <alignment horizontal="right" vertical="center" wrapText="1"/>
      <protection locked="0"/>
    </xf>
    <xf numFmtId="200" fontId="15" fillId="0" borderId="27" xfId="0" applyNumberFormat="1" applyFont="1" applyFill="1" applyBorder="1" applyAlignment="1">
      <alignment vertical="center"/>
    </xf>
    <xf numFmtId="193" fontId="15" fillId="0" borderId="27" xfId="0" applyNumberFormat="1" applyFont="1" applyFill="1" applyBorder="1" applyAlignment="1">
      <alignment vertical="center"/>
    </xf>
    <xf numFmtId="0" fontId="15" fillId="0" borderId="39" xfId="0" applyFont="1" applyFill="1" applyBorder="1" applyAlignment="1">
      <alignment horizontal="left" vertical="center"/>
    </xf>
    <xf numFmtId="0" fontId="15" fillId="0" borderId="13" xfId="0" applyFont="1" applyFill="1" applyBorder="1" applyAlignment="1">
      <alignment horizontal="left" vertical="center"/>
    </xf>
    <xf numFmtId="0" fontId="15" fillId="0" borderId="13" xfId="0" applyFont="1" applyFill="1" applyBorder="1" applyAlignment="1">
      <alignment horizontal="center" vertical="center"/>
    </xf>
    <xf numFmtId="193" fontId="15" fillId="0" borderId="13" xfId="15" applyNumberFormat="1" applyFont="1" applyFill="1" applyBorder="1" applyAlignment="1" applyProtection="1">
      <alignment vertical="center"/>
      <protection/>
    </xf>
    <xf numFmtId="192" fontId="15" fillId="0" borderId="13" xfId="15" applyNumberFormat="1" applyFont="1" applyFill="1" applyBorder="1" applyAlignment="1" applyProtection="1">
      <alignment vertical="center"/>
      <protection/>
    </xf>
    <xf numFmtId="49" fontId="15" fillId="0" borderId="40" xfId="0" applyNumberFormat="1" applyFont="1" applyFill="1" applyBorder="1" applyAlignment="1" applyProtection="1">
      <alignment horizontal="left" vertical="center"/>
      <protection locked="0"/>
    </xf>
    <xf numFmtId="49" fontId="15" fillId="0" borderId="16" xfId="0" applyNumberFormat="1" applyFont="1" applyFill="1" applyBorder="1" applyAlignment="1" applyProtection="1">
      <alignment horizontal="left" vertical="center"/>
      <protection locked="0"/>
    </xf>
    <xf numFmtId="49" fontId="15" fillId="0" borderId="16" xfId="0" applyNumberFormat="1" applyFont="1" applyFill="1" applyBorder="1" applyAlignment="1" applyProtection="1">
      <alignment horizontal="center" vertical="center"/>
      <protection locked="0"/>
    </xf>
    <xf numFmtId="193" fontId="15" fillId="0" borderId="16" xfId="15" applyNumberFormat="1" applyFont="1" applyFill="1" applyBorder="1" applyAlignment="1" applyProtection="1">
      <alignment vertical="center"/>
      <protection/>
    </xf>
    <xf numFmtId="192" fontId="15" fillId="0" borderId="16" xfId="15" applyNumberFormat="1" applyFont="1" applyFill="1" applyBorder="1" applyAlignment="1" applyProtection="1">
      <alignment vertical="center"/>
      <protection/>
    </xf>
    <xf numFmtId="0" fontId="15" fillId="0" borderId="21" xfId="0" applyNumberFormat="1" applyFont="1" applyFill="1" applyBorder="1" applyAlignment="1">
      <alignment horizontal="left" vertical="center"/>
    </xf>
    <xf numFmtId="0" fontId="15" fillId="0" borderId="0" xfId="0" applyNumberFormat="1" applyFont="1" applyFill="1" applyBorder="1" applyAlignment="1">
      <alignment horizontal="left" vertical="center"/>
    </xf>
    <xf numFmtId="49" fontId="15" fillId="0" borderId="25" xfId="0" applyNumberFormat="1" applyFont="1" applyFill="1" applyBorder="1" applyAlignment="1">
      <alignment horizontal="left" vertical="center"/>
    </xf>
    <xf numFmtId="197" fontId="15" fillId="0" borderId="4" xfId="0" applyNumberFormat="1" applyFont="1" applyFill="1" applyBorder="1" applyAlignment="1">
      <alignment horizontal="left" vertical="center"/>
    </xf>
    <xf numFmtId="49" fontId="15" fillId="0" borderId="4" xfId="0" applyNumberFormat="1" applyFont="1" applyFill="1" applyBorder="1" applyAlignment="1">
      <alignment horizontal="left" vertical="center"/>
    </xf>
    <xf numFmtId="3" fontId="15" fillId="0" borderId="4" xfId="0" applyNumberFormat="1" applyFont="1" applyFill="1" applyBorder="1" applyAlignment="1">
      <alignment horizontal="center" vertical="center"/>
    </xf>
    <xf numFmtId="0" fontId="12" fillId="0" borderId="0" xfId="0" applyNumberFormat="1" applyFont="1" applyFill="1" applyBorder="1" applyAlignment="1" applyProtection="1">
      <alignment horizontal="right" vertical="center" wrapText="1"/>
      <protection locked="0"/>
    </xf>
    <xf numFmtId="0" fontId="0" fillId="0" borderId="0" xfId="0" applyAlignment="1">
      <alignment horizontal="right" vertical="center" wrapText="1"/>
    </xf>
    <xf numFmtId="0" fontId="12" fillId="0" borderId="0" xfId="0" applyFont="1" applyAlignment="1">
      <alignment horizontal="right" vertical="center" wrapText="1"/>
    </xf>
    <xf numFmtId="0" fontId="18" fillId="2" borderId="42" xfId="0" applyFont="1" applyFill="1" applyBorder="1" applyAlignment="1">
      <alignment horizontal="right" vertical="center"/>
    </xf>
    <xf numFmtId="0" fontId="40" fillId="0" borderId="12" xfId="0" applyFont="1" applyBorder="1" applyAlignment="1">
      <alignment horizontal="right" vertical="center"/>
    </xf>
    <xf numFmtId="0" fontId="18" fillId="2" borderId="22" xfId="0" applyFont="1" applyFill="1" applyBorder="1" applyAlignment="1">
      <alignment horizontal="right" vertical="center"/>
    </xf>
    <xf numFmtId="0" fontId="0" fillId="0" borderId="6" xfId="0" applyBorder="1" applyAlignment="1">
      <alignment horizontal="right" vertical="center"/>
    </xf>
    <xf numFmtId="184" fontId="31" fillId="0" borderId="27" xfId="0" applyNumberFormat="1" applyFont="1" applyFill="1" applyBorder="1" applyAlignment="1" applyProtection="1">
      <alignment horizontal="center" vertical="center"/>
      <protection locked="0"/>
    </xf>
    <xf numFmtId="0" fontId="32" fillId="0" borderId="27" xfId="0" applyFont="1" applyBorder="1" applyAlignment="1">
      <alignment horizontal="center"/>
    </xf>
    <xf numFmtId="0" fontId="32" fillId="0" borderId="30" xfId="0" applyFont="1" applyBorder="1" applyAlignment="1">
      <alignment horizontal="center"/>
    </xf>
    <xf numFmtId="0" fontId="20" fillId="0" borderId="0" xfId="0" applyFont="1" applyBorder="1" applyAlignment="1" applyProtection="1">
      <alignment horizontal="right" vertical="center" wrapText="1"/>
      <protection locked="0"/>
    </xf>
    <xf numFmtId="184" fontId="31" fillId="0" borderId="0" xfId="0" applyNumberFormat="1" applyFont="1" applyFill="1" applyBorder="1" applyAlignment="1" applyProtection="1">
      <alignment horizontal="center" vertical="center"/>
      <protection locked="0"/>
    </xf>
    <xf numFmtId="0" fontId="43" fillId="2" borderId="0" xfId="0" applyFont="1" applyFill="1" applyBorder="1" applyAlignment="1" applyProtection="1">
      <alignment horizontal="center" vertical="center"/>
      <protection/>
    </xf>
    <xf numFmtId="0" fontId="0" fillId="0" borderId="0" xfId="0" applyAlignment="1">
      <alignment horizontal="center"/>
    </xf>
    <xf numFmtId="181" fontId="28" fillId="0" borderId="3" xfId="0" applyNumberFormat="1" applyFont="1" applyFill="1" applyBorder="1" applyAlignment="1" applyProtection="1">
      <alignment horizontal="center" vertical="center" wrapText="1"/>
      <protection/>
    </xf>
    <xf numFmtId="181" fontId="28" fillId="0" borderId="43" xfId="0" applyNumberFormat="1" applyFont="1" applyFill="1" applyBorder="1" applyAlignment="1" applyProtection="1">
      <alignment horizontal="center" vertical="center" wrapText="1"/>
      <protection/>
    </xf>
    <xf numFmtId="0" fontId="28" fillId="0" borderId="3" xfId="0" applyNumberFormat="1" applyFont="1" applyFill="1" applyBorder="1" applyAlignment="1" applyProtection="1">
      <alignment horizontal="center" vertical="center" wrapText="1"/>
      <protection/>
    </xf>
    <xf numFmtId="0" fontId="30" fillId="0" borderId="20" xfId="0" applyFont="1" applyBorder="1" applyAlignment="1">
      <alignment horizontal="center" vertical="center"/>
    </xf>
    <xf numFmtId="43" fontId="28" fillId="0" borderId="3" xfId="15" applyFont="1" applyFill="1" applyBorder="1" applyAlignment="1" applyProtection="1">
      <alignment horizontal="center" vertical="center" wrapText="1"/>
      <protection/>
    </xf>
    <xf numFmtId="0" fontId="28" fillId="0" borderId="3" xfId="0" applyFont="1" applyFill="1" applyBorder="1" applyAlignment="1" applyProtection="1">
      <alignment horizontal="center" vertical="center" wrapText="1"/>
      <protection/>
    </xf>
    <xf numFmtId="0" fontId="28" fillId="0" borderId="44" xfId="0" applyNumberFormat="1" applyFont="1" applyFill="1" applyBorder="1" applyAlignment="1" applyProtection="1">
      <alignment horizontal="center" vertical="center" wrapText="1"/>
      <protection/>
    </xf>
    <xf numFmtId="0" fontId="30" fillId="0" borderId="45" xfId="0" applyFont="1" applyBorder="1" applyAlignment="1">
      <alignment horizontal="center" vertical="center" wrapText="1"/>
    </xf>
    <xf numFmtId="4" fontId="28" fillId="0" borderId="3" xfId="0" applyNumberFormat="1" applyFont="1" applyFill="1" applyBorder="1" applyAlignment="1" applyProtection="1">
      <alignment horizontal="center" vertical="center" wrapText="1"/>
      <protection/>
    </xf>
    <xf numFmtId="184" fontId="28" fillId="0" borderId="3" xfId="0" applyNumberFormat="1" applyFont="1" applyFill="1" applyBorder="1" applyAlignment="1" applyProtection="1">
      <alignment horizontal="center" vertical="center" wrapText="1"/>
      <protection/>
    </xf>
    <xf numFmtId="184" fontId="30" fillId="0" borderId="20" xfId="0" applyNumberFormat="1" applyFont="1" applyBorder="1" applyAlignment="1">
      <alignment horizontal="center" vertical="center"/>
    </xf>
    <xf numFmtId="0" fontId="12" fillId="0" borderId="0" xfId="0" applyFont="1" applyBorder="1" applyAlignment="1">
      <alignment horizontal="right" vertical="center" wrapText="1"/>
    </xf>
    <xf numFmtId="0" fontId="8" fillId="6" borderId="34" xfId="0" applyFont="1" applyFill="1" applyBorder="1" applyAlignment="1">
      <alignment horizontal="center" vertical="center" wrapText="1"/>
    </xf>
    <xf numFmtId="0" fontId="17" fillId="2" borderId="35" xfId="0" applyFont="1" applyFill="1" applyBorder="1" applyAlignment="1">
      <alignment horizontal="center" vertical="center"/>
    </xf>
    <xf numFmtId="0" fontId="17" fillId="2" borderId="12" xfId="0" applyFont="1" applyFill="1" applyBorder="1" applyAlignment="1">
      <alignment horizontal="center" vertical="center"/>
    </xf>
    <xf numFmtId="0" fontId="42" fillId="2" borderId="35" xfId="0" applyFont="1" applyFill="1" applyBorder="1" applyAlignment="1">
      <alignment horizontal="center" vertical="center"/>
    </xf>
    <xf numFmtId="0" fontId="42" fillId="2" borderId="12" xfId="0" applyFont="1" applyFill="1" applyBorder="1" applyAlignment="1">
      <alignment horizontal="center" vertical="center"/>
    </xf>
    <xf numFmtId="0" fontId="28" fillId="0" borderId="44" xfId="0" applyNumberFormat="1" applyFont="1" applyFill="1" applyBorder="1" applyAlignment="1">
      <alignment horizontal="center" vertical="center" wrapText="1"/>
    </xf>
    <xf numFmtId="0" fontId="28" fillId="0" borderId="45" xfId="0" applyNumberFormat="1" applyFont="1" applyFill="1" applyBorder="1" applyAlignment="1">
      <alignment horizontal="center" vertical="center" wrapText="1"/>
    </xf>
    <xf numFmtId="0" fontId="28" fillId="0" borderId="45" xfId="0" applyNumberFormat="1" applyFont="1" applyFill="1" applyBorder="1" applyAlignment="1" applyProtection="1">
      <alignment horizontal="center" vertical="center" wrapText="1"/>
      <protection/>
    </xf>
    <xf numFmtId="0" fontId="28" fillId="0" borderId="46" xfId="0" applyNumberFormat="1" applyFont="1" applyFill="1" applyBorder="1" applyAlignment="1" applyProtection="1">
      <alignment horizontal="center" vertical="center" wrapText="1"/>
      <protection/>
    </xf>
    <xf numFmtId="0" fontId="28" fillId="0" borderId="47" xfId="0" applyNumberFormat="1" applyFont="1" applyFill="1" applyBorder="1" applyAlignment="1" applyProtection="1">
      <alignment horizontal="center" vertical="center" wrapText="1"/>
      <protection/>
    </xf>
    <xf numFmtId="192" fontId="28" fillId="0" borderId="48" xfId="0" applyNumberFormat="1" applyFont="1" applyFill="1" applyBorder="1" applyAlignment="1" applyProtection="1">
      <alignment horizontal="center" vertical="center" wrapText="1"/>
      <protection/>
    </xf>
    <xf numFmtId="192" fontId="28" fillId="0" borderId="49" xfId="0" applyNumberFormat="1" applyFont="1" applyFill="1" applyBorder="1" applyAlignment="1" applyProtection="1">
      <alignment horizontal="center" vertical="center" wrapText="1"/>
      <protection/>
    </xf>
    <xf numFmtId="0" fontId="0" fillId="0" borderId="0" xfId="0" applyBorder="1" applyAlignment="1">
      <alignment horizontal="right" vertical="center" wrapText="1"/>
    </xf>
    <xf numFmtId="0" fontId="12" fillId="0" borderId="0" xfId="0" applyFont="1" applyBorder="1" applyAlignment="1">
      <alignment horizontal="right" vertical="center" wrapText="1"/>
    </xf>
    <xf numFmtId="0" fontId="0" fillId="0" borderId="0" xfId="0" applyBorder="1" applyAlignment="1">
      <alignment vertical="center" wrapText="1"/>
    </xf>
    <xf numFmtId="0" fontId="10" fillId="6" borderId="0" xfId="0" applyFont="1" applyFill="1" applyBorder="1" applyAlignment="1">
      <alignment horizontal="center" vertical="center" wrapText="1"/>
    </xf>
    <xf numFmtId="0" fontId="36" fillId="6" borderId="0" xfId="0" applyFont="1" applyFill="1" applyAlignment="1">
      <alignment vertical="center"/>
    </xf>
    <xf numFmtId="0" fontId="28" fillId="0" borderId="3" xfId="0" applyNumberFormat="1" applyFont="1" applyFill="1" applyBorder="1" applyAlignment="1">
      <alignment horizontal="center" vertical="center" wrapText="1"/>
    </xf>
    <xf numFmtId="0" fontId="28" fillId="0" borderId="20" xfId="0" applyNumberFormat="1" applyFont="1" applyFill="1" applyBorder="1" applyAlignment="1">
      <alignment horizontal="center" vertical="center" wrapText="1"/>
    </xf>
    <xf numFmtId="0" fontId="28" fillId="0" borderId="43" xfId="0" applyNumberFormat="1" applyFont="1" applyFill="1" applyBorder="1" applyAlignment="1" applyProtection="1">
      <alignment horizontal="center" vertical="center" wrapText="1"/>
      <protection/>
    </xf>
    <xf numFmtId="0" fontId="17" fillId="2" borderId="39" xfId="0" applyFont="1" applyFill="1" applyBorder="1" applyAlignment="1">
      <alignment horizontal="center" vertical="center"/>
    </xf>
    <xf numFmtId="0" fontId="40" fillId="0" borderId="13" xfId="0" applyFont="1" applyBorder="1" applyAlignment="1">
      <alignment horizontal="center" vertical="center"/>
    </xf>
    <xf numFmtId="0" fontId="34" fillId="4" borderId="34" xfId="0" applyNumberFormat="1" applyFont="1" applyFill="1" applyBorder="1" applyAlignment="1">
      <alignment horizontal="center" wrapText="1"/>
    </xf>
    <xf numFmtId="0" fontId="0" fillId="0" borderId="34" xfId="0" applyNumberFormat="1" applyBorder="1" applyAlignment="1">
      <alignment horizontal="center" wrapText="1"/>
    </xf>
    <xf numFmtId="0" fontId="47" fillId="4" borderId="34" xfId="0" applyNumberFormat="1" applyFont="1" applyFill="1" applyBorder="1" applyAlignment="1">
      <alignment horizontal="center" wrapText="1"/>
    </xf>
    <xf numFmtId="0" fontId="48" fillId="0" borderId="34" xfId="0" applyNumberFormat="1" applyFont="1" applyBorder="1" applyAlignment="1">
      <alignment horizontal="center" wrapText="1"/>
    </xf>
  </cellXfs>
  <cellStyles count="9">
    <cellStyle name="Normal" xfId="0"/>
    <cellStyle name="Comma" xfId="15"/>
    <cellStyle name="Comma [0]" xfId="16"/>
    <cellStyle name="Currency" xfId="17"/>
    <cellStyle name="Currency [0]" xfId="18"/>
    <cellStyle name="Followed Hyperlink" xfId="19"/>
    <cellStyle name="Hyperlink" xfId="20"/>
    <cellStyle name="Normal_Sayfa1"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38100</xdr:rowOff>
    </xdr:from>
    <xdr:to>
      <xdr:col>15</xdr:col>
      <xdr:colOff>0</xdr:colOff>
      <xdr:row>0</xdr:row>
      <xdr:rowOff>1095375</xdr:rowOff>
    </xdr:to>
    <xdr:sp>
      <xdr:nvSpPr>
        <xdr:cNvPr id="1" name="TextBox 1"/>
        <xdr:cNvSpPr txBox="1">
          <a:spLocks noChangeArrowheads="1"/>
        </xdr:cNvSpPr>
      </xdr:nvSpPr>
      <xdr:spPr>
        <a:xfrm>
          <a:off x="19050" y="38100"/>
          <a:ext cx="12944475" cy="1057275"/>
        </a:xfrm>
        <a:prstGeom prst="rect">
          <a:avLst/>
        </a:prstGeom>
        <a:solidFill>
          <a:srgbClr val="006411"/>
        </a:solidFill>
        <a:ln w="38100" cmpd="dbl">
          <a:noFill/>
        </a:ln>
      </xdr:spPr>
      <xdr:txBody>
        <a:bodyPr vertOverflow="clip" wrap="square" anchor="ctr"/>
        <a:p>
          <a:pPr algn="ctr">
            <a:defRPr/>
          </a:pPr>
          <a:r>
            <a:rPr lang="en-US" cap="none" sz="4000" b="0" i="0" u="none" baseline="0">
              <a:solidFill>
                <a:srgbClr val="FFFFFF"/>
              </a:solidFill>
              <a:latin typeface="Impact"/>
              <a:ea typeface="Impact"/>
              <a:cs typeface="Impact"/>
            </a:rPr>
            <a:t>TÜRK</a:t>
          </a:r>
          <a:r>
            <a:rPr lang="en-US" cap="none" sz="4000" b="0" i="0" u="none" baseline="0">
              <a:solidFill>
                <a:srgbClr val="FFFFFF"/>
              </a:solidFill>
              <a:latin typeface="Arial"/>
              <a:ea typeface="Arial"/>
              <a:cs typeface="Arial"/>
            </a:rPr>
            <a:t>İ</a:t>
          </a:r>
          <a:r>
            <a:rPr lang="en-US" cap="none" sz="4000" b="0" i="0" u="none" baseline="0">
              <a:solidFill>
                <a:srgbClr val="FFFFFF"/>
              </a:solidFill>
              <a:latin typeface="Impact"/>
              <a:ea typeface="Impact"/>
              <a:cs typeface="Impact"/>
            </a:rPr>
            <a:t>YE'S WEEKLY MARKET DATA    </a:t>
          </a:r>
          <a:r>
            <a:rPr lang="en-US" cap="none" sz="2600" b="0" i="0" u="none" baseline="0">
              <a:solidFill>
                <a:srgbClr val="FFFFFF"/>
              </a:solidFill>
              <a:latin typeface="Impact"/>
              <a:ea typeface="Impact"/>
              <a:cs typeface="Impact"/>
            </a:rPr>
            <a:t>
WEEKLY BOX OFFICE &amp; ADMISSION REPORT</a:t>
          </a:r>
        </a:p>
      </xdr:txBody>
    </xdr:sp>
    <xdr:clientData/>
  </xdr:twoCellAnchor>
  <xdr:twoCellAnchor>
    <xdr:from>
      <xdr:col>11</xdr:col>
      <xdr:colOff>104775</xdr:colOff>
      <xdr:row>0</xdr:row>
      <xdr:rowOff>466725</xdr:rowOff>
    </xdr:from>
    <xdr:to>
      <xdr:col>14</xdr:col>
      <xdr:colOff>400050</xdr:colOff>
      <xdr:row>0</xdr:row>
      <xdr:rowOff>1066800</xdr:rowOff>
    </xdr:to>
    <xdr:sp fLocksText="0">
      <xdr:nvSpPr>
        <xdr:cNvPr id="2" name="TextBox 2"/>
        <xdr:cNvSpPr txBox="1">
          <a:spLocks noChangeArrowheads="1"/>
        </xdr:cNvSpPr>
      </xdr:nvSpPr>
      <xdr:spPr>
        <a:xfrm>
          <a:off x="10515600" y="466725"/>
          <a:ext cx="2371725" cy="600075"/>
        </a:xfrm>
        <a:prstGeom prst="rect">
          <a:avLst/>
        </a:prstGeom>
        <a:solidFill>
          <a:srgbClr val="006411"/>
        </a:solidFill>
        <a:ln w="9525" cmpd="sng">
          <a:noFill/>
        </a:ln>
      </xdr:spPr>
      <xdr:txBody>
        <a:bodyPr vertOverflow="clip" wrap="square"/>
        <a:p>
          <a:pPr algn="r">
            <a:defRPr/>
          </a:pPr>
          <a:r>
            <a:rPr lang="en-US" cap="none" sz="2000" b="0" i="0" u="none" baseline="0">
              <a:solidFill>
                <a:srgbClr val="FFFFFF"/>
              </a:solidFill>
              <a:latin typeface="Impact"/>
              <a:ea typeface="Impact"/>
              <a:cs typeface="Impact"/>
            </a:rPr>
            <a:t>WEEK: 22
</a:t>
          </a:r>
          <a:r>
            <a:rPr lang="en-US" cap="none" sz="1600" b="0" i="0" u="none" baseline="0">
              <a:solidFill>
                <a:srgbClr val="FFFFFF"/>
              </a:solidFill>
              <a:latin typeface="Impact"/>
              <a:ea typeface="Impact"/>
              <a:cs typeface="Impact"/>
            </a:rPr>
            <a:t>25 - 31 May' '07</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22</xdr:row>
      <xdr:rowOff>57150</xdr:rowOff>
    </xdr:from>
    <xdr:to>
      <xdr:col>22</xdr:col>
      <xdr:colOff>209550</xdr:colOff>
      <xdr:row>63</xdr:row>
      <xdr:rowOff>142875</xdr:rowOff>
    </xdr:to>
    <xdr:sp>
      <xdr:nvSpPr>
        <xdr:cNvPr id="1" name="TextBox 1"/>
        <xdr:cNvSpPr txBox="1">
          <a:spLocks noChangeArrowheads="1"/>
        </xdr:cNvSpPr>
      </xdr:nvSpPr>
      <xdr:spPr>
        <a:xfrm>
          <a:off x="57150" y="4038600"/>
          <a:ext cx="10629900" cy="13525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1" i="0" u="sng" baseline="0">
              <a:latin typeface="Arial"/>
              <a:ea typeface="Arial"/>
              <a:cs typeface="Arial"/>
            </a:rPr>
            <a:t>
a:</a:t>
          </a:r>
          <a:r>
            <a:rPr lang="en-US" cap="none" sz="1000" b="0" i="0" u="none" baseline="0">
              <a:latin typeface="Arial"/>
              <a:ea typeface="Arial"/>
              <a:cs typeface="Arial"/>
            </a:rPr>
            <a:t> hafta numarasını, </a:t>
          </a:r>
          <a:r>
            <a:rPr lang="en-US" cap="none" sz="1000" b="1" i="0" u="sng" baseline="0">
              <a:latin typeface="Arial"/>
              <a:ea typeface="Arial"/>
              <a:cs typeface="Arial"/>
            </a:rPr>
            <a:t>b:</a:t>
          </a:r>
          <a:r>
            <a:rPr lang="en-US" cap="none" sz="1000" b="0" i="0" u="none" baseline="0">
              <a:latin typeface="Arial"/>
              <a:ea typeface="Arial"/>
              <a:cs typeface="Arial"/>
            </a:rPr>
            <a:t> tarih aralığını,</a:t>
          </a:r>
          <a:r>
            <a:rPr lang="en-US" cap="none" sz="1000" b="1" i="0" u="none" baseline="0">
              <a:latin typeface="Arial"/>
              <a:ea typeface="Arial"/>
              <a:cs typeface="Arial"/>
            </a:rPr>
            <a:t> </a:t>
          </a:r>
          <a:r>
            <a:rPr lang="en-US" cap="none" sz="1000" b="1" i="0" u="sng" baseline="0">
              <a:latin typeface="Arial"/>
              <a:ea typeface="Arial"/>
              <a:cs typeface="Arial"/>
            </a:rPr>
            <a:t>c:</a:t>
          </a:r>
          <a:r>
            <a:rPr lang="en-US" cap="none" sz="1000" b="0" i="0" u="none" baseline="0">
              <a:latin typeface="Arial"/>
              <a:ea typeface="Arial"/>
              <a:cs typeface="Arial"/>
            </a:rPr>
            <a:t> ayı, </a:t>
          </a:r>
          <a:r>
            <a:rPr lang="en-US" cap="none" sz="1000" b="1" i="0" u="sng" baseline="0">
              <a:latin typeface="Arial"/>
              <a:ea typeface="Arial"/>
              <a:cs typeface="Arial"/>
            </a:rPr>
            <a:t>d:</a:t>
          </a:r>
          <a:r>
            <a:rPr lang="en-US" cap="none" sz="1000" b="0" i="0" u="none" baseline="0">
              <a:latin typeface="Arial"/>
              <a:ea typeface="Arial"/>
              <a:cs typeface="Arial"/>
            </a:rPr>
            <a:t> o hafta dağıtım yapan firma sayısını, </a:t>
          </a:r>
          <a:r>
            <a:rPr lang="en-US" cap="none" sz="1000" b="1" i="0" u="sng" baseline="0">
              <a:latin typeface="Arial"/>
              <a:ea typeface="Arial"/>
              <a:cs typeface="Arial"/>
            </a:rPr>
            <a:t>e:</a:t>
          </a:r>
          <a:r>
            <a:rPr lang="en-US" cap="none" sz="1000" b="0" i="0" u="none" baseline="0">
              <a:latin typeface="Arial"/>
              <a:ea typeface="Arial"/>
              <a:cs typeface="Arial"/>
            </a:rPr>
            <a:t> o hafta dağıtım yapmayan firma sayısını, </a:t>
          </a:r>
          <a:r>
            <a:rPr lang="en-US" cap="none" sz="1000" b="1" i="0" u="sng" baseline="0">
              <a:latin typeface="Arial"/>
              <a:ea typeface="Arial"/>
              <a:cs typeface="Arial"/>
            </a:rPr>
            <a:t>f:</a:t>
          </a:r>
          <a:r>
            <a:rPr lang="en-US" cap="none" sz="1000" b="0" i="0" u="none" baseline="0">
              <a:latin typeface="Arial"/>
              <a:ea typeface="Arial"/>
              <a:cs typeface="Arial"/>
            </a:rPr>
            <a:t> o hafta sinemalarda gösterilen film sayısını, </a:t>
          </a:r>
          <a:r>
            <a:rPr lang="en-US" cap="none" sz="1000" b="1" i="0" u="sng" baseline="0">
              <a:latin typeface="Arial"/>
              <a:ea typeface="Arial"/>
              <a:cs typeface="Arial"/>
            </a:rPr>
            <a:t>g:</a:t>
          </a:r>
          <a:r>
            <a:rPr lang="en-US" cap="none" sz="1000" b="0" i="0" u="none" baseline="0">
              <a:latin typeface="Arial"/>
              <a:ea typeface="Arial"/>
              <a:cs typeface="Arial"/>
            </a:rPr>
            <a:t> toplam hasılatı, </a:t>
          </a:r>
          <a:r>
            <a:rPr lang="en-US" cap="none" sz="1000" b="1" i="0" u="sng" baseline="0">
              <a:latin typeface="Arial"/>
              <a:ea typeface="Arial"/>
              <a:cs typeface="Arial"/>
            </a:rPr>
            <a:t>h:</a:t>
          </a:r>
          <a:r>
            <a:rPr lang="en-US" cap="none" sz="1000" b="0" i="0" u="none" baseline="0">
              <a:latin typeface="Arial"/>
              <a:ea typeface="Arial"/>
              <a:cs typeface="Arial"/>
            </a:rPr>
            <a:t> toplam seyirci sayısını, </a:t>
          </a:r>
          <a:r>
            <a:rPr lang="en-US" cap="none" sz="1000" b="1" i="0" u="none" baseline="0">
              <a:latin typeface="Arial"/>
              <a:ea typeface="Arial"/>
              <a:cs typeface="Arial"/>
            </a:rPr>
            <a:t>ı:</a:t>
          </a:r>
          <a:r>
            <a:rPr lang="en-US" cap="none" sz="1000" b="0" i="0" u="none" baseline="0">
              <a:latin typeface="Arial"/>
              <a:ea typeface="Arial"/>
              <a:cs typeface="Arial"/>
            </a:rPr>
            <a:t> en fazla hasılat yapan dağıtımcı firmayı,</a:t>
          </a:r>
          <a:r>
            <a:rPr lang="en-US" cap="none" sz="1000" b="1" i="0" u="none" baseline="0">
              <a:latin typeface="Arial"/>
              <a:ea typeface="Arial"/>
              <a:cs typeface="Arial"/>
            </a:rPr>
            <a:t> </a:t>
          </a:r>
          <a:r>
            <a:rPr lang="en-US" cap="none" sz="1000" b="1" i="0" u="sng" baseline="0">
              <a:latin typeface="Arial"/>
              <a:ea typeface="Arial"/>
              <a:cs typeface="Arial"/>
            </a:rPr>
            <a:t>j:</a:t>
          </a:r>
          <a:r>
            <a:rPr lang="en-US" cap="none" sz="1000" b="0" i="0" u="none" baseline="0">
              <a:latin typeface="Arial"/>
              <a:ea typeface="Arial"/>
              <a:cs typeface="Arial"/>
            </a:rPr>
            <a:t> hafta birincisi firmanın toplam hasılatını, </a:t>
          </a:r>
          <a:r>
            <a:rPr lang="en-US" cap="none" sz="1000" b="1" i="0" u="sng" baseline="0">
              <a:latin typeface="Arial"/>
              <a:ea typeface="Arial"/>
              <a:cs typeface="Arial"/>
            </a:rPr>
            <a:t>k:</a:t>
          </a:r>
          <a:r>
            <a:rPr lang="en-US" cap="none" sz="1000" b="0" i="0" u="none" baseline="0">
              <a:latin typeface="Arial"/>
              <a:ea typeface="Arial"/>
              <a:cs typeface="Arial"/>
            </a:rPr>
            <a:t> aynı firmanın toplam ulaştığı seyirci sayısını, </a:t>
          </a:r>
          <a:r>
            <a:rPr lang="en-US" cap="none" sz="1000" b="1" i="0" u="sng" baseline="0">
              <a:latin typeface="Arial"/>
              <a:ea typeface="Arial"/>
              <a:cs typeface="Arial"/>
            </a:rPr>
            <a:t>l:</a:t>
          </a:r>
          <a:r>
            <a:rPr lang="en-US" cap="none" sz="1000" b="0" i="0" u="none" baseline="0">
              <a:latin typeface="Arial"/>
              <a:ea typeface="Arial"/>
              <a:cs typeface="Arial"/>
            </a:rPr>
            <a:t> birinci firmanın toplam seyirci üzerindeki yüzdesini, </a:t>
          </a:r>
          <a:r>
            <a:rPr lang="en-US" cap="none" sz="1000" b="1" i="0" u="sng" baseline="0">
              <a:latin typeface="Arial"/>
              <a:ea typeface="Arial"/>
              <a:cs typeface="Arial"/>
            </a:rPr>
            <a:t>m:</a:t>
          </a:r>
          <a:r>
            <a:rPr lang="en-US" cap="none" sz="1000" b="0" i="0" u="none" baseline="0">
              <a:latin typeface="Arial"/>
              <a:ea typeface="Arial"/>
              <a:cs typeface="Arial"/>
            </a:rPr>
            <a:t> o hafta ilk kez gösterilen film sayısını, </a:t>
          </a:r>
          <a:r>
            <a:rPr lang="en-US" cap="none" sz="1000" b="1" i="0" u="sng" baseline="0">
              <a:latin typeface="Arial"/>
              <a:ea typeface="Arial"/>
              <a:cs typeface="Arial"/>
            </a:rPr>
            <a:t>n:</a:t>
          </a:r>
          <a:r>
            <a:rPr lang="en-US" cap="none" sz="1000" b="0" i="0" u="none" baseline="0">
              <a:latin typeface="Arial"/>
              <a:ea typeface="Arial"/>
              <a:cs typeface="Arial"/>
            </a:rPr>
            <a:t> bu yeni filmlerin toplam hasılatını, </a:t>
          </a:r>
          <a:r>
            <a:rPr lang="en-US" cap="none" sz="1000" b="1" i="0" u="sng" baseline="0">
              <a:latin typeface="Arial"/>
              <a:ea typeface="Arial"/>
              <a:cs typeface="Arial"/>
            </a:rPr>
            <a:t>o:</a:t>
          </a:r>
          <a:r>
            <a:rPr lang="en-US" cap="none" sz="1000" b="0" i="0" u="none" baseline="0">
              <a:latin typeface="Arial"/>
              <a:ea typeface="Arial"/>
              <a:cs typeface="Arial"/>
            </a:rPr>
            <a:t> aynı filmlerin seyirci sayısını, </a:t>
          </a:r>
          <a:r>
            <a:rPr lang="en-US" cap="none" sz="1000" b="1" i="0" u="sng" baseline="0">
              <a:latin typeface="Arial"/>
              <a:ea typeface="Arial"/>
              <a:cs typeface="Arial"/>
            </a:rPr>
            <a:t>p:</a:t>
          </a:r>
          <a:r>
            <a:rPr lang="en-US" cap="none" sz="1000" b="0" i="0" u="none" baseline="0">
              <a:latin typeface="Arial"/>
              <a:ea typeface="Arial"/>
              <a:cs typeface="Arial"/>
            </a:rPr>
            <a:t> yeni filmlerin toplam seyirci sayısı üzerindeki yüzdesini, </a:t>
          </a:r>
          <a:r>
            <a:rPr lang="en-US" cap="none" sz="1000" b="1" i="0" u="sng" baseline="0">
              <a:latin typeface="Arial"/>
              <a:ea typeface="Arial"/>
              <a:cs typeface="Arial"/>
            </a:rPr>
            <a:t>q:</a:t>
          </a:r>
          <a:r>
            <a:rPr lang="en-US" cap="none" sz="1000" b="0" i="0" u="none" baseline="0">
              <a:latin typeface="Arial"/>
              <a:ea typeface="Arial"/>
              <a:cs typeface="Arial"/>
            </a:rPr>
            <a:t> o hafta gösterilen yerli film sayısını, </a:t>
          </a:r>
          <a:r>
            <a:rPr lang="en-US" cap="none" sz="1000" b="1" i="0" u="sng" baseline="0">
              <a:latin typeface="Arial"/>
              <a:ea typeface="Arial"/>
              <a:cs typeface="Arial"/>
            </a:rPr>
            <a:t>r:</a:t>
          </a:r>
          <a:r>
            <a:rPr lang="en-US" cap="none" sz="1000" b="0" i="0" u="none" baseline="0">
              <a:latin typeface="Arial"/>
              <a:ea typeface="Arial"/>
              <a:cs typeface="Arial"/>
            </a:rPr>
            <a:t> bu filmlerin toplam hasılatını, </a:t>
          </a:r>
          <a:r>
            <a:rPr lang="en-US" cap="none" sz="1000" b="1" i="0" u="sng" baseline="0">
              <a:latin typeface="Arial"/>
              <a:ea typeface="Arial"/>
              <a:cs typeface="Arial"/>
            </a:rPr>
            <a:t>s:</a:t>
          </a:r>
          <a:r>
            <a:rPr lang="en-US" cap="none" sz="1000" b="0" i="0" u="none" baseline="0">
              <a:latin typeface="Arial"/>
              <a:ea typeface="Arial"/>
              <a:cs typeface="Arial"/>
            </a:rPr>
            <a:t> aynı filmlerin toplam seyirci sayısını, </a:t>
          </a:r>
          <a:r>
            <a:rPr lang="en-US" cap="none" sz="1000" b="1" i="0" u="sng" baseline="0">
              <a:latin typeface="Arial"/>
              <a:ea typeface="Arial"/>
              <a:cs typeface="Arial"/>
            </a:rPr>
            <a:t>t:</a:t>
          </a:r>
          <a:r>
            <a:rPr lang="en-US" cap="none" sz="1000" b="0" i="0" u="none" baseline="0">
              <a:latin typeface="Arial"/>
              <a:ea typeface="Arial"/>
              <a:cs typeface="Arial"/>
            </a:rPr>
            <a:t> yerli filmlerin toplam seyirci sayısı üzerindeki yüzdesini, </a:t>
          </a:r>
          <a:r>
            <a:rPr lang="en-US" cap="none" sz="1000" b="1" i="0" u="sng" baseline="0">
              <a:latin typeface="Arial"/>
              <a:ea typeface="Arial"/>
              <a:cs typeface="Arial"/>
            </a:rPr>
            <a:t>u:</a:t>
          </a:r>
          <a:r>
            <a:rPr lang="en-US" cap="none" sz="1000" b="0" i="0" u="none" baseline="0">
              <a:latin typeface="Arial"/>
              <a:ea typeface="Arial"/>
              <a:cs typeface="Arial"/>
            </a:rPr>
            <a:t> o hafta en fazla seyircinin izlediği filmi, </a:t>
          </a:r>
          <a:r>
            <a:rPr lang="en-US" cap="none" sz="1000" b="1" i="0" u="sng" baseline="0">
              <a:latin typeface="Arial"/>
              <a:ea typeface="Arial"/>
              <a:cs typeface="Arial"/>
            </a:rPr>
            <a:t>v:</a:t>
          </a:r>
          <a:r>
            <a:rPr lang="en-US" cap="none" sz="1000" b="0" i="0" u="none" baseline="0">
              <a:latin typeface="Arial"/>
              <a:ea typeface="Arial"/>
              <a:cs typeface="Arial"/>
            </a:rPr>
            <a:t> bu filmin ulaştığı seyirci sayısını ve </a:t>
          </a:r>
          <a:r>
            <a:rPr lang="en-US" cap="none" sz="1000" b="1" i="0" u="sng" baseline="0">
              <a:latin typeface="Arial"/>
              <a:ea typeface="Arial"/>
              <a:cs typeface="Arial"/>
            </a:rPr>
            <a:t>w:</a:t>
          </a:r>
          <a:r>
            <a:rPr lang="en-US" cap="none" sz="1000" b="0" i="0" u="none" baseline="0">
              <a:latin typeface="Arial"/>
              <a:ea typeface="Arial"/>
              <a:cs typeface="Arial"/>
            </a:rPr>
            <a:t> aynı filmin toplam seyirci sayısı üzerindeki yüzdesini göstermektedir.</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P122"/>
  <sheetViews>
    <sheetView showGridLines="0" tabSelected="1" zoomScale="75" zoomScaleNormal="75" workbookViewId="0" topLeftCell="A1">
      <pane xSplit="2" ySplit="4" topLeftCell="C5" activePane="bottomRight" state="frozen"/>
      <selection pane="topLeft" activeCell="A1" sqref="A1"/>
      <selection pane="topRight" activeCell="D1" sqref="D1"/>
      <selection pane="bottomLeft" activeCell="A5" sqref="A5"/>
      <selection pane="bottomRight" activeCell="B3" sqref="B3:B4"/>
    </sheetView>
  </sheetViews>
  <sheetFormatPr defaultColWidth="9.140625" defaultRowHeight="12.75"/>
  <cols>
    <col min="1" max="1" width="2.7109375" style="51" customWidth="1"/>
    <col min="2" max="2" width="42.421875" style="4" bestFit="1" customWidth="1"/>
    <col min="3" max="3" width="9.57421875" style="12" bestFit="1" customWidth="1"/>
    <col min="4" max="4" width="17.140625" style="16" bestFit="1" customWidth="1"/>
    <col min="5" max="5" width="19.8515625" style="16" customWidth="1"/>
    <col min="6" max="6" width="11.00390625" style="6" customWidth="1"/>
    <col min="7" max="7" width="8.57421875" style="6" bestFit="1" customWidth="1"/>
    <col min="8" max="8" width="9.7109375" style="6" customWidth="1"/>
    <col min="9" max="9" width="15.00390625" style="47" bestFit="1" customWidth="1"/>
    <col min="10" max="10" width="9.28125" style="93" bestFit="1" customWidth="1"/>
    <col min="11" max="11" width="10.8515625" style="36" customWidth="1"/>
    <col min="12" max="12" width="7.140625" style="24" customWidth="1"/>
    <col min="13" max="13" width="13.421875" style="18" customWidth="1"/>
    <col min="14" max="14" width="10.57421875" style="36" bestFit="1" customWidth="1"/>
    <col min="15" max="15" width="7.140625" style="43" customWidth="1"/>
    <col min="16" max="16" width="3.00390625" style="240" bestFit="1" customWidth="1"/>
    <col min="17" max="16384" width="9.140625" style="4" customWidth="1"/>
  </cols>
  <sheetData>
    <row r="1" spans="1:16" s="2" customFormat="1" ht="90.75" customHeight="1">
      <c r="A1" s="50"/>
      <c r="B1" s="1"/>
      <c r="C1" s="10"/>
      <c r="D1" s="14"/>
      <c r="E1" s="14"/>
      <c r="F1" s="5"/>
      <c r="G1" s="5"/>
      <c r="H1" s="5"/>
      <c r="I1" s="44"/>
      <c r="J1" s="91"/>
      <c r="K1" s="34"/>
      <c r="L1" s="23"/>
      <c r="M1" s="17"/>
      <c r="N1" s="19"/>
      <c r="O1" s="40"/>
      <c r="P1" s="240"/>
    </row>
    <row r="2" spans="1:16" s="9" customFormat="1" ht="27.75" thickBot="1">
      <c r="A2" s="438" t="s">
        <v>72</v>
      </c>
      <c r="B2" s="439"/>
      <c r="C2" s="439"/>
      <c r="D2" s="439"/>
      <c r="E2" s="439"/>
      <c r="F2" s="439"/>
      <c r="G2" s="439"/>
      <c r="H2" s="439"/>
      <c r="I2" s="439"/>
      <c r="J2" s="439"/>
      <c r="K2" s="439"/>
      <c r="L2" s="439"/>
      <c r="M2" s="439"/>
      <c r="N2" s="439"/>
      <c r="O2" s="439"/>
      <c r="P2" s="240"/>
    </row>
    <row r="3" spans="1:16" s="37" customFormat="1" ht="16.5">
      <c r="A3" s="74"/>
      <c r="B3" s="444" t="s">
        <v>1</v>
      </c>
      <c r="C3" s="449" t="s">
        <v>2</v>
      </c>
      <c r="D3" s="445" t="s">
        <v>54</v>
      </c>
      <c r="E3" s="445" t="s">
        <v>53</v>
      </c>
      <c r="F3" s="442" t="s">
        <v>3</v>
      </c>
      <c r="G3" s="442" t="s">
        <v>10</v>
      </c>
      <c r="H3" s="446" t="s">
        <v>18</v>
      </c>
      <c r="I3" s="448" t="s">
        <v>4</v>
      </c>
      <c r="J3" s="448"/>
      <c r="K3" s="448"/>
      <c r="L3" s="448"/>
      <c r="M3" s="440" t="s">
        <v>5</v>
      </c>
      <c r="N3" s="440"/>
      <c r="O3" s="441"/>
      <c r="P3" s="241"/>
    </row>
    <row r="4" spans="1:16" s="37" customFormat="1" ht="43.5" thickBot="1">
      <c r="A4" s="75"/>
      <c r="B4" s="443"/>
      <c r="C4" s="450"/>
      <c r="D4" s="443"/>
      <c r="E4" s="443"/>
      <c r="F4" s="443"/>
      <c r="G4" s="443"/>
      <c r="H4" s="447"/>
      <c r="I4" s="295" t="s">
        <v>6</v>
      </c>
      <c r="J4" s="296" t="s">
        <v>7</v>
      </c>
      <c r="K4" s="296" t="s">
        <v>106</v>
      </c>
      <c r="L4" s="297" t="s">
        <v>8</v>
      </c>
      <c r="M4" s="295" t="s">
        <v>6</v>
      </c>
      <c r="N4" s="296" t="s">
        <v>7</v>
      </c>
      <c r="O4" s="298" t="s">
        <v>9</v>
      </c>
      <c r="P4" s="241"/>
    </row>
    <row r="5" spans="1:16" s="3" customFormat="1" ht="15">
      <c r="A5" s="268">
        <v>1</v>
      </c>
      <c r="B5" s="347" t="s">
        <v>452</v>
      </c>
      <c r="C5" s="181">
        <v>39227</v>
      </c>
      <c r="D5" s="348" t="s">
        <v>57</v>
      </c>
      <c r="E5" s="348" t="s">
        <v>60</v>
      </c>
      <c r="F5" s="349">
        <v>216</v>
      </c>
      <c r="G5" s="349">
        <v>225</v>
      </c>
      <c r="H5" s="349">
        <v>1</v>
      </c>
      <c r="I5" s="408">
        <v>3543354</v>
      </c>
      <c r="J5" s="409">
        <v>445802</v>
      </c>
      <c r="K5" s="391">
        <f aca="true" t="shared" si="0" ref="K5:K36">J5/G5</f>
        <v>1981.3422222222223</v>
      </c>
      <c r="L5" s="356">
        <f aca="true" t="shared" si="1" ref="L5:L36">I5/J5</f>
        <v>7.948268513824523</v>
      </c>
      <c r="M5" s="408">
        <v>3543354</v>
      </c>
      <c r="N5" s="409">
        <v>445802</v>
      </c>
      <c r="O5" s="357">
        <f aca="true" t="shared" si="2" ref="O5:O36">+M5/N5</f>
        <v>7.948268513824523</v>
      </c>
      <c r="P5" s="240"/>
    </row>
    <row r="6" spans="1:16" s="3" customFormat="1" ht="15">
      <c r="A6" s="101">
        <v>2</v>
      </c>
      <c r="B6" s="244" t="s">
        <v>406</v>
      </c>
      <c r="C6" s="114">
        <v>39206</v>
      </c>
      <c r="D6" s="125" t="s">
        <v>56</v>
      </c>
      <c r="E6" s="124" t="s">
        <v>61</v>
      </c>
      <c r="F6" s="345">
        <v>163</v>
      </c>
      <c r="G6" s="345">
        <v>170</v>
      </c>
      <c r="H6" s="345">
        <v>4</v>
      </c>
      <c r="I6" s="352">
        <v>292563</v>
      </c>
      <c r="J6" s="370">
        <v>38153</v>
      </c>
      <c r="K6" s="387">
        <f t="shared" si="0"/>
        <v>224.4294117647059</v>
      </c>
      <c r="L6" s="354">
        <f t="shared" si="1"/>
        <v>7.668151914659398</v>
      </c>
      <c r="M6" s="352">
        <f>2739132+1415220+863921+292563</f>
        <v>5310836</v>
      </c>
      <c r="N6" s="370">
        <f>347281+180161+109405+38153</f>
        <v>675000</v>
      </c>
      <c r="O6" s="294">
        <f t="shared" si="2"/>
        <v>7.867905185185185</v>
      </c>
      <c r="P6" s="240"/>
    </row>
    <row r="7" spans="1:16" s="3" customFormat="1" ht="15">
      <c r="A7" s="269">
        <v>3</v>
      </c>
      <c r="B7" s="415" t="s">
        <v>430</v>
      </c>
      <c r="C7" s="342">
        <v>39220</v>
      </c>
      <c r="D7" s="416" t="s">
        <v>73</v>
      </c>
      <c r="E7" s="416" t="s">
        <v>135</v>
      </c>
      <c r="F7" s="417" t="s">
        <v>431</v>
      </c>
      <c r="G7" s="417" t="s">
        <v>431</v>
      </c>
      <c r="H7" s="417" t="s">
        <v>37</v>
      </c>
      <c r="I7" s="397">
        <v>171638</v>
      </c>
      <c r="J7" s="398">
        <v>18875</v>
      </c>
      <c r="K7" s="418">
        <f t="shared" si="0"/>
        <v>385.2040816326531</v>
      </c>
      <c r="L7" s="419">
        <f t="shared" si="1"/>
        <v>9.093403973509934</v>
      </c>
      <c r="M7" s="397">
        <v>527561</v>
      </c>
      <c r="N7" s="398">
        <v>58539</v>
      </c>
      <c r="O7" s="361">
        <f t="shared" si="2"/>
        <v>9.01212866635918</v>
      </c>
      <c r="P7" s="240"/>
    </row>
    <row r="8" spans="1:16" s="3" customFormat="1" ht="15">
      <c r="A8" s="268">
        <v>4</v>
      </c>
      <c r="B8" s="410" t="s">
        <v>432</v>
      </c>
      <c r="C8" s="399">
        <v>39220</v>
      </c>
      <c r="D8" s="411" t="s">
        <v>57</v>
      </c>
      <c r="E8" s="411" t="s">
        <v>63</v>
      </c>
      <c r="F8" s="412">
        <v>55</v>
      </c>
      <c r="G8" s="412">
        <v>55</v>
      </c>
      <c r="H8" s="412">
        <v>2</v>
      </c>
      <c r="I8" s="400">
        <v>120627</v>
      </c>
      <c r="J8" s="401">
        <v>13277</v>
      </c>
      <c r="K8" s="413">
        <f t="shared" si="0"/>
        <v>241.4</v>
      </c>
      <c r="L8" s="414">
        <f t="shared" si="1"/>
        <v>9.085410860887249</v>
      </c>
      <c r="M8" s="400">
        <v>434975</v>
      </c>
      <c r="N8" s="401">
        <v>47506</v>
      </c>
      <c r="O8" s="360">
        <f t="shared" si="2"/>
        <v>9.156211846924599</v>
      </c>
      <c r="P8" s="240"/>
    </row>
    <row r="9" spans="1:16" s="7" customFormat="1" ht="15">
      <c r="A9" s="101">
        <v>5</v>
      </c>
      <c r="B9" s="246" t="s">
        <v>433</v>
      </c>
      <c r="C9" s="115">
        <v>39220</v>
      </c>
      <c r="D9" s="130" t="s">
        <v>23</v>
      </c>
      <c r="E9" s="129" t="s">
        <v>69</v>
      </c>
      <c r="F9" s="118">
        <v>88</v>
      </c>
      <c r="G9" s="118">
        <v>91</v>
      </c>
      <c r="H9" s="118">
        <v>2</v>
      </c>
      <c r="I9" s="351">
        <v>117427</v>
      </c>
      <c r="J9" s="369">
        <v>15614</v>
      </c>
      <c r="K9" s="387">
        <f t="shared" si="0"/>
        <v>171.58241758241758</v>
      </c>
      <c r="L9" s="354">
        <f t="shared" si="1"/>
        <v>7.52062251825285</v>
      </c>
      <c r="M9" s="351">
        <f>243956.5+117427</f>
        <v>361383.5</v>
      </c>
      <c r="N9" s="369">
        <f>30030+15614</f>
        <v>45644</v>
      </c>
      <c r="O9" s="294">
        <f t="shared" si="2"/>
        <v>7.9174371220751905</v>
      </c>
      <c r="P9" s="240"/>
    </row>
    <row r="10" spans="1:16" s="7" customFormat="1" ht="15">
      <c r="A10" s="101">
        <v>6</v>
      </c>
      <c r="B10" s="245" t="s">
        <v>435</v>
      </c>
      <c r="C10" s="115">
        <v>39220</v>
      </c>
      <c r="D10" s="126" t="s">
        <v>58</v>
      </c>
      <c r="E10" s="126" t="s">
        <v>59</v>
      </c>
      <c r="F10" s="116">
        <v>40</v>
      </c>
      <c r="G10" s="116">
        <v>40</v>
      </c>
      <c r="H10" s="116">
        <v>2</v>
      </c>
      <c r="I10" s="351">
        <v>100292</v>
      </c>
      <c r="J10" s="369">
        <v>13039</v>
      </c>
      <c r="K10" s="387">
        <f t="shared" si="0"/>
        <v>325.975</v>
      </c>
      <c r="L10" s="354">
        <f t="shared" si="1"/>
        <v>7.691694148324258</v>
      </c>
      <c r="M10" s="351">
        <f>217267.5+100292</f>
        <v>317559.5</v>
      </c>
      <c r="N10" s="369">
        <f>28138+13039</f>
        <v>41177</v>
      </c>
      <c r="O10" s="294">
        <f t="shared" si="2"/>
        <v>7.712060130655463</v>
      </c>
      <c r="P10" s="240"/>
    </row>
    <row r="11" spans="1:16" s="7" customFormat="1" ht="15">
      <c r="A11" s="101">
        <v>7</v>
      </c>
      <c r="B11" s="244" t="s">
        <v>434</v>
      </c>
      <c r="C11" s="114">
        <v>39220</v>
      </c>
      <c r="D11" s="125" t="s">
        <v>56</v>
      </c>
      <c r="E11" s="124" t="s">
        <v>11</v>
      </c>
      <c r="F11" s="345">
        <v>28</v>
      </c>
      <c r="G11" s="345">
        <v>28</v>
      </c>
      <c r="H11" s="345">
        <v>2</v>
      </c>
      <c r="I11" s="352">
        <v>97645</v>
      </c>
      <c r="J11" s="370">
        <v>9749</v>
      </c>
      <c r="K11" s="387">
        <f t="shared" si="0"/>
        <v>348.17857142857144</v>
      </c>
      <c r="L11" s="354">
        <f t="shared" si="1"/>
        <v>10.015899066570931</v>
      </c>
      <c r="M11" s="352">
        <f>224258+97645</f>
        <v>321903</v>
      </c>
      <c r="N11" s="370">
        <f>21977+9749</f>
        <v>31726</v>
      </c>
      <c r="O11" s="294">
        <f t="shared" si="2"/>
        <v>10.146346844859107</v>
      </c>
      <c r="P11" s="240"/>
    </row>
    <row r="12" spans="1:16" s="7" customFormat="1" ht="15">
      <c r="A12" s="101">
        <v>8</v>
      </c>
      <c r="B12" s="244" t="s">
        <v>394</v>
      </c>
      <c r="C12" s="114">
        <v>39199</v>
      </c>
      <c r="D12" s="125" t="s">
        <v>56</v>
      </c>
      <c r="E12" s="124" t="s">
        <v>11</v>
      </c>
      <c r="F12" s="345">
        <v>71</v>
      </c>
      <c r="G12" s="345">
        <v>42</v>
      </c>
      <c r="H12" s="345">
        <v>5</v>
      </c>
      <c r="I12" s="352">
        <v>30168</v>
      </c>
      <c r="J12" s="370">
        <v>6081</v>
      </c>
      <c r="K12" s="387">
        <f t="shared" si="0"/>
        <v>144.78571428571428</v>
      </c>
      <c r="L12" s="354">
        <f t="shared" si="1"/>
        <v>4.961026147015294</v>
      </c>
      <c r="M12" s="352">
        <f>477094+269146+191489+78805+30168</f>
        <v>1046702</v>
      </c>
      <c r="N12" s="370">
        <f>58610+34281+24961+13307+6081</f>
        <v>137240</v>
      </c>
      <c r="O12" s="294">
        <f t="shared" si="2"/>
        <v>7.6267997668318275</v>
      </c>
      <c r="P12" s="240"/>
    </row>
    <row r="13" spans="1:16" s="7" customFormat="1" ht="15">
      <c r="A13" s="101">
        <v>9</v>
      </c>
      <c r="B13" s="245" t="s">
        <v>384</v>
      </c>
      <c r="C13" s="115">
        <v>39192</v>
      </c>
      <c r="D13" s="126" t="s">
        <v>57</v>
      </c>
      <c r="E13" s="126" t="s">
        <v>385</v>
      </c>
      <c r="F13" s="116">
        <v>173</v>
      </c>
      <c r="G13" s="116">
        <v>53</v>
      </c>
      <c r="H13" s="116">
        <v>6</v>
      </c>
      <c r="I13" s="351">
        <v>29084</v>
      </c>
      <c r="J13" s="369">
        <v>6178</v>
      </c>
      <c r="K13" s="387">
        <f t="shared" si="0"/>
        <v>116.56603773584905</v>
      </c>
      <c r="L13" s="354">
        <f t="shared" si="1"/>
        <v>4.7076723858854</v>
      </c>
      <c r="M13" s="351">
        <v>2708675</v>
      </c>
      <c r="N13" s="369">
        <v>377140</v>
      </c>
      <c r="O13" s="294">
        <f t="shared" si="2"/>
        <v>7.182147213236464</v>
      </c>
      <c r="P13" s="240"/>
    </row>
    <row r="14" spans="1:16" s="7" customFormat="1" ht="15">
      <c r="A14" s="101">
        <v>10</v>
      </c>
      <c r="B14" s="245" t="s">
        <v>417</v>
      </c>
      <c r="C14" s="115">
        <v>39213</v>
      </c>
      <c r="D14" s="126" t="s">
        <v>57</v>
      </c>
      <c r="E14" s="126" t="s">
        <v>60</v>
      </c>
      <c r="F14" s="116">
        <v>55</v>
      </c>
      <c r="G14" s="116">
        <v>48</v>
      </c>
      <c r="H14" s="116">
        <v>3</v>
      </c>
      <c r="I14" s="351">
        <v>28375</v>
      </c>
      <c r="J14" s="369">
        <v>3648</v>
      </c>
      <c r="K14" s="387">
        <f t="shared" si="0"/>
        <v>76</v>
      </c>
      <c r="L14" s="354">
        <f t="shared" si="1"/>
        <v>7.778234649122807</v>
      </c>
      <c r="M14" s="351">
        <v>411126</v>
      </c>
      <c r="N14" s="369">
        <v>45205</v>
      </c>
      <c r="O14" s="294">
        <f t="shared" si="2"/>
        <v>9.094701913505144</v>
      </c>
      <c r="P14" s="240"/>
    </row>
    <row r="15" spans="1:16" s="7" customFormat="1" ht="15">
      <c r="A15" s="101">
        <v>11</v>
      </c>
      <c r="B15" s="245" t="s">
        <v>77</v>
      </c>
      <c r="C15" s="115">
        <v>39045</v>
      </c>
      <c r="D15" s="126" t="s">
        <v>58</v>
      </c>
      <c r="E15" s="126" t="s">
        <v>39</v>
      </c>
      <c r="F15" s="116">
        <v>74</v>
      </c>
      <c r="G15" s="116">
        <v>1</v>
      </c>
      <c r="H15" s="116">
        <v>13</v>
      </c>
      <c r="I15" s="351">
        <v>20659.5</v>
      </c>
      <c r="J15" s="369">
        <v>4132</v>
      </c>
      <c r="K15" s="387">
        <f t="shared" si="0"/>
        <v>4132</v>
      </c>
      <c r="L15" s="354">
        <f t="shared" si="1"/>
        <v>4.9998789932236205</v>
      </c>
      <c r="M15" s="351">
        <f>447721+332162.5+160222.5+67585.5+19669.5+17062+5450+305+5150+29071.5+960+166+2038-3746+657+20659.5</f>
        <v>1105134</v>
      </c>
      <c r="N15" s="369">
        <f>56147+42685+21828+11069+3736+3367+985+73+737+5809+284+401-774+144+4132</f>
        <v>150623</v>
      </c>
      <c r="O15" s="294">
        <f t="shared" si="2"/>
        <v>7.337086633515466</v>
      </c>
      <c r="P15" s="240"/>
    </row>
    <row r="16" spans="1:16" s="7" customFormat="1" ht="15">
      <c r="A16" s="101">
        <v>12</v>
      </c>
      <c r="B16" s="245" t="s">
        <v>75</v>
      </c>
      <c r="C16" s="115">
        <v>39045</v>
      </c>
      <c r="D16" s="126" t="s">
        <v>58</v>
      </c>
      <c r="E16" s="126" t="s">
        <v>76</v>
      </c>
      <c r="F16" s="116">
        <v>59</v>
      </c>
      <c r="G16" s="116">
        <v>1</v>
      </c>
      <c r="H16" s="116">
        <v>20</v>
      </c>
      <c r="I16" s="351">
        <v>20659.5</v>
      </c>
      <c r="J16" s="369">
        <v>4132</v>
      </c>
      <c r="K16" s="387">
        <f t="shared" si="0"/>
        <v>4132</v>
      </c>
      <c r="L16" s="354">
        <f t="shared" si="1"/>
        <v>4.9998789932236205</v>
      </c>
      <c r="M16" s="351">
        <f>923228.5+937012.5+950194+628448.5+336851+386155+185586+7528+78557+38487.5+19951.5+79+2267.5-1008+9203+2435+1210+836+3795.5+1284+1033+2376+20659.5</f>
        <v>4536170</v>
      </c>
      <c r="N16" s="369">
        <f>117837+123027+120667+81172+47916+61261+32646+795+14471+9345+4644+35+561-336+1591+487+300+161+1018+303+241+475+4132</f>
        <v>622749</v>
      </c>
      <c r="O16" s="294">
        <f t="shared" si="2"/>
        <v>7.284106437746186</v>
      </c>
      <c r="P16" s="240"/>
    </row>
    <row r="17" spans="1:16" s="7" customFormat="1" ht="15">
      <c r="A17" s="101">
        <v>13</v>
      </c>
      <c r="B17" s="245" t="s">
        <v>82</v>
      </c>
      <c r="C17" s="115">
        <v>39010</v>
      </c>
      <c r="D17" s="126" t="s">
        <v>58</v>
      </c>
      <c r="E17" s="126" t="s">
        <v>71</v>
      </c>
      <c r="F17" s="116">
        <v>249</v>
      </c>
      <c r="G17" s="116">
        <v>1</v>
      </c>
      <c r="H17" s="116">
        <v>21</v>
      </c>
      <c r="I17" s="351">
        <v>20659.5</v>
      </c>
      <c r="J17" s="369">
        <v>4132</v>
      </c>
      <c r="K17" s="387">
        <f t="shared" si="0"/>
        <v>4132</v>
      </c>
      <c r="L17" s="354">
        <f t="shared" si="1"/>
        <v>4.9998789932236205</v>
      </c>
      <c r="M17" s="351">
        <f>2091324+1603944+1186300.5+991717.5+717901+573177.5+337639.5+220215+96901+28369.5+13340+3471+3453+2097+5274.5+130+2629+49+347+318+369+20659.5</f>
        <v>7899626.5</v>
      </c>
      <c r="N17" s="369">
        <f>295082+234355+172754+142027+106368+86447+53316+35787+14919+3959+1914+491+674+307+1016+18+519+7+123+128+113+4132</f>
        <v>1154456</v>
      </c>
      <c r="O17" s="294">
        <f t="shared" si="2"/>
        <v>6.842726357695746</v>
      </c>
      <c r="P17" s="240"/>
    </row>
    <row r="18" spans="1:16" s="7" customFormat="1" ht="15">
      <c r="A18" s="101">
        <v>14</v>
      </c>
      <c r="B18" s="119" t="s">
        <v>393</v>
      </c>
      <c r="C18" s="117">
        <v>39199</v>
      </c>
      <c r="D18" s="128" t="s">
        <v>64</v>
      </c>
      <c r="E18" s="128" t="s">
        <v>65</v>
      </c>
      <c r="F18" s="376">
        <v>82</v>
      </c>
      <c r="G18" s="376">
        <v>43</v>
      </c>
      <c r="H18" s="376">
        <v>5</v>
      </c>
      <c r="I18" s="353">
        <v>20139</v>
      </c>
      <c r="J18" s="375">
        <v>3522</v>
      </c>
      <c r="K18" s="387">
        <f t="shared" si="0"/>
        <v>81.90697674418605</v>
      </c>
      <c r="L18" s="354">
        <f t="shared" si="1"/>
        <v>5.718057921635435</v>
      </c>
      <c r="M18" s="353">
        <v>1305078</v>
      </c>
      <c r="N18" s="375">
        <v>156701</v>
      </c>
      <c r="O18" s="294">
        <f t="shared" si="2"/>
        <v>8.328459933248672</v>
      </c>
      <c r="P18" s="240"/>
    </row>
    <row r="19" spans="1:16" s="7" customFormat="1" ht="15">
      <c r="A19" s="101">
        <v>15</v>
      </c>
      <c r="B19" s="330" t="s">
        <v>407</v>
      </c>
      <c r="C19" s="324">
        <v>39206</v>
      </c>
      <c r="D19" s="323" t="s">
        <v>436</v>
      </c>
      <c r="E19" s="323" t="s">
        <v>437</v>
      </c>
      <c r="F19" s="325">
        <v>80</v>
      </c>
      <c r="G19" s="325">
        <v>58</v>
      </c>
      <c r="H19" s="325">
        <v>4</v>
      </c>
      <c r="I19" s="371">
        <v>19327</v>
      </c>
      <c r="J19" s="372">
        <v>3685</v>
      </c>
      <c r="K19" s="387">
        <f t="shared" si="0"/>
        <v>63.53448275862069</v>
      </c>
      <c r="L19" s="354">
        <f t="shared" si="1"/>
        <v>5.244776119402985</v>
      </c>
      <c r="M19" s="371">
        <v>259104</v>
      </c>
      <c r="N19" s="372">
        <v>40220</v>
      </c>
      <c r="O19" s="294">
        <f t="shared" si="2"/>
        <v>6.442168075584286</v>
      </c>
      <c r="P19" s="240"/>
    </row>
    <row r="20" spans="1:16" s="7" customFormat="1" ht="15">
      <c r="A20" s="101">
        <v>16</v>
      </c>
      <c r="B20" s="246" t="s">
        <v>453</v>
      </c>
      <c r="C20" s="115">
        <v>39227</v>
      </c>
      <c r="D20" s="130" t="s">
        <v>23</v>
      </c>
      <c r="E20" s="129" t="s">
        <v>360</v>
      </c>
      <c r="F20" s="118">
        <v>5</v>
      </c>
      <c r="G20" s="118">
        <v>4</v>
      </c>
      <c r="H20" s="118">
        <v>1</v>
      </c>
      <c r="I20" s="351">
        <v>18794</v>
      </c>
      <c r="J20" s="369">
        <v>1711</v>
      </c>
      <c r="K20" s="387">
        <f t="shared" si="0"/>
        <v>427.75</v>
      </c>
      <c r="L20" s="354">
        <f t="shared" si="1"/>
        <v>10.984219754529516</v>
      </c>
      <c r="M20" s="351">
        <f>I20</f>
        <v>18794</v>
      </c>
      <c r="N20" s="369">
        <f>J20</f>
        <v>1711</v>
      </c>
      <c r="O20" s="294">
        <f t="shared" si="2"/>
        <v>10.984219754529516</v>
      </c>
      <c r="P20" s="240"/>
    </row>
    <row r="21" spans="1:16" s="7" customFormat="1" ht="15">
      <c r="A21" s="101">
        <v>17</v>
      </c>
      <c r="B21" s="247" t="s">
        <v>418</v>
      </c>
      <c r="C21" s="114">
        <v>39213</v>
      </c>
      <c r="D21" s="127" t="s">
        <v>55</v>
      </c>
      <c r="E21" s="127" t="s">
        <v>63</v>
      </c>
      <c r="F21" s="346" t="s">
        <v>419</v>
      </c>
      <c r="G21" s="346" t="s">
        <v>419</v>
      </c>
      <c r="H21" s="346" t="s">
        <v>383</v>
      </c>
      <c r="I21" s="352">
        <v>16646</v>
      </c>
      <c r="J21" s="370">
        <v>2467</v>
      </c>
      <c r="K21" s="387">
        <f t="shared" si="0"/>
        <v>68.52777777777777</v>
      </c>
      <c r="L21" s="354">
        <f t="shared" si="1"/>
        <v>6.747466558573166</v>
      </c>
      <c r="M21" s="352">
        <v>127906</v>
      </c>
      <c r="N21" s="370">
        <v>14647</v>
      </c>
      <c r="O21" s="294">
        <f t="shared" si="2"/>
        <v>8.732573223185636</v>
      </c>
      <c r="P21" s="240"/>
    </row>
    <row r="22" spans="1:16" s="7" customFormat="1" ht="15">
      <c r="A22" s="101">
        <v>18</v>
      </c>
      <c r="B22" s="247" t="s">
        <v>420</v>
      </c>
      <c r="C22" s="114">
        <v>39213</v>
      </c>
      <c r="D22" s="127" t="s">
        <v>73</v>
      </c>
      <c r="E22" s="127" t="s">
        <v>73</v>
      </c>
      <c r="F22" s="346" t="s">
        <v>412</v>
      </c>
      <c r="G22" s="346" t="s">
        <v>412</v>
      </c>
      <c r="H22" s="346" t="s">
        <v>383</v>
      </c>
      <c r="I22" s="352">
        <v>14887</v>
      </c>
      <c r="J22" s="370">
        <v>2461</v>
      </c>
      <c r="K22" s="387">
        <f t="shared" si="0"/>
        <v>153.8125</v>
      </c>
      <c r="L22" s="354">
        <f t="shared" si="1"/>
        <v>6.049167005282405</v>
      </c>
      <c r="M22" s="352">
        <v>77430</v>
      </c>
      <c r="N22" s="370">
        <v>9850</v>
      </c>
      <c r="O22" s="294">
        <f t="shared" si="2"/>
        <v>7.860913705583756</v>
      </c>
      <c r="P22" s="240"/>
    </row>
    <row r="23" spans="1:16" s="7" customFormat="1" ht="15">
      <c r="A23" s="101">
        <v>19</v>
      </c>
      <c r="B23" s="245" t="s">
        <v>387</v>
      </c>
      <c r="C23" s="115">
        <v>39192</v>
      </c>
      <c r="D23" s="126" t="s">
        <v>66</v>
      </c>
      <c r="E23" s="126" t="s">
        <v>66</v>
      </c>
      <c r="F23" s="116">
        <v>79</v>
      </c>
      <c r="G23" s="116">
        <v>31</v>
      </c>
      <c r="H23" s="116">
        <v>6</v>
      </c>
      <c r="I23" s="351">
        <v>13116.5</v>
      </c>
      <c r="J23" s="369">
        <v>3370</v>
      </c>
      <c r="K23" s="387">
        <f t="shared" si="0"/>
        <v>108.70967741935483</v>
      </c>
      <c r="L23" s="354">
        <f t="shared" si="1"/>
        <v>3.8921364985163205</v>
      </c>
      <c r="M23" s="351">
        <f>407730+156171.5+87089+48964+29084+13116.5</f>
        <v>742155</v>
      </c>
      <c r="N23" s="369">
        <f>48903+19527+11239+7709+5693+3370</f>
        <v>96441</v>
      </c>
      <c r="O23" s="294">
        <f t="shared" si="2"/>
        <v>7.6954303667527295</v>
      </c>
      <c r="P23" s="240"/>
    </row>
    <row r="24" spans="1:16" s="7" customFormat="1" ht="15">
      <c r="A24" s="101">
        <v>20</v>
      </c>
      <c r="B24" s="247" t="s">
        <v>308</v>
      </c>
      <c r="C24" s="114">
        <v>39157</v>
      </c>
      <c r="D24" s="127" t="s">
        <v>45</v>
      </c>
      <c r="E24" s="127" t="s">
        <v>309</v>
      </c>
      <c r="F24" s="346" t="s">
        <v>350</v>
      </c>
      <c r="G24" s="346" t="s">
        <v>454</v>
      </c>
      <c r="H24" s="346" t="s">
        <v>409</v>
      </c>
      <c r="I24" s="352">
        <v>12420.5</v>
      </c>
      <c r="J24" s="370">
        <v>2634</v>
      </c>
      <c r="K24" s="387">
        <f t="shared" si="0"/>
        <v>131.7</v>
      </c>
      <c r="L24" s="354">
        <f t="shared" si="1"/>
        <v>4.7154517843583905</v>
      </c>
      <c r="M24" s="352">
        <v>3670269.5</v>
      </c>
      <c r="N24" s="370">
        <v>535938</v>
      </c>
      <c r="O24" s="294">
        <f t="shared" si="2"/>
        <v>6.848309879127809</v>
      </c>
      <c r="P24" s="240"/>
    </row>
    <row r="25" spans="1:16" s="7" customFormat="1" ht="15">
      <c r="A25" s="101">
        <v>21</v>
      </c>
      <c r="B25" s="245" t="s">
        <v>341</v>
      </c>
      <c r="C25" s="115">
        <v>39164</v>
      </c>
      <c r="D25" s="126" t="s">
        <v>58</v>
      </c>
      <c r="E25" s="126" t="s">
        <v>455</v>
      </c>
      <c r="F25" s="116">
        <v>40</v>
      </c>
      <c r="G25" s="116">
        <v>7</v>
      </c>
      <c r="H25" s="116">
        <v>10</v>
      </c>
      <c r="I25" s="351">
        <v>8388</v>
      </c>
      <c r="J25" s="369">
        <v>1638</v>
      </c>
      <c r="K25" s="387">
        <f t="shared" si="0"/>
        <v>234</v>
      </c>
      <c r="L25" s="354">
        <f t="shared" si="1"/>
        <v>5.1208791208791204</v>
      </c>
      <c r="M25" s="351">
        <f>452783.5+369193.5-156.5+194527+1+121223+68185+44103+34172+22942+14917.5+8388</f>
        <v>1330279</v>
      </c>
      <c r="N25" s="369">
        <f>49233+40219-14+22195+17046+12080+7513+6232+4202+2944+1638</f>
        <v>163288</v>
      </c>
      <c r="O25" s="294">
        <f t="shared" si="2"/>
        <v>8.14682646612121</v>
      </c>
      <c r="P25" s="240"/>
    </row>
    <row r="26" spans="1:16" s="7" customFormat="1" ht="15">
      <c r="A26" s="101">
        <v>22</v>
      </c>
      <c r="B26" s="247" t="s">
        <v>398</v>
      </c>
      <c r="C26" s="114">
        <v>39199</v>
      </c>
      <c r="D26" s="127" t="s">
        <v>73</v>
      </c>
      <c r="E26" s="127" t="s">
        <v>135</v>
      </c>
      <c r="F26" s="346" t="s">
        <v>324</v>
      </c>
      <c r="G26" s="346" t="s">
        <v>324</v>
      </c>
      <c r="H26" s="346" t="s">
        <v>324</v>
      </c>
      <c r="I26" s="352">
        <v>7827.5</v>
      </c>
      <c r="J26" s="370">
        <v>875</v>
      </c>
      <c r="K26" s="387">
        <f t="shared" si="0"/>
        <v>175</v>
      </c>
      <c r="L26" s="354">
        <f t="shared" si="1"/>
        <v>8.945714285714285</v>
      </c>
      <c r="M26" s="352">
        <v>144326.5</v>
      </c>
      <c r="N26" s="370">
        <v>13151</v>
      </c>
      <c r="O26" s="294">
        <f t="shared" si="2"/>
        <v>10.97456467188807</v>
      </c>
      <c r="P26" s="240"/>
    </row>
    <row r="27" spans="1:16" s="7" customFormat="1" ht="15">
      <c r="A27" s="101">
        <v>23</v>
      </c>
      <c r="B27" s="244" t="s">
        <v>386</v>
      </c>
      <c r="C27" s="114">
        <v>39192</v>
      </c>
      <c r="D27" s="125" t="s">
        <v>56</v>
      </c>
      <c r="E27" s="124" t="s">
        <v>61</v>
      </c>
      <c r="F27" s="345">
        <v>71</v>
      </c>
      <c r="G27" s="345">
        <v>13</v>
      </c>
      <c r="H27" s="345">
        <v>6</v>
      </c>
      <c r="I27" s="352">
        <v>7805</v>
      </c>
      <c r="J27" s="370">
        <v>1433</v>
      </c>
      <c r="K27" s="387">
        <f t="shared" si="0"/>
        <v>110.23076923076923</v>
      </c>
      <c r="L27" s="354">
        <f t="shared" si="1"/>
        <v>5.446615491974878</v>
      </c>
      <c r="M27" s="352">
        <f>650722+343253+182218+69965+35143+7805</f>
        <v>1289106</v>
      </c>
      <c r="N27" s="370">
        <f>69605+37920+20625+11182+6173+1433</f>
        <v>146938</v>
      </c>
      <c r="O27" s="294">
        <f t="shared" si="2"/>
        <v>8.773128802624235</v>
      </c>
      <c r="P27" s="240"/>
    </row>
    <row r="28" spans="1:16" s="7" customFormat="1" ht="15">
      <c r="A28" s="101">
        <v>24</v>
      </c>
      <c r="B28" s="246" t="s">
        <v>351</v>
      </c>
      <c r="C28" s="115">
        <v>39178</v>
      </c>
      <c r="D28" s="130" t="s">
        <v>23</v>
      </c>
      <c r="E28" s="129" t="s">
        <v>27</v>
      </c>
      <c r="F28" s="118">
        <v>43</v>
      </c>
      <c r="G28" s="118">
        <v>13</v>
      </c>
      <c r="H28" s="118">
        <v>8</v>
      </c>
      <c r="I28" s="351">
        <v>6929.5</v>
      </c>
      <c r="J28" s="369">
        <v>1464</v>
      </c>
      <c r="K28" s="387">
        <f t="shared" si="0"/>
        <v>112.61538461538461</v>
      </c>
      <c r="L28" s="354">
        <f t="shared" si="1"/>
        <v>4.733265027322404</v>
      </c>
      <c r="M28" s="351">
        <f>334660+186251+75988+40440+17431+27188+25044.5+6929.5</f>
        <v>713932</v>
      </c>
      <c r="N28" s="369">
        <f>37459+21078+10255+6270+3694+4932+4892+1464</f>
        <v>90044</v>
      </c>
      <c r="O28" s="294">
        <f t="shared" si="2"/>
        <v>7.928701523699525</v>
      </c>
      <c r="P28" s="240"/>
    </row>
    <row r="29" spans="1:16" s="7" customFormat="1" ht="15">
      <c r="A29" s="101">
        <v>25</v>
      </c>
      <c r="B29" s="245" t="s">
        <v>257</v>
      </c>
      <c r="C29" s="115">
        <v>39129</v>
      </c>
      <c r="D29" s="126" t="s">
        <v>66</v>
      </c>
      <c r="E29" s="126" t="s">
        <v>66</v>
      </c>
      <c r="F29" s="116">
        <v>43</v>
      </c>
      <c r="G29" s="116">
        <v>6</v>
      </c>
      <c r="H29" s="116">
        <v>14</v>
      </c>
      <c r="I29" s="351">
        <v>6120</v>
      </c>
      <c r="J29" s="369">
        <v>1023</v>
      </c>
      <c r="K29" s="387">
        <f t="shared" si="0"/>
        <v>170.5</v>
      </c>
      <c r="L29" s="354">
        <f t="shared" si="1"/>
        <v>5.9824046920821115</v>
      </c>
      <c r="M29" s="351">
        <f>384662.5+356262.5+212054+113636.5+58120+27335.5+24431+10836.5+5+6679.5+256+268+626+1136+6120</f>
        <v>1202429</v>
      </c>
      <c r="N29" s="369">
        <f>44623+40340+24564+15320+9563+4723+4295+2247+1249+49+49+137+101+1023</f>
        <v>148283</v>
      </c>
      <c r="O29" s="294">
        <f t="shared" si="2"/>
        <v>8.109014519533595</v>
      </c>
      <c r="P29" s="240"/>
    </row>
    <row r="30" spans="1:16" s="7" customFormat="1" ht="15">
      <c r="A30" s="101">
        <v>26</v>
      </c>
      <c r="B30" s="245" t="s">
        <v>397</v>
      </c>
      <c r="C30" s="115">
        <v>39199</v>
      </c>
      <c r="D30" s="126" t="s">
        <v>58</v>
      </c>
      <c r="E30" s="126" t="s">
        <v>59</v>
      </c>
      <c r="F30" s="116">
        <v>12</v>
      </c>
      <c r="G30" s="116">
        <v>12</v>
      </c>
      <c r="H30" s="116">
        <v>5</v>
      </c>
      <c r="I30" s="351">
        <v>5984</v>
      </c>
      <c r="J30" s="369">
        <v>932</v>
      </c>
      <c r="K30" s="387">
        <f t="shared" si="0"/>
        <v>77.66666666666667</v>
      </c>
      <c r="L30" s="354">
        <f t="shared" si="1"/>
        <v>6.420600858369099</v>
      </c>
      <c r="M30" s="351">
        <f>65278+43624+18025+11913.5+8482+5984</f>
        <v>153306.5</v>
      </c>
      <c r="N30" s="369">
        <f>6781+4516+2043+1620+1413+932</f>
        <v>17305</v>
      </c>
      <c r="O30" s="294">
        <f t="shared" si="2"/>
        <v>8.85908696908408</v>
      </c>
      <c r="P30" s="240"/>
    </row>
    <row r="31" spans="1:16" s="7" customFormat="1" ht="15">
      <c r="A31" s="101">
        <v>27</v>
      </c>
      <c r="B31" s="244" t="s">
        <v>342</v>
      </c>
      <c r="C31" s="114">
        <v>39171</v>
      </c>
      <c r="D31" s="125" t="s">
        <v>56</v>
      </c>
      <c r="E31" s="124" t="s">
        <v>343</v>
      </c>
      <c r="F31" s="345">
        <v>68</v>
      </c>
      <c r="G31" s="345">
        <v>5</v>
      </c>
      <c r="H31" s="345">
        <v>9</v>
      </c>
      <c r="I31" s="352">
        <v>5539</v>
      </c>
      <c r="J31" s="370">
        <v>1579</v>
      </c>
      <c r="K31" s="387">
        <f t="shared" si="0"/>
        <v>315.8</v>
      </c>
      <c r="L31" s="354">
        <f t="shared" si="1"/>
        <v>3.5079164027865737</v>
      </c>
      <c r="M31" s="352">
        <f>270988+95442+28855+5671+6953+2961+2297+922+5539</f>
        <v>419628</v>
      </c>
      <c r="N31" s="370">
        <f>33356+12721+4525+974+2138+1073+527+197+1579</f>
        <v>57090</v>
      </c>
      <c r="O31" s="294">
        <f t="shared" si="2"/>
        <v>7.350289017341041</v>
      </c>
      <c r="P31" s="240"/>
    </row>
    <row r="32" spans="1:16" s="7" customFormat="1" ht="15">
      <c r="A32" s="101">
        <v>28</v>
      </c>
      <c r="B32" s="244" t="s">
        <v>396</v>
      </c>
      <c r="C32" s="114">
        <v>39185</v>
      </c>
      <c r="D32" s="124" t="s">
        <v>48</v>
      </c>
      <c r="E32" s="124" t="s">
        <v>368</v>
      </c>
      <c r="F32" s="345">
        <v>111</v>
      </c>
      <c r="G32" s="345">
        <v>6</v>
      </c>
      <c r="H32" s="345">
        <v>7</v>
      </c>
      <c r="I32" s="355">
        <v>5027.5</v>
      </c>
      <c r="J32" s="387">
        <v>679</v>
      </c>
      <c r="K32" s="387">
        <f t="shared" si="0"/>
        <v>113.16666666666667</v>
      </c>
      <c r="L32" s="354">
        <f t="shared" si="1"/>
        <v>7.404270986745214</v>
      </c>
      <c r="M32" s="355">
        <f>550873+359055.5+115537.5+21112+17511+9052.5+5027.5</f>
        <v>1078169</v>
      </c>
      <c r="N32" s="369">
        <f>70778+47361+16211+3692+3517+1501+679</f>
        <v>143739</v>
      </c>
      <c r="O32" s="294">
        <f t="shared" si="2"/>
        <v>7.5008800673442835</v>
      </c>
      <c r="P32" s="240"/>
    </row>
    <row r="33" spans="1:16" s="7" customFormat="1" ht="15">
      <c r="A33" s="101">
        <v>29</v>
      </c>
      <c r="B33" s="245" t="s">
        <v>127</v>
      </c>
      <c r="C33" s="115">
        <v>39066</v>
      </c>
      <c r="D33" s="126" t="s">
        <v>58</v>
      </c>
      <c r="E33" s="126" t="s">
        <v>114</v>
      </c>
      <c r="F33" s="116">
        <v>42</v>
      </c>
      <c r="G33" s="116">
        <v>3</v>
      </c>
      <c r="H33" s="116">
        <v>15</v>
      </c>
      <c r="I33" s="351">
        <v>4531.5</v>
      </c>
      <c r="J33" s="369">
        <v>906</v>
      </c>
      <c r="K33" s="387">
        <f t="shared" si="0"/>
        <v>302</v>
      </c>
      <c r="L33" s="354">
        <f t="shared" si="1"/>
        <v>5.001655629139073</v>
      </c>
      <c r="M33" s="351">
        <f>209701.5+109863.5+41050.5+19306.5+225+6896.5+1781+2843+2025+5538.5+533+831+160+3021+2376+4531.5</f>
        <v>410683.5</v>
      </c>
      <c r="N33" s="369">
        <f>27729+14260+5261+3088+18+1472+334+581+379+1614+148+256+32+605+475+906</f>
        <v>57158</v>
      </c>
      <c r="O33" s="294">
        <f t="shared" si="2"/>
        <v>7.1850572098393926</v>
      </c>
      <c r="P33" s="240"/>
    </row>
    <row r="34" spans="1:16" s="7" customFormat="1" ht="15">
      <c r="A34" s="101">
        <v>30</v>
      </c>
      <c r="B34" s="246" t="s">
        <v>238</v>
      </c>
      <c r="C34" s="115">
        <v>39115</v>
      </c>
      <c r="D34" s="130" t="s">
        <v>23</v>
      </c>
      <c r="E34" s="129" t="s">
        <v>33</v>
      </c>
      <c r="F34" s="118">
        <v>7</v>
      </c>
      <c r="G34" s="118">
        <v>5</v>
      </c>
      <c r="H34" s="118">
        <v>15</v>
      </c>
      <c r="I34" s="351">
        <v>4037</v>
      </c>
      <c r="J34" s="369">
        <v>530</v>
      </c>
      <c r="K34" s="387">
        <f t="shared" si="0"/>
        <v>106</v>
      </c>
      <c r="L34" s="354">
        <f t="shared" si="1"/>
        <v>7.6169811320754715</v>
      </c>
      <c r="M34" s="351">
        <f>17653+2664+2547+3149.5+1301+782+4139+3319+2916+1353+211+25+1358+2067.5+4037</f>
        <v>47522</v>
      </c>
      <c r="N34" s="369">
        <f>1861+315+483+453+199+125+780+688+532+250+58+10+324+278+530</f>
        <v>6886</v>
      </c>
      <c r="O34" s="294">
        <f t="shared" si="2"/>
        <v>6.9012489108335755</v>
      </c>
      <c r="P34" s="240"/>
    </row>
    <row r="35" spans="1:16" s="7" customFormat="1" ht="15">
      <c r="A35" s="101">
        <v>31</v>
      </c>
      <c r="B35" s="245" t="s">
        <v>348</v>
      </c>
      <c r="C35" s="115">
        <v>39178</v>
      </c>
      <c r="D35" s="126" t="s">
        <v>55</v>
      </c>
      <c r="E35" s="126" t="s">
        <v>349</v>
      </c>
      <c r="F35" s="116">
        <v>55</v>
      </c>
      <c r="G35" s="116">
        <v>12</v>
      </c>
      <c r="H35" s="116">
        <v>8</v>
      </c>
      <c r="I35" s="351">
        <v>3679</v>
      </c>
      <c r="J35" s="369">
        <v>667</v>
      </c>
      <c r="K35" s="387">
        <f t="shared" si="0"/>
        <v>55.583333333333336</v>
      </c>
      <c r="L35" s="354">
        <f t="shared" si="1"/>
        <v>5.515742128935532</v>
      </c>
      <c r="M35" s="351">
        <v>1349198.58</v>
      </c>
      <c r="N35" s="369">
        <v>157009</v>
      </c>
      <c r="O35" s="294">
        <f t="shared" si="2"/>
        <v>8.593128928914904</v>
      </c>
      <c r="P35" s="240"/>
    </row>
    <row r="36" spans="1:16" s="7" customFormat="1" ht="15">
      <c r="A36" s="101">
        <v>32</v>
      </c>
      <c r="B36" s="245" t="s">
        <v>395</v>
      </c>
      <c r="C36" s="115">
        <v>39199</v>
      </c>
      <c r="D36" s="126" t="s">
        <v>57</v>
      </c>
      <c r="E36" s="126" t="s">
        <v>60</v>
      </c>
      <c r="F36" s="116">
        <v>46</v>
      </c>
      <c r="G36" s="116">
        <v>14</v>
      </c>
      <c r="H36" s="116">
        <v>5</v>
      </c>
      <c r="I36" s="351">
        <v>3330</v>
      </c>
      <c r="J36" s="369">
        <v>594</v>
      </c>
      <c r="K36" s="387">
        <f t="shared" si="0"/>
        <v>42.42857142857143</v>
      </c>
      <c r="L36" s="354">
        <f t="shared" si="1"/>
        <v>5.606060606060606</v>
      </c>
      <c r="M36" s="351">
        <v>302971</v>
      </c>
      <c r="N36" s="369">
        <v>35108</v>
      </c>
      <c r="O36" s="294">
        <f t="shared" si="2"/>
        <v>8.629685541756865</v>
      </c>
      <c r="P36" s="240"/>
    </row>
    <row r="37" spans="1:16" s="7" customFormat="1" ht="15">
      <c r="A37" s="101">
        <v>33</v>
      </c>
      <c r="B37" s="245" t="s">
        <v>421</v>
      </c>
      <c r="C37" s="115">
        <v>39213</v>
      </c>
      <c r="D37" s="126" t="s">
        <v>58</v>
      </c>
      <c r="E37" s="126" t="s">
        <v>59</v>
      </c>
      <c r="F37" s="116">
        <v>5</v>
      </c>
      <c r="G37" s="116">
        <v>5</v>
      </c>
      <c r="H37" s="116">
        <v>3</v>
      </c>
      <c r="I37" s="351">
        <v>3201</v>
      </c>
      <c r="J37" s="369">
        <v>383</v>
      </c>
      <c r="K37" s="387">
        <f aca="true" t="shared" si="3" ref="K37:K68">J37/G37</f>
        <v>76.6</v>
      </c>
      <c r="L37" s="354">
        <f aca="true" t="shared" si="4" ref="L37:L68">I37/J37</f>
        <v>8.357702349869452</v>
      </c>
      <c r="M37" s="351">
        <f>25052+11949.5+3201</f>
        <v>40202.5</v>
      </c>
      <c r="N37" s="369">
        <f>2528+1205+383</f>
        <v>4116</v>
      </c>
      <c r="O37" s="294">
        <f aca="true" t="shared" si="5" ref="O37:O68">+M37/N37</f>
        <v>9.76737123420797</v>
      </c>
      <c r="P37" s="240"/>
    </row>
    <row r="38" spans="1:16" s="7" customFormat="1" ht="15">
      <c r="A38" s="101">
        <v>34</v>
      </c>
      <c r="B38" s="244" t="s">
        <v>317</v>
      </c>
      <c r="C38" s="114">
        <v>39164</v>
      </c>
      <c r="D38" s="125" t="s">
        <v>56</v>
      </c>
      <c r="E38" s="124" t="s">
        <v>11</v>
      </c>
      <c r="F38" s="345">
        <v>67</v>
      </c>
      <c r="G38" s="345">
        <v>6</v>
      </c>
      <c r="H38" s="345">
        <v>10</v>
      </c>
      <c r="I38" s="352">
        <v>3019</v>
      </c>
      <c r="J38" s="370">
        <v>534</v>
      </c>
      <c r="K38" s="387">
        <f t="shared" si="3"/>
        <v>89</v>
      </c>
      <c r="L38" s="354">
        <f t="shared" si="4"/>
        <v>5.653558052434457</v>
      </c>
      <c r="M38" s="352">
        <f>7213+744394+558705+271317+50816+12988+9955+3876+1748+6837+3019</f>
        <v>1670868</v>
      </c>
      <c r="N38" s="370">
        <f>773+77628+58862+29936+6447+2076+1922+726+287+1913+534</f>
        <v>181104</v>
      </c>
      <c r="O38" s="294">
        <f t="shared" si="5"/>
        <v>9.226013782136231</v>
      </c>
      <c r="P38" s="240"/>
    </row>
    <row r="39" spans="1:16" s="7" customFormat="1" ht="15">
      <c r="A39" s="101">
        <v>35</v>
      </c>
      <c r="B39" s="245" t="s">
        <v>388</v>
      </c>
      <c r="C39" s="115">
        <v>39192</v>
      </c>
      <c r="D39" s="126" t="s">
        <v>58</v>
      </c>
      <c r="E39" s="126" t="s">
        <v>363</v>
      </c>
      <c r="F39" s="116">
        <v>30</v>
      </c>
      <c r="G39" s="116">
        <v>8</v>
      </c>
      <c r="H39" s="116">
        <v>6</v>
      </c>
      <c r="I39" s="351">
        <v>2979</v>
      </c>
      <c r="J39" s="369">
        <v>589</v>
      </c>
      <c r="K39" s="387">
        <f t="shared" si="3"/>
        <v>73.625</v>
      </c>
      <c r="L39" s="354">
        <f t="shared" si="4"/>
        <v>5.057724957555179</v>
      </c>
      <c r="M39" s="351">
        <f>71030+32901.5+17721.5+14872+9513+2979</f>
        <v>149017</v>
      </c>
      <c r="N39" s="369">
        <f>8415+4258+2684+2483+1579+589</f>
        <v>20008</v>
      </c>
      <c r="O39" s="294">
        <f t="shared" si="5"/>
        <v>7.447870851659336</v>
      </c>
      <c r="P39" s="240"/>
    </row>
    <row r="40" spans="1:16" s="7" customFormat="1" ht="15">
      <c r="A40" s="101">
        <v>36</v>
      </c>
      <c r="B40" s="247" t="s">
        <v>290</v>
      </c>
      <c r="C40" s="114">
        <v>39156</v>
      </c>
      <c r="D40" s="127" t="s">
        <v>45</v>
      </c>
      <c r="E40" s="127" t="s">
        <v>344</v>
      </c>
      <c r="F40" s="346" t="s">
        <v>289</v>
      </c>
      <c r="G40" s="346" t="s">
        <v>383</v>
      </c>
      <c r="H40" s="346" t="s">
        <v>428</v>
      </c>
      <c r="I40" s="352">
        <v>2615</v>
      </c>
      <c r="J40" s="370">
        <v>758</v>
      </c>
      <c r="K40" s="387">
        <f t="shared" si="3"/>
        <v>252.66666666666666</v>
      </c>
      <c r="L40" s="354">
        <f t="shared" si="4"/>
        <v>3.449868073878628</v>
      </c>
      <c r="M40" s="352">
        <v>2039235.5</v>
      </c>
      <c r="N40" s="370">
        <v>271986</v>
      </c>
      <c r="O40" s="294">
        <f t="shared" si="5"/>
        <v>7.497575242843381</v>
      </c>
      <c r="P40" s="240"/>
    </row>
    <row r="41" spans="1:16" s="7" customFormat="1" ht="15">
      <c r="A41" s="101">
        <v>37</v>
      </c>
      <c r="B41" s="247" t="s">
        <v>408</v>
      </c>
      <c r="C41" s="114">
        <v>39206</v>
      </c>
      <c r="D41" s="127" t="s">
        <v>73</v>
      </c>
      <c r="E41" s="127" t="s">
        <v>439</v>
      </c>
      <c r="F41" s="346" t="s">
        <v>324</v>
      </c>
      <c r="G41" s="346" t="s">
        <v>324</v>
      </c>
      <c r="H41" s="346" t="s">
        <v>297</v>
      </c>
      <c r="I41" s="352">
        <v>2607</v>
      </c>
      <c r="J41" s="370">
        <v>354</v>
      </c>
      <c r="K41" s="387">
        <f t="shared" si="3"/>
        <v>70.8</v>
      </c>
      <c r="L41" s="354">
        <f t="shared" si="4"/>
        <v>7.364406779661017</v>
      </c>
      <c r="M41" s="352">
        <v>18524.5</v>
      </c>
      <c r="N41" s="370">
        <v>2183</v>
      </c>
      <c r="O41" s="294">
        <f t="shared" si="5"/>
        <v>8.485799358680715</v>
      </c>
      <c r="P41" s="240"/>
    </row>
    <row r="42" spans="1:16" s="7" customFormat="1" ht="15">
      <c r="A42" s="101">
        <v>38</v>
      </c>
      <c r="B42" s="245" t="s">
        <v>369</v>
      </c>
      <c r="C42" s="115">
        <v>39185</v>
      </c>
      <c r="D42" s="126" t="s">
        <v>57</v>
      </c>
      <c r="E42" s="126" t="s">
        <v>65</v>
      </c>
      <c r="F42" s="116">
        <v>55</v>
      </c>
      <c r="G42" s="116">
        <v>5</v>
      </c>
      <c r="H42" s="116">
        <v>7</v>
      </c>
      <c r="I42" s="351">
        <v>2492</v>
      </c>
      <c r="J42" s="369">
        <v>567</v>
      </c>
      <c r="K42" s="387">
        <f t="shared" si="3"/>
        <v>113.4</v>
      </c>
      <c r="L42" s="354">
        <f t="shared" si="4"/>
        <v>4.395061728395062</v>
      </c>
      <c r="M42" s="351">
        <v>707183</v>
      </c>
      <c r="N42" s="369">
        <v>84906</v>
      </c>
      <c r="O42" s="294">
        <f t="shared" si="5"/>
        <v>8.329010906178597</v>
      </c>
      <c r="P42" s="240"/>
    </row>
    <row r="43" spans="1:16" s="7" customFormat="1" ht="15">
      <c r="A43" s="101">
        <v>39</v>
      </c>
      <c r="B43" s="247" t="s">
        <v>345</v>
      </c>
      <c r="C43" s="114">
        <v>39171</v>
      </c>
      <c r="D43" s="127" t="s">
        <v>184</v>
      </c>
      <c r="E43" s="127" t="s">
        <v>184</v>
      </c>
      <c r="F43" s="276">
        <v>20</v>
      </c>
      <c r="G43" s="276">
        <v>2</v>
      </c>
      <c r="H43" s="276">
        <v>9</v>
      </c>
      <c r="I43" s="352">
        <v>2393</v>
      </c>
      <c r="J43" s="370">
        <v>720</v>
      </c>
      <c r="K43" s="387">
        <f t="shared" si="3"/>
        <v>360</v>
      </c>
      <c r="L43" s="354">
        <f t="shared" si="4"/>
        <v>3.323611111111111</v>
      </c>
      <c r="M43" s="351">
        <v>240020</v>
      </c>
      <c r="N43" s="369">
        <v>25060</v>
      </c>
      <c r="O43" s="294">
        <f t="shared" si="5"/>
        <v>9.57781324820431</v>
      </c>
      <c r="P43" s="240"/>
    </row>
    <row r="44" spans="1:16" s="7" customFormat="1" ht="15">
      <c r="A44" s="101">
        <v>40</v>
      </c>
      <c r="B44" s="247" t="s">
        <v>123</v>
      </c>
      <c r="C44" s="114">
        <v>39080</v>
      </c>
      <c r="D44" s="127" t="s">
        <v>45</v>
      </c>
      <c r="E44" s="127" t="s">
        <v>97</v>
      </c>
      <c r="F44" s="346" t="s">
        <v>124</v>
      </c>
      <c r="G44" s="346" t="s">
        <v>37</v>
      </c>
      <c r="H44" s="346" t="s">
        <v>456</v>
      </c>
      <c r="I44" s="352">
        <v>2376</v>
      </c>
      <c r="J44" s="370">
        <v>792</v>
      </c>
      <c r="K44" s="387">
        <f t="shared" si="3"/>
        <v>396</v>
      </c>
      <c r="L44" s="354">
        <f t="shared" si="4"/>
        <v>3</v>
      </c>
      <c r="M44" s="352">
        <v>3059149</v>
      </c>
      <c r="N44" s="370">
        <v>410747</v>
      </c>
      <c r="O44" s="294">
        <f t="shared" si="5"/>
        <v>7.447769551573109</v>
      </c>
      <c r="P44" s="240"/>
    </row>
    <row r="45" spans="1:16" s="7" customFormat="1" ht="15">
      <c r="A45" s="101">
        <v>41</v>
      </c>
      <c r="B45" s="247" t="s">
        <v>370</v>
      </c>
      <c r="C45" s="114">
        <v>39185</v>
      </c>
      <c r="D45" s="127" t="s">
        <v>45</v>
      </c>
      <c r="E45" s="127" t="s">
        <v>371</v>
      </c>
      <c r="F45" s="346" t="s">
        <v>372</v>
      </c>
      <c r="G45" s="346" t="s">
        <v>324</v>
      </c>
      <c r="H45" s="346" t="s">
        <v>301</v>
      </c>
      <c r="I45" s="352">
        <v>2343</v>
      </c>
      <c r="J45" s="370">
        <v>588</v>
      </c>
      <c r="K45" s="387">
        <f t="shared" si="3"/>
        <v>117.6</v>
      </c>
      <c r="L45" s="354">
        <f t="shared" si="4"/>
        <v>3.9846938775510203</v>
      </c>
      <c r="M45" s="352">
        <v>557753.5</v>
      </c>
      <c r="N45" s="370">
        <v>75346</v>
      </c>
      <c r="O45" s="294">
        <f t="shared" si="5"/>
        <v>7.4025628434157085</v>
      </c>
      <c r="P45" s="240"/>
    </row>
    <row r="46" spans="1:16" s="7" customFormat="1" ht="15">
      <c r="A46" s="101">
        <v>42</v>
      </c>
      <c r="B46" s="245" t="s">
        <v>457</v>
      </c>
      <c r="C46" s="115">
        <v>39227</v>
      </c>
      <c r="D46" s="126" t="s">
        <v>299</v>
      </c>
      <c r="E46" s="126" t="s">
        <v>458</v>
      </c>
      <c r="F46" s="116">
        <v>2</v>
      </c>
      <c r="G46" s="116">
        <v>2</v>
      </c>
      <c r="H46" s="116">
        <v>1</v>
      </c>
      <c r="I46" s="351">
        <v>2033</v>
      </c>
      <c r="J46" s="369">
        <v>223</v>
      </c>
      <c r="K46" s="387">
        <f t="shared" si="3"/>
        <v>111.5</v>
      </c>
      <c r="L46" s="354">
        <f t="shared" si="4"/>
        <v>9.116591928251122</v>
      </c>
      <c r="M46" s="351">
        <v>2033</v>
      </c>
      <c r="N46" s="369">
        <v>223</v>
      </c>
      <c r="O46" s="294">
        <f t="shared" si="5"/>
        <v>9.116591928251122</v>
      </c>
      <c r="P46" s="240"/>
    </row>
    <row r="47" spans="1:16" s="7" customFormat="1" ht="15">
      <c r="A47" s="101">
        <v>43</v>
      </c>
      <c r="B47" s="244" t="s">
        <v>352</v>
      </c>
      <c r="C47" s="114">
        <v>39178</v>
      </c>
      <c r="D47" s="125" t="s">
        <v>56</v>
      </c>
      <c r="E47" s="124" t="s">
        <v>353</v>
      </c>
      <c r="F47" s="345">
        <v>34</v>
      </c>
      <c r="G47" s="345">
        <v>5</v>
      </c>
      <c r="H47" s="345">
        <v>8</v>
      </c>
      <c r="I47" s="352">
        <v>1857</v>
      </c>
      <c r="J47" s="370">
        <v>290</v>
      </c>
      <c r="K47" s="387">
        <f t="shared" si="3"/>
        <v>58</v>
      </c>
      <c r="L47" s="354">
        <f t="shared" si="4"/>
        <v>6.403448275862069</v>
      </c>
      <c r="M47" s="352">
        <f>223196+134862+40207+12529+4197+8039+12995+1857</f>
        <v>437882</v>
      </c>
      <c r="N47" s="370">
        <f>21768+13324+4159+1744+536+1050+1869+290</f>
        <v>44740</v>
      </c>
      <c r="O47" s="294">
        <f t="shared" si="5"/>
        <v>9.787259722843093</v>
      </c>
      <c r="P47" s="240"/>
    </row>
    <row r="48" spans="1:16" s="7" customFormat="1" ht="15">
      <c r="A48" s="101">
        <v>44</v>
      </c>
      <c r="B48" s="244" t="s">
        <v>226</v>
      </c>
      <c r="C48" s="114">
        <v>39115</v>
      </c>
      <c r="D48" s="125" t="s">
        <v>56</v>
      </c>
      <c r="E48" s="124" t="s">
        <v>11</v>
      </c>
      <c r="F48" s="345">
        <v>81</v>
      </c>
      <c r="G48" s="345">
        <v>1</v>
      </c>
      <c r="H48" s="345">
        <v>13</v>
      </c>
      <c r="I48" s="352">
        <v>1782</v>
      </c>
      <c r="J48" s="370">
        <v>509</v>
      </c>
      <c r="K48" s="387">
        <f t="shared" si="3"/>
        <v>509</v>
      </c>
      <c r="L48" s="354">
        <f t="shared" si="4"/>
        <v>3.5009823182711197</v>
      </c>
      <c r="M48" s="352">
        <f>3091+1174032+810484+561094+347033+135358+88526+33166+9630+2505+2639+286+251+1782</f>
        <v>3169877</v>
      </c>
      <c r="N48" s="370">
        <f>289+128246+92369+63358+42093+20318+16522+7468+2207+501+1112+39+34+509</f>
        <v>375065</v>
      </c>
      <c r="O48" s="294">
        <f t="shared" si="5"/>
        <v>8.451540399664058</v>
      </c>
      <c r="P48" s="240"/>
    </row>
    <row r="49" spans="1:16" s="7" customFormat="1" ht="15">
      <c r="A49" s="101">
        <v>45</v>
      </c>
      <c r="B49" s="245" t="s">
        <v>266</v>
      </c>
      <c r="C49" s="115">
        <v>39136</v>
      </c>
      <c r="D49" s="126" t="s">
        <v>58</v>
      </c>
      <c r="E49" s="126" t="s">
        <v>311</v>
      </c>
      <c r="F49" s="116">
        <v>50</v>
      </c>
      <c r="G49" s="116">
        <v>1</v>
      </c>
      <c r="H49" s="116">
        <v>13</v>
      </c>
      <c r="I49" s="351">
        <v>1510.5</v>
      </c>
      <c r="J49" s="369">
        <v>302</v>
      </c>
      <c r="K49" s="387">
        <f t="shared" si="3"/>
        <v>302</v>
      </c>
      <c r="L49" s="354">
        <f t="shared" si="4"/>
        <v>5.001655629139073</v>
      </c>
      <c r="M49" s="351">
        <f>176703.5+117666.5+55649.5-153+26033.5+13075.5+7867.5+4158.5+2675.5+853+2376+1975+1335+1510.5</f>
        <v>411726.5</v>
      </c>
      <c r="N49" s="369">
        <f>23632+15507+7944-13+4855+2498+1683+890+562+202+475+395+267+302</f>
        <v>59199</v>
      </c>
      <c r="O49" s="294">
        <f t="shared" si="5"/>
        <v>6.954957009408942</v>
      </c>
      <c r="P49" s="240"/>
    </row>
    <row r="50" spans="1:16" s="7" customFormat="1" ht="15">
      <c r="A50" s="101">
        <v>46</v>
      </c>
      <c r="B50" s="245" t="s">
        <v>198</v>
      </c>
      <c r="C50" s="115">
        <v>38982</v>
      </c>
      <c r="D50" s="126" t="s">
        <v>58</v>
      </c>
      <c r="E50" s="126" t="s">
        <v>199</v>
      </c>
      <c r="F50" s="116">
        <v>22</v>
      </c>
      <c r="G50" s="116">
        <v>1</v>
      </c>
      <c r="H50" s="116">
        <v>16</v>
      </c>
      <c r="I50" s="351">
        <v>1510.5</v>
      </c>
      <c r="J50" s="369">
        <v>302</v>
      </c>
      <c r="K50" s="387">
        <f t="shared" si="3"/>
        <v>302</v>
      </c>
      <c r="L50" s="354">
        <f t="shared" si="4"/>
        <v>5.001655629139073</v>
      </c>
      <c r="M50" s="351">
        <f>3328+88936+72443+39965+18882.5+6077.5+5686+14+3018.5+3786.5+1139+330+3589+2376+1782-5190.5+2376+1510.5</f>
        <v>250049</v>
      </c>
      <c r="N50" s="369">
        <f>378+10550+8764+4872+2835+1083+1168+2+689+746+279+66+705+446+165+475+302</f>
        <v>33525</v>
      </c>
      <c r="O50" s="294">
        <f t="shared" si="5"/>
        <v>7.458583146905294</v>
      </c>
      <c r="P50" s="240"/>
    </row>
    <row r="51" spans="1:16" s="7" customFormat="1" ht="15">
      <c r="A51" s="101">
        <v>47</v>
      </c>
      <c r="B51" s="247" t="s">
        <v>373</v>
      </c>
      <c r="C51" s="114">
        <v>39185</v>
      </c>
      <c r="D51" s="127" t="s">
        <v>73</v>
      </c>
      <c r="E51" s="127" t="s">
        <v>135</v>
      </c>
      <c r="F51" s="346" t="s">
        <v>374</v>
      </c>
      <c r="G51" s="346" t="s">
        <v>324</v>
      </c>
      <c r="H51" s="346" t="s">
        <v>301</v>
      </c>
      <c r="I51" s="352">
        <v>1451</v>
      </c>
      <c r="J51" s="370">
        <v>270</v>
      </c>
      <c r="K51" s="387">
        <f t="shared" si="3"/>
        <v>54</v>
      </c>
      <c r="L51" s="354">
        <f t="shared" si="4"/>
        <v>5.374074074074074</v>
      </c>
      <c r="M51" s="352">
        <v>380101.5</v>
      </c>
      <c r="N51" s="370">
        <v>40290</v>
      </c>
      <c r="O51" s="294">
        <f t="shared" si="5"/>
        <v>9.434139985107967</v>
      </c>
      <c r="P51" s="240"/>
    </row>
    <row r="52" spans="1:16" s="7" customFormat="1" ht="15">
      <c r="A52" s="101">
        <v>48</v>
      </c>
      <c r="B52" s="245" t="s">
        <v>423</v>
      </c>
      <c r="C52" s="115">
        <v>39227</v>
      </c>
      <c r="D52" s="126" t="s">
        <v>58</v>
      </c>
      <c r="E52" s="126" t="s">
        <v>59</v>
      </c>
      <c r="F52" s="116">
        <v>1</v>
      </c>
      <c r="G52" s="116">
        <v>1</v>
      </c>
      <c r="H52" s="116">
        <v>1</v>
      </c>
      <c r="I52" s="351">
        <v>1340</v>
      </c>
      <c r="J52" s="369">
        <v>268</v>
      </c>
      <c r="K52" s="387">
        <f t="shared" si="3"/>
        <v>268</v>
      </c>
      <c r="L52" s="354">
        <f t="shared" si="4"/>
        <v>5</v>
      </c>
      <c r="M52" s="351">
        <f>11158+1340</f>
        <v>12498</v>
      </c>
      <c r="N52" s="369">
        <f>1408+268</f>
        <v>1676</v>
      </c>
      <c r="O52" s="294">
        <f t="shared" si="5"/>
        <v>7.457040572792363</v>
      </c>
      <c r="P52" s="240"/>
    </row>
    <row r="53" spans="1:16" s="7" customFormat="1" ht="15">
      <c r="A53" s="101">
        <v>49</v>
      </c>
      <c r="B53" s="245" t="s">
        <v>181</v>
      </c>
      <c r="C53" s="115">
        <v>39101</v>
      </c>
      <c r="D53" s="126" t="s">
        <v>58</v>
      </c>
      <c r="E53" s="126" t="s">
        <v>58</v>
      </c>
      <c r="F53" s="116">
        <v>160</v>
      </c>
      <c r="G53" s="116">
        <v>2</v>
      </c>
      <c r="H53" s="116">
        <v>17</v>
      </c>
      <c r="I53" s="351">
        <v>1337</v>
      </c>
      <c r="J53" s="369">
        <v>437</v>
      </c>
      <c r="K53" s="387">
        <f t="shared" si="3"/>
        <v>218.5</v>
      </c>
      <c r="L53" s="354">
        <f t="shared" si="4"/>
        <v>3.059496567505721</v>
      </c>
      <c r="M53" s="351">
        <f>3815016+1300103.5+871510+26.5+643328.5+285+427492+144808.5-4582.5+117687.5+159.5+78376+20328+17217+7297+945+2840.5+34810+328+1337</f>
        <v>7479313</v>
      </c>
      <c r="N53" s="369">
        <f>302979+231870+176034+121748+3+91906+35+60830+21133-764+16236+14+11431-4+2924+3552+1459+120+1210+2+11600+81+437</f>
        <v>1054836</v>
      </c>
      <c r="O53" s="294">
        <f t="shared" si="5"/>
        <v>7.090498428191681</v>
      </c>
      <c r="P53" s="240"/>
    </row>
    <row r="54" spans="1:16" s="7" customFormat="1" ht="15">
      <c r="A54" s="101">
        <v>50</v>
      </c>
      <c r="B54" s="247" t="s">
        <v>357</v>
      </c>
      <c r="C54" s="114">
        <v>39143</v>
      </c>
      <c r="D54" s="127" t="s">
        <v>73</v>
      </c>
      <c r="E54" s="127" t="s">
        <v>135</v>
      </c>
      <c r="F54" s="346" t="s">
        <v>286</v>
      </c>
      <c r="G54" s="346" t="s">
        <v>414</v>
      </c>
      <c r="H54" s="346" t="s">
        <v>399</v>
      </c>
      <c r="I54" s="352">
        <v>1297</v>
      </c>
      <c r="J54" s="370">
        <v>328</v>
      </c>
      <c r="K54" s="387">
        <f t="shared" si="3"/>
        <v>54.666666666666664</v>
      </c>
      <c r="L54" s="354">
        <f t="shared" si="4"/>
        <v>3.9542682926829267</v>
      </c>
      <c r="M54" s="352">
        <v>953611</v>
      </c>
      <c r="N54" s="370">
        <v>129928</v>
      </c>
      <c r="O54" s="294">
        <f t="shared" si="5"/>
        <v>7.339534203558894</v>
      </c>
      <c r="P54" s="240"/>
    </row>
    <row r="55" spans="1:16" s="7" customFormat="1" ht="15">
      <c r="A55" s="101">
        <v>51</v>
      </c>
      <c r="B55" s="246" t="s">
        <v>268</v>
      </c>
      <c r="C55" s="115">
        <v>38688</v>
      </c>
      <c r="D55" s="130" t="s">
        <v>23</v>
      </c>
      <c r="E55" s="129" t="s">
        <v>85</v>
      </c>
      <c r="F55" s="118">
        <v>10</v>
      </c>
      <c r="G55" s="118">
        <v>1</v>
      </c>
      <c r="H55" s="118">
        <v>21</v>
      </c>
      <c r="I55" s="351">
        <v>1188</v>
      </c>
      <c r="J55" s="369">
        <v>297</v>
      </c>
      <c r="K55" s="387">
        <f t="shared" si="3"/>
        <v>297</v>
      </c>
      <c r="L55" s="354">
        <f t="shared" si="4"/>
        <v>4</v>
      </c>
      <c r="M55" s="351">
        <f>15934.5+5962.5+2065.5+65+247.5+98+1068+250+1662+351+295+714+855+64+180+1509+1188+2376+1068+1664+1188</f>
        <v>38805</v>
      </c>
      <c r="N55" s="369">
        <f>1984+886+304+13+45+22+356+25+554+45+31+238+285+15+45+503+396+792+356+416+297</f>
        <v>7608</v>
      </c>
      <c r="O55" s="294">
        <f t="shared" si="5"/>
        <v>5.100552050473186</v>
      </c>
      <c r="P55" s="240"/>
    </row>
    <row r="56" spans="1:16" s="7" customFormat="1" ht="15">
      <c r="A56" s="101">
        <v>52</v>
      </c>
      <c r="B56" s="246" t="s">
        <v>259</v>
      </c>
      <c r="C56" s="115">
        <v>39136</v>
      </c>
      <c r="D56" s="130" t="s">
        <v>23</v>
      </c>
      <c r="E56" s="129" t="s">
        <v>69</v>
      </c>
      <c r="F56" s="118">
        <v>24</v>
      </c>
      <c r="G56" s="118">
        <v>2</v>
      </c>
      <c r="H56" s="118">
        <v>13</v>
      </c>
      <c r="I56" s="351">
        <v>1184</v>
      </c>
      <c r="J56" s="369">
        <v>296</v>
      </c>
      <c r="K56" s="387">
        <f t="shared" si="3"/>
        <v>148</v>
      </c>
      <c r="L56" s="354">
        <f t="shared" si="4"/>
        <v>4</v>
      </c>
      <c r="M56" s="351">
        <f>3098.5+271243.5+169425.5+71165+13258+8600.5+14362.5+911.5+1988+1398.5+5096+1184+1924+1184</f>
        <v>564839.5</v>
      </c>
      <c r="N56" s="369">
        <f>316+26059+16381+7578+1438+1323+2416+161+315+172+1274+296+410+296</f>
        <v>58435</v>
      </c>
      <c r="O56" s="294">
        <f t="shared" si="5"/>
        <v>9.666116197484385</v>
      </c>
      <c r="P56" s="240"/>
    </row>
    <row r="57" spans="1:16" s="7" customFormat="1" ht="15">
      <c r="A57" s="101">
        <v>53</v>
      </c>
      <c r="B57" s="245" t="s">
        <v>340</v>
      </c>
      <c r="C57" s="115">
        <v>39171</v>
      </c>
      <c r="D57" s="126" t="s">
        <v>57</v>
      </c>
      <c r="E57" s="126" t="s">
        <v>60</v>
      </c>
      <c r="F57" s="116">
        <v>88</v>
      </c>
      <c r="G57" s="116">
        <v>12</v>
      </c>
      <c r="H57" s="116">
        <v>9</v>
      </c>
      <c r="I57" s="351">
        <v>1142</v>
      </c>
      <c r="J57" s="369">
        <v>200</v>
      </c>
      <c r="K57" s="387">
        <f t="shared" si="3"/>
        <v>16.666666666666668</v>
      </c>
      <c r="L57" s="354">
        <f t="shared" si="4"/>
        <v>5.71</v>
      </c>
      <c r="M57" s="351">
        <v>1088054</v>
      </c>
      <c r="N57" s="369">
        <v>141651</v>
      </c>
      <c r="O57" s="294">
        <f t="shared" si="5"/>
        <v>7.68123063021087</v>
      </c>
      <c r="P57" s="240"/>
    </row>
    <row r="58" spans="1:16" s="7" customFormat="1" ht="15">
      <c r="A58" s="101">
        <v>54</v>
      </c>
      <c r="B58" s="246" t="s">
        <v>362</v>
      </c>
      <c r="C58" s="115">
        <v>39178</v>
      </c>
      <c r="D58" s="130" t="s">
        <v>23</v>
      </c>
      <c r="E58" s="129" t="s">
        <v>363</v>
      </c>
      <c r="F58" s="118">
        <v>2</v>
      </c>
      <c r="G58" s="118">
        <v>2</v>
      </c>
      <c r="H58" s="118">
        <v>8</v>
      </c>
      <c r="I58" s="351">
        <v>988</v>
      </c>
      <c r="J58" s="369">
        <v>149</v>
      </c>
      <c r="K58" s="387">
        <f t="shared" si="3"/>
        <v>74.5</v>
      </c>
      <c r="L58" s="354">
        <f t="shared" si="4"/>
        <v>6.630872483221476</v>
      </c>
      <c r="M58" s="351">
        <f>3994+2334+454+1412+330+1004+1550+988</f>
        <v>12066</v>
      </c>
      <c r="N58" s="369">
        <f>445+262+47+219+66+135+226+149</f>
        <v>1549</v>
      </c>
      <c r="O58" s="294">
        <f t="shared" si="5"/>
        <v>7.789541639767592</v>
      </c>
      <c r="P58" s="240"/>
    </row>
    <row r="59" spans="1:16" s="7" customFormat="1" ht="15">
      <c r="A59" s="101">
        <v>55</v>
      </c>
      <c r="B59" s="244" t="s">
        <v>376</v>
      </c>
      <c r="C59" s="114">
        <v>39185</v>
      </c>
      <c r="D59" s="125" t="s">
        <v>56</v>
      </c>
      <c r="E59" s="124" t="s">
        <v>459</v>
      </c>
      <c r="F59" s="345">
        <v>18</v>
      </c>
      <c r="G59" s="345">
        <v>2</v>
      </c>
      <c r="H59" s="345">
        <v>7</v>
      </c>
      <c r="I59" s="352">
        <v>987</v>
      </c>
      <c r="J59" s="370">
        <v>182</v>
      </c>
      <c r="K59" s="387">
        <f t="shared" si="3"/>
        <v>91</v>
      </c>
      <c r="L59" s="354">
        <f t="shared" si="4"/>
        <v>5.423076923076923</v>
      </c>
      <c r="M59" s="352">
        <f>30174+1530+1183+615+267+1789+987</f>
        <v>36545</v>
      </c>
      <c r="N59" s="370">
        <f>3096+224+261+123+52+470+182</f>
        <v>4408</v>
      </c>
      <c r="O59" s="294">
        <f t="shared" si="5"/>
        <v>8.290607985480944</v>
      </c>
      <c r="P59" s="240"/>
    </row>
    <row r="60" spans="1:16" s="7" customFormat="1" ht="15">
      <c r="A60" s="101">
        <v>56</v>
      </c>
      <c r="B60" s="245" t="s">
        <v>422</v>
      </c>
      <c r="C60" s="115">
        <v>39213</v>
      </c>
      <c r="D60" s="126" t="s">
        <v>58</v>
      </c>
      <c r="E60" s="126" t="s">
        <v>59</v>
      </c>
      <c r="F60" s="116">
        <v>1</v>
      </c>
      <c r="G60" s="116">
        <v>1</v>
      </c>
      <c r="H60" s="116">
        <v>3</v>
      </c>
      <c r="I60" s="351">
        <v>935</v>
      </c>
      <c r="J60" s="369">
        <v>187</v>
      </c>
      <c r="K60" s="387">
        <f t="shared" si="3"/>
        <v>187</v>
      </c>
      <c r="L60" s="354">
        <f t="shared" si="4"/>
        <v>5</v>
      </c>
      <c r="M60" s="351">
        <f>23022+3295+935</f>
        <v>27252</v>
      </c>
      <c r="N60" s="369">
        <f>3601+659+187</f>
        <v>4447</v>
      </c>
      <c r="O60" s="294">
        <f t="shared" si="5"/>
        <v>6.128176298628289</v>
      </c>
      <c r="P60" s="240"/>
    </row>
    <row r="61" spans="1:16" s="7" customFormat="1" ht="15">
      <c r="A61" s="101">
        <v>57</v>
      </c>
      <c r="B61" s="244" t="s">
        <v>325</v>
      </c>
      <c r="C61" s="114">
        <v>39164</v>
      </c>
      <c r="D61" s="124" t="s">
        <v>48</v>
      </c>
      <c r="E61" s="124" t="s">
        <v>70</v>
      </c>
      <c r="F61" s="345">
        <v>119</v>
      </c>
      <c r="G61" s="345">
        <v>6</v>
      </c>
      <c r="H61" s="345">
        <v>10</v>
      </c>
      <c r="I61" s="355">
        <v>744</v>
      </c>
      <c r="J61" s="387">
        <v>118</v>
      </c>
      <c r="K61" s="387">
        <f t="shared" si="3"/>
        <v>19.666666666666668</v>
      </c>
      <c r="L61" s="354">
        <f t="shared" si="4"/>
        <v>6.305084745762712</v>
      </c>
      <c r="M61" s="355">
        <f>712448.5+409036+169662.5+70281+61538+25145+7474.5+4626+2548+744</f>
        <v>1463503.5</v>
      </c>
      <c r="N61" s="369">
        <f>87225+51382+22920+11657+11505+6008+1401+835+378+118</f>
        <v>193429</v>
      </c>
      <c r="O61" s="294">
        <f t="shared" si="5"/>
        <v>7.566101773777459</v>
      </c>
      <c r="P61" s="240"/>
    </row>
    <row r="62" spans="1:16" s="7" customFormat="1" ht="15">
      <c r="A62" s="101">
        <v>58</v>
      </c>
      <c r="B62" s="246" t="s">
        <v>165</v>
      </c>
      <c r="C62" s="115">
        <v>39094</v>
      </c>
      <c r="D62" s="130" t="s">
        <v>23</v>
      </c>
      <c r="E62" s="129" t="s">
        <v>69</v>
      </c>
      <c r="F62" s="118">
        <v>42</v>
      </c>
      <c r="G62" s="118">
        <v>3</v>
      </c>
      <c r="H62" s="118">
        <v>19</v>
      </c>
      <c r="I62" s="351">
        <v>650.5</v>
      </c>
      <c r="J62" s="369">
        <v>159</v>
      </c>
      <c r="K62" s="387">
        <f t="shared" si="3"/>
        <v>53</v>
      </c>
      <c r="L62" s="354">
        <f t="shared" si="4"/>
        <v>4.091194968553459</v>
      </c>
      <c r="M62" s="351">
        <f>116992.5+114120.5+59552+32990+22575.5+13689.5+13072.5+9182.5+12776+9530.5+3684.5+1508.5+3567.5+3012.5+8292+499.5+1292.5+1740.5+650.5</f>
        <v>428729.5</v>
      </c>
      <c r="N62" s="369">
        <f>13983+14934+8576+5091+3923+2713+2832+1841+2655+2061+838+293+873+585+1915+133+388+451+159</f>
        <v>64244</v>
      </c>
      <c r="O62" s="294">
        <f t="shared" si="5"/>
        <v>6.673455886931075</v>
      </c>
      <c r="P62" s="240"/>
    </row>
    <row r="63" spans="1:16" s="7" customFormat="1" ht="15">
      <c r="A63" s="101">
        <v>59</v>
      </c>
      <c r="B63" s="246" t="s">
        <v>94</v>
      </c>
      <c r="C63" s="115">
        <v>39010</v>
      </c>
      <c r="D63" s="130" t="s">
        <v>23</v>
      </c>
      <c r="E63" s="129" t="s">
        <v>85</v>
      </c>
      <c r="F63" s="118">
        <v>4</v>
      </c>
      <c r="G63" s="118">
        <v>1</v>
      </c>
      <c r="H63" s="118">
        <v>26</v>
      </c>
      <c r="I63" s="351">
        <v>592</v>
      </c>
      <c r="J63" s="369">
        <v>148</v>
      </c>
      <c r="K63" s="387">
        <f t="shared" si="3"/>
        <v>148</v>
      </c>
      <c r="L63" s="354">
        <f t="shared" si="4"/>
        <v>4</v>
      </c>
      <c r="M63" s="351">
        <f>29917+16679+11125+3878+2666+4428+2241.5+1511+3063+970+820+1894+1723+1526+175+2339+1780+357.5+159+2083+351+2852+254+4558+1188+832+592</f>
        <v>99962</v>
      </c>
      <c r="N63" s="369">
        <f>3239+2157+1429+524+500+1570+699+278+431+179+191+394+386+373+27+447+445+84+37+384+51+713+37+1133+297+208+148</f>
        <v>16361</v>
      </c>
      <c r="O63" s="294">
        <f t="shared" si="5"/>
        <v>6.109773241244422</v>
      </c>
      <c r="P63" s="240"/>
    </row>
    <row r="64" spans="1:16" s="7" customFormat="1" ht="15">
      <c r="A64" s="101">
        <v>60</v>
      </c>
      <c r="B64" s="119" t="s">
        <v>354</v>
      </c>
      <c r="C64" s="117">
        <v>39178</v>
      </c>
      <c r="D64" s="128" t="s">
        <v>64</v>
      </c>
      <c r="E64" s="128" t="s">
        <v>279</v>
      </c>
      <c r="F64" s="376">
        <v>20</v>
      </c>
      <c r="G64" s="376">
        <v>1</v>
      </c>
      <c r="H64" s="376">
        <v>8</v>
      </c>
      <c r="I64" s="353">
        <v>561</v>
      </c>
      <c r="J64" s="375">
        <v>105</v>
      </c>
      <c r="K64" s="387">
        <f t="shared" si="3"/>
        <v>105</v>
      </c>
      <c r="L64" s="354">
        <f t="shared" si="4"/>
        <v>5.3428571428571425</v>
      </c>
      <c r="M64" s="353">
        <v>57434</v>
      </c>
      <c r="N64" s="375">
        <v>7246</v>
      </c>
      <c r="O64" s="294">
        <f t="shared" si="5"/>
        <v>7.926304167816727</v>
      </c>
      <c r="P64" s="240"/>
    </row>
    <row r="65" spans="1:16" s="7" customFormat="1" ht="15">
      <c r="A65" s="101">
        <v>61</v>
      </c>
      <c r="B65" s="244">
        <v>300</v>
      </c>
      <c r="C65" s="114">
        <v>39157</v>
      </c>
      <c r="D65" s="125" t="s">
        <v>56</v>
      </c>
      <c r="E65" s="124" t="s">
        <v>11</v>
      </c>
      <c r="F65" s="345">
        <v>112</v>
      </c>
      <c r="G65" s="345">
        <v>3</v>
      </c>
      <c r="H65" s="345">
        <v>11</v>
      </c>
      <c r="I65" s="352">
        <v>540</v>
      </c>
      <c r="J65" s="370">
        <v>139</v>
      </c>
      <c r="K65" s="387">
        <f t="shared" si="3"/>
        <v>46.333333333333336</v>
      </c>
      <c r="L65" s="354">
        <f t="shared" si="4"/>
        <v>3.884892086330935</v>
      </c>
      <c r="M65" s="352">
        <f>3267435+1511269+807013+389417+224450+112364+52008+9245+3829+1321+540</f>
        <v>6378891</v>
      </c>
      <c r="N65" s="370">
        <f>400017+186496+98693+49874+35249+20817+11882+2148+932+328+139</f>
        <v>806575</v>
      </c>
      <c r="O65" s="294">
        <f t="shared" si="5"/>
        <v>7.908614821932244</v>
      </c>
      <c r="P65" s="240"/>
    </row>
    <row r="66" spans="1:16" s="7" customFormat="1" ht="15">
      <c r="A66" s="101">
        <v>62</v>
      </c>
      <c r="B66" s="245" t="s">
        <v>237</v>
      </c>
      <c r="C66" s="115">
        <v>39122</v>
      </c>
      <c r="D66" s="126" t="s">
        <v>57</v>
      </c>
      <c r="E66" s="126" t="s">
        <v>65</v>
      </c>
      <c r="F66" s="116">
        <v>1</v>
      </c>
      <c r="G66" s="116">
        <v>3</v>
      </c>
      <c r="H66" s="116">
        <v>16</v>
      </c>
      <c r="I66" s="351">
        <v>525</v>
      </c>
      <c r="J66" s="369">
        <v>35</v>
      </c>
      <c r="K66" s="387">
        <f t="shared" si="3"/>
        <v>11.666666666666666</v>
      </c>
      <c r="L66" s="354">
        <f t="shared" si="4"/>
        <v>15</v>
      </c>
      <c r="M66" s="351">
        <v>264626</v>
      </c>
      <c r="N66" s="369">
        <v>42120</v>
      </c>
      <c r="O66" s="294">
        <f t="shared" si="5"/>
        <v>6.2826685660019</v>
      </c>
      <c r="P66" s="240"/>
    </row>
    <row r="67" spans="1:16" s="7" customFormat="1" ht="15">
      <c r="A67" s="101">
        <v>63</v>
      </c>
      <c r="B67" s="246" t="s">
        <v>425</v>
      </c>
      <c r="C67" s="115">
        <v>39213</v>
      </c>
      <c r="D67" s="130" t="s">
        <v>23</v>
      </c>
      <c r="E67" s="129" t="s">
        <v>195</v>
      </c>
      <c r="F67" s="118">
        <v>4</v>
      </c>
      <c r="G67" s="118">
        <v>2</v>
      </c>
      <c r="H67" s="118">
        <v>3</v>
      </c>
      <c r="I67" s="351">
        <v>449</v>
      </c>
      <c r="J67" s="369">
        <v>59</v>
      </c>
      <c r="K67" s="387">
        <f t="shared" si="3"/>
        <v>29.5</v>
      </c>
      <c r="L67" s="354">
        <f t="shared" si="4"/>
        <v>7.610169491525424</v>
      </c>
      <c r="M67" s="351">
        <f>4023.5+5558+2672.5+449</f>
        <v>12703</v>
      </c>
      <c r="N67" s="369">
        <f>664+522+392+59</f>
        <v>1637</v>
      </c>
      <c r="O67" s="294">
        <f t="shared" si="5"/>
        <v>7.759926695174099</v>
      </c>
      <c r="P67" s="240"/>
    </row>
    <row r="68" spans="1:16" s="7" customFormat="1" ht="15">
      <c r="A68" s="101">
        <v>64</v>
      </c>
      <c r="B68" s="245" t="s">
        <v>440</v>
      </c>
      <c r="C68" s="115">
        <v>38828</v>
      </c>
      <c r="D68" s="126" t="s">
        <v>66</v>
      </c>
      <c r="E68" s="126" t="s">
        <v>66</v>
      </c>
      <c r="F68" s="116">
        <v>43</v>
      </c>
      <c r="G68" s="116">
        <v>1</v>
      </c>
      <c r="H68" s="116">
        <v>22</v>
      </c>
      <c r="I68" s="351">
        <v>440</v>
      </c>
      <c r="J68" s="369">
        <v>110</v>
      </c>
      <c r="K68" s="387">
        <f t="shared" si="3"/>
        <v>110</v>
      </c>
      <c r="L68" s="354">
        <f t="shared" si="4"/>
        <v>4</v>
      </c>
      <c r="M68" s="351">
        <f>221837.5+151726+100334.5+58293.5+26175.5+11161+17463.5+3291+21578+7312+4262.5+2303+855+1116+823+670+220+160+110+100+718+440</f>
        <v>630950</v>
      </c>
      <c r="N68" s="369">
        <f>31465+21243+15047+11409+5192+2380+3862+919+4153+1349+750+401+171+250+160+133+44+32+22+20+179+110</f>
        <v>99291</v>
      </c>
      <c r="O68" s="294">
        <f t="shared" si="5"/>
        <v>6.354553786345187</v>
      </c>
      <c r="P68" s="240"/>
    </row>
    <row r="69" spans="1:16" s="7" customFormat="1" ht="15">
      <c r="A69" s="101">
        <v>65</v>
      </c>
      <c r="B69" s="245" t="s">
        <v>287</v>
      </c>
      <c r="C69" s="115">
        <v>39143</v>
      </c>
      <c r="D69" s="126" t="s">
        <v>58</v>
      </c>
      <c r="E69" s="126" t="s">
        <v>59</v>
      </c>
      <c r="F69" s="116">
        <v>20</v>
      </c>
      <c r="G69" s="116">
        <v>1</v>
      </c>
      <c r="H69" s="116">
        <v>10</v>
      </c>
      <c r="I69" s="351">
        <v>264</v>
      </c>
      <c r="J69" s="369">
        <v>63</v>
      </c>
      <c r="K69" s="387">
        <f>J69/G69</f>
        <v>63</v>
      </c>
      <c r="L69" s="354">
        <f aca="true" t="shared" si="6" ref="L69:L81">I69/J69</f>
        <v>4.190476190476191</v>
      </c>
      <c r="M69" s="351">
        <f>129159.5+81464+15048+8469.5+8901.5+5708+1570+1711+42+264</f>
        <v>252337.5</v>
      </c>
      <c r="N69" s="369">
        <f>12733+8086+1709+1437+1707+969+278+320+8+63</f>
        <v>27310</v>
      </c>
      <c r="O69" s="294">
        <f>+M69/N69</f>
        <v>9.239747345294763</v>
      </c>
      <c r="P69" s="240"/>
    </row>
    <row r="70" spans="1:16" s="7" customFormat="1" ht="15">
      <c r="A70" s="101">
        <v>66</v>
      </c>
      <c r="B70" s="247" t="s">
        <v>313</v>
      </c>
      <c r="C70" s="114">
        <v>39157</v>
      </c>
      <c r="D70" s="127" t="s">
        <v>73</v>
      </c>
      <c r="E70" s="127" t="s">
        <v>135</v>
      </c>
      <c r="F70" s="346" t="s">
        <v>163</v>
      </c>
      <c r="G70" s="346" t="s">
        <v>37</v>
      </c>
      <c r="H70" s="346" t="s">
        <v>409</v>
      </c>
      <c r="I70" s="352">
        <v>257</v>
      </c>
      <c r="J70" s="370">
        <v>56</v>
      </c>
      <c r="K70" s="387">
        <f>J70/G70</f>
        <v>28</v>
      </c>
      <c r="L70" s="354">
        <f t="shared" si="6"/>
        <v>4.589285714285714</v>
      </c>
      <c r="M70" s="352">
        <v>171491.5</v>
      </c>
      <c r="N70" s="370">
        <v>25462</v>
      </c>
      <c r="O70" s="294">
        <f>+M70/N70</f>
        <v>6.735193621867881</v>
      </c>
      <c r="P70" s="240"/>
    </row>
    <row r="71" spans="1:16" s="7" customFormat="1" ht="15">
      <c r="A71" s="101">
        <v>67</v>
      </c>
      <c r="B71" s="246" t="s">
        <v>326</v>
      </c>
      <c r="C71" s="115">
        <v>39164</v>
      </c>
      <c r="D71" s="130" t="s">
        <v>23</v>
      </c>
      <c r="E71" s="129" t="s">
        <v>69</v>
      </c>
      <c r="F71" s="118">
        <v>40</v>
      </c>
      <c r="G71" s="118">
        <v>2</v>
      </c>
      <c r="H71" s="118">
        <v>10</v>
      </c>
      <c r="I71" s="351">
        <v>195</v>
      </c>
      <c r="J71" s="369">
        <v>44</v>
      </c>
      <c r="K71" s="387">
        <f>J71/G71</f>
        <v>22</v>
      </c>
      <c r="L71" s="354">
        <f t="shared" si="6"/>
        <v>4.431818181818182</v>
      </c>
      <c r="M71" s="351">
        <f>136863.5+71331.5+20806.5+12476.9+2838+4712+1523+1430+843.5+195</f>
        <v>253019.9</v>
      </c>
      <c r="N71" s="369">
        <f>15270+7788+3293+2489+585+1026+358+293+157+44</f>
        <v>31303</v>
      </c>
      <c r="O71" s="294">
        <f>+M71/N71</f>
        <v>8.082928153851068</v>
      </c>
      <c r="P71" s="240"/>
    </row>
    <row r="72" spans="1:16" s="7" customFormat="1" ht="15">
      <c r="A72" s="101">
        <v>68</v>
      </c>
      <c r="B72" s="245" t="s">
        <v>402</v>
      </c>
      <c r="C72" s="115">
        <v>39199</v>
      </c>
      <c r="D72" s="126" t="s">
        <v>58</v>
      </c>
      <c r="E72" s="126" t="s">
        <v>59</v>
      </c>
      <c r="F72" s="116">
        <v>1</v>
      </c>
      <c r="G72" s="116">
        <v>1</v>
      </c>
      <c r="H72" s="116">
        <v>5</v>
      </c>
      <c r="I72" s="351">
        <v>125</v>
      </c>
      <c r="J72" s="369">
        <v>31</v>
      </c>
      <c r="K72" s="387">
        <f>J72/G72</f>
        <v>31</v>
      </c>
      <c r="L72" s="354">
        <f t="shared" si="6"/>
        <v>4.032258064516129</v>
      </c>
      <c r="M72" s="351">
        <f>7483+988+550+332+134+125</f>
        <v>9612</v>
      </c>
      <c r="N72" s="369">
        <f>956+111+62+33+15+31</f>
        <v>1208</v>
      </c>
      <c r="O72" s="294">
        <f>+M72/N72</f>
        <v>7.956953642384106</v>
      </c>
      <c r="P72" s="240"/>
    </row>
    <row r="73" spans="1:16" s="7" customFormat="1" ht="15">
      <c r="A73" s="101"/>
      <c r="B73" s="245" t="s">
        <v>460</v>
      </c>
      <c r="C73" s="115">
        <v>39094</v>
      </c>
      <c r="D73" s="126" t="s">
        <v>58</v>
      </c>
      <c r="E73" s="126" t="s">
        <v>346</v>
      </c>
      <c r="F73" s="116">
        <v>226</v>
      </c>
      <c r="G73" s="116">
        <v>1</v>
      </c>
      <c r="H73" s="116">
        <v>18</v>
      </c>
      <c r="I73" s="351">
        <v>85</v>
      </c>
      <c r="J73" s="369">
        <v>17</v>
      </c>
      <c r="K73" s="387">
        <f>J73/G73</f>
        <v>17</v>
      </c>
      <c r="L73" s="354">
        <f t="shared" si="6"/>
        <v>5</v>
      </c>
      <c r="M73" s="351">
        <f>3142328+2138928+1454143+1085018.5-637+512497+119516+49072.5+21975.5+19023+9522+7521+6716.5+973+245+20+90+85</f>
        <v>8567037</v>
      </c>
      <c r="N73" s="369">
        <f>453903+300559+202455+152725+101+73889+22414+10560+4196+3829+2908+1791+1716+233+42+4+18+17</f>
        <v>1231360</v>
      </c>
      <c r="O73" s="294">
        <f>+M73/N73</f>
        <v>6.957378021049896</v>
      </c>
      <c r="P73" s="240"/>
    </row>
    <row r="74" spans="1:16" s="7" customFormat="1" ht="15">
      <c r="A74" s="101"/>
      <c r="B74" s="246" t="s">
        <v>83</v>
      </c>
      <c r="C74" s="115">
        <v>38877</v>
      </c>
      <c r="D74" s="130" t="s">
        <v>23</v>
      </c>
      <c r="E74" s="129" t="s">
        <v>27</v>
      </c>
      <c r="F74" s="118">
        <v>64</v>
      </c>
      <c r="G74" s="118">
        <v>1</v>
      </c>
      <c r="H74" s="118">
        <v>40</v>
      </c>
      <c r="I74" s="351">
        <v>81</v>
      </c>
      <c r="J74" s="369">
        <v>18</v>
      </c>
      <c r="K74" s="387">
        <f>J74/G74</f>
        <v>18</v>
      </c>
      <c r="L74" s="354">
        <f t="shared" si="6"/>
        <v>4.5</v>
      </c>
      <c r="M74" s="351">
        <f>94169.5+63426.5+19841+16453.5+12618.5+9991+4741+3516+3356+2065.5+678+1792.5+320+299+194+83+215+3730+139+814+787+999+514+709+2925+1298+249+160+755+1105+914+5364.5+789.5+1580.5+6416+3636.5+158+1086+725+81</f>
        <v>268695</v>
      </c>
      <c r="N74" s="369">
        <f>14426+9567+3182+3017+2315+1729+923+616+640+472+129+528+43+81+47+20+45+1220+34+161+225+329+168+228+966+413+62+16+140+285+239+1324+177+370+1604+885+37+267+145+18</f>
        <v>47093</v>
      </c>
      <c r="O74" s="294">
        <f>+M74/N74</f>
        <v>5.7056250398148345</v>
      </c>
      <c r="P74" s="240"/>
    </row>
    <row r="75" spans="1:16" s="7" customFormat="1" ht="15">
      <c r="A75" s="101">
        <v>69</v>
      </c>
      <c r="B75" s="245" t="s">
        <v>256</v>
      </c>
      <c r="C75" s="115">
        <v>39129</v>
      </c>
      <c r="D75" s="126" t="s">
        <v>57</v>
      </c>
      <c r="E75" s="126" t="s">
        <v>461</v>
      </c>
      <c r="F75" s="116">
        <v>77</v>
      </c>
      <c r="G75" s="116">
        <v>2</v>
      </c>
      <c r="H75" s="116">
        <v>14</v>
      </c>
      <c r="I75" s="351">
        <v>76</v>
      </c>
      <c r="J75" s="369">
        <v>13</v>
      </c>
      <c r="K75" s="387">
        <f>J75/G75</f>
        <v>6.5</v>
      </c>
      <c r="L75" s="354">
        <f t="shared" si="6"/>
        <v>5.846153846153846</v>
      </c>
      <c r="M75" s="351">
        <v>1551628</v>
      </c>
      <c r="N75" s="369">
        <v>198503</v>
      </c>
      <c r="O75" s="294">
        <f>+M75/N75</f>
        <v>7.816647607340947</v>
      </c>
      <c r="P75" s="240"/>
    </row>
    <row r="76" spans="1:16" s="7" customFormat="1" ht="15">
      <c r="A76" s="101">
        <v>70</v>
      </c>
      <c r="B76" s="244" t="s">
        <v>240</v>
      </c>
      <c r="C76" s="114">
        <v>39108</v>
      </c>
      <c r="D76" s="125" t="s">
        <v>56</v>
      </c>
      <c r="E76" s="124" t="s">
        <v>261</v>
      </c>
      <c r="F76" s="345">
        <v>148</v>
      </c>
      <c r="G76" s="345">
        <v>2</v>
      </c>
      <c r="H76" s="345">
        <v>18</v>
      </c>
      <c r="I76" s="352">
        <v>60</v>
      </c>
      <c r="J76" s="370">
        <v>12</v>
      </c>
      <c r="K76" s="387">
        <f>J76/G76</f>
        <v>6</v>
      </c>
      <c r="L76" s="354">
        <f t="shared" si="6"/>
        <v>5</v>
      </c>
      <c r="M76" s="352">
        <f>1992651+1728920+984064+346169+182382+106480+57466+19982+14948+10164+6290+4742+2342+225+140+1108+175+60</f>
        <v>5458308</v>
      </c>
      <c r="N76" s="370">
        <f>274655+238848+139396+51021+30073+21220+12561+3942+2123+3415+1857+1264+1187+706+45+28+267+35+12</f>
        <v>782655</v>
      </c>
      <c r="O76" s="294">
        <f>+M76/N76</f>
        <v>6.974092032888054</v>
      </c>
      <c r="P76" s="240"/>
    </row>
    <row r="77" spans="1:16" s="7" customFormat="1" ht="15">
      <c r="A77" s="101">
        <v>71</v>
      </c>
      <c r="B77" s="247" t="s">
        <v>284</v>
      </c>
      <c r="C77" s="114">
        <v>39143</v>
      </c>
      <c r="D77" s="127" t="s">
        <v>45</v>
      </c>
      <c r="E77" s="127" t="s">
        <v>389</v>
      </c>
      <c r="F77" s="346" t="s">
        <v>285</v>
      </c>
      <c r="G77" s="346" t="s">
        <v>20</v>
      </c>
      <c r="H77" s="346" t="s">
        <v>409</v>
      </c>
      <c r="I77" s="352">
        <v>49</v>
      </c>
      <c r="J77" s="370">
        <v>9</v>
      </c>
      <c r="K77" s="387">
        <f>J77/G77</f>
        <v>9</v>
      </c>
      <c r="L77" s="354">
        <f t="shared" si="6"/>
        <v>5.444444444444445</v>
      </c>
      <c r="M77" s="352">
        <v>590874.5</v>
      </c>
      <c r="N77" s="370">
        <v>80950</v>
      </c>
      <c r="O77" s="294">
        <f>+M77/N77</f>
        <v>7.299252625077208</v>
      </c>
      <c r="P77" s="240"/>
    </row>
    <row r="78" spans="1:16" s="7" customFormat="1" ht="15">
      <c r="A78" s="101">
        <v>72</v>
      </c>
      <c r="B78" s="246" t="s">
        <v>147</v>
      </c>
      <c r="C78" s="115">
        <v>39087</v>
      </c>
      <c r="D78" s="130" t="s">
        <v>23</v>
      </c>
      <c r="E78" s="129" t="s">
        <v>148</v>
      </c>
      <c r="F78" s="118">
        <v>1</v>
      </c>
      <c r="G78" s="118">
        <v>1</v>
      </c>
      <c r="H78" s="118">
        <v>14</v>
      </c>
      <c r="I78" s="351">
        <v>49</v>
      </c>
      <c r="J78" s="369">
        <v>7</v>
      </c>
      <c r="K78" s="387">
        <f>J78/G78</f>
        <v>7</v>
      </c>
      <c r="L78" s="354">
        <f t="shared" si="6"/>
        <v>7</v>
      </c>
      <c r="M78" s="351">
        <f>22095+9204+7326+5702+4828+3872.5+1230+1085+707+2852+110.5+1780+1780+1900+49</f>
        <v>64521</v>
      </c>
      <c r="N78" s="369">
        <f>2920+1031+821+648+551+476+146+128+89+713+43+445+445+475+7</f>
        <v>8938</v>
      </c>
      <c r="O78" s="294">
        <f>+M78/N78</f>
        <v>7.218729022152607</v>
      </c>
      <c r="P78" s="240"/>
    </row>
    <row r="79" spans="1:16" s="7" customFormat="1" ht="15.75" thickBot="1">
      <c r="A79" s="101">
        <v>73</v>
      </c>
      <c r="B79" s="381" t="s">
        <v>375</v>
      </c>
      <c r="C79" s="267">
        <v>39185</v>
      </c>
      <c r="D79" s="200" t="s">
        <v>66</v>
      </c>
      <c r="E79" s="200" t="s">
        <v>66</v>
      </c>
      <c r="F79" s="382">
        <v>32</v>
      </c>
      <c r="G79" s="382">
        <v>1</v>
      </c>
      <c r="H79" s="382">
        <v>7</v>
      </c>
      <c r="I79" s="392">
        <v>25</v>
      </c>
      <c r="J79" s="393">
        <v>5</v>
      </c>
      <c r="K79" s="394">
        <f>J79/G79</f>
        <v>5</v>
      </c>
      <c r="L79" s="358">
        <f t="shared" si="6"/>
        <v>5</v>
      </c>
      <c r="M79" s="392">
        <f>108639+53175.5+20297+10110.5+6588.5+4718.5+25</f>
        <v>203554</v>
      </c>
      <c r="N79" s="393">
        <f>11660+5688+2612+1694+1121+867+5</f>
        <v>23647</v>
      </c>
      <c r="O79" s="359">
        <f>+M79/N79</f>
        <v>8.608026388125344</v>
      </c>
      <c r="P79" s="240"/>
    </row>
    <row r="80" spans="1:16" s="113" customFormat="1" ht="15">
      <c r="A80" s="429" t="s">
        <v>50</v>
      </c>
      <c r="B80" s="430"/>
      <c r="C80" s="103"/>
      <c r="D80" s="104" t="s">
        <v>415</v>
      </c>
      <c r="E80" s="105"/>
      <c r="F80" s="104"/>
      <c r="G80" s="106">
        <f>SUM(G5:G79)</f>
        <v>1078</v>
      </c>
      <c r="H80" s="104"/>
      <c r="I80" s="107">
        <f>SUM(I5:I79)</f>
        <v>4828014</v>
      </c>
      <c r="J80" s="108">
        <f>SUM(J5:J79)</f>
        <v>625655</v>
      </c>
      <c r="K80" s="109">
        <f>J80/G80</f>
        <v>580.3849721706864</v>
      </c>
      <c r="L80" s="110">
        <f t="shared" si="6"/>
        <v>7.716735261446004</v>
      </c>
      <c r="M80" s="111"/>
      <c r="N80" s="109"/>
      <c r="O80" s="112"/>
      <c r="P80" s="242"/>
    </row>
    <row r="81" spans="1:16" s="13" customFormat="1" ht="15">
      <c r="A81" s="431" t="s">
        <v>49</v>
      </c>
      <c r="B81" s="432"/>
      <c r="C81" s="28"/>
      <c r="D81" s="29" t="s">
        <v>429</v>
      </c>
      <c r="E81" s="27"/>
      <c r="F81" s="29"/>
      <c r="G81" s="30">
        <v>1277</v>
      </c>
      <c r="H81" s="29"/>
      <c r="I81" s="45">
        <v>3139041.5</v>
      </c>
      <c r="J81" s="92">
        <v>403499</v>
      </c>
      <c r="K81" s="109">
        <f>J81/G81</f>
        <v>315.97415818324197</v>
      </c>
      <c r="L81" s="31">
        <f t="shared" si="6"/>
        <v>7.779552117849115</v>
      </c>
      <c r="M81" s="38"/>
      <c r="N81" s="35"/>
      <c r="O81" s="41"/>
      <c r="P81" s="240"/>
    </row>
    <row r="82" spans="1:16" s="7" customFormat="1" ht="13.5">
      <c r="A82" s="51"/>
      <c r="C82" s="11"/>
      <c r="D82" s="15"/>
      <c r="E82" s="15"/>
      <c r="F82" s="8"/>
      <c r="G82" s="8"/>
      <c r="H82" s="8"/>
      <c r="I82" s="46"/>
      <c r="J82" s="32"/>
      <c r="K82" s="33"/>
      <c r="L82" s="20"/>
      <c r="M82" s="39"/>
      <c r="N82" s="33"/>
      <c r="O82" s="42"/>
      <c r="P82" s="240"/>
    </row>
    <row r="83" spans="1:16" s="7" customFormat="1" ht="15">
      <c r="A83" s="51"/>
      <c r="B83" s="437"/>
      <c r="C83" s="437"/>
      <c r="D83" s="405"/>
      <c r="E83" s="405"/>
      <c r="F83" s="405"/>
      <c r="G83" s="21"/>
      <c r="H83" s="8"/>
      <c r="I83" s="46"/>
      <c r="J83" s="32"/>
      <c r="K83" s="406" t="s">
        <v>47</v>
      </c>
      <c r="L83" s="407"/>
      <c r="M83" s="407"/>
      <c r="N83" s="407"/>
      <c r="O83" s="407"/>
      <c r="P83" s="240"/>
    </row>
    <row r="84" spans="1:16" s="7" customFormat="1" ht="15.75" thickBot="1">
      <c r="A84" s="51"/>
      <c r="B84" s="437"/>
      <c r="C84" s="437"/>
      <c r="D84" s="173"/>
      <c r="E84" s="174"/>
      <c r="F84" s="174"/>
      <c r="G84" s="8"/>
      <c r="H84" s="22"/>
      <c r="I84" s="46"/>
      <c r="J84" s="32"/>
      <c r="K84" s="407"/>
      <c r="L84" s="407"/>
      <c r="M84" s="407"/>
      <c r="N84" s="407"/>
      <c r="O84" s="407"/>
      <c r="P84" s="240"/>
    </row>
    <row r="85" spans="1:16" s="7" customFormat="1" ht="15">
      <c r="A85" s="60"/>
      <c r="B85" s="57" t="s">
        <v>51</v>
      </c>
      <c r="C85" s="433" t="s">
        <v>88</v>
      </c>
      <c r="D85" s="434"/>
      <c r="E85" s="434"/>
      <c r="F85" s="435"/>
      <c r="G85" s="8"/>
      <c r="H85" s="22"/>
      <c r="I85" s="46"/>
      <c r="J85" s="32"/>
      <c r="K85" s="407"/>
      <c r="L85" s="407"/>
      <c r="M85" s="407"/>
      <c r="N85" s="407"/>
      <c r="O85" s="407"/>
      <c r="P85" s="240"/>
    </row>
    <row r="86" spans="1:16" s="7" customFormat="1" ht="15">
      <c r="A86" s="67"/>
      <c r="B86" s="68"/>
      <c r="C86" s="69" t="s">
        <v>89</v>
      </c>
      <c r="D86" s="70" t="s">
        <v>6</v>
      </c>
      <c r="E86" s="70" t="s">
        <v>90</v>
      </c>
      <c r="F86" s="71" t="s">
        <v>0</v>
      </c>
      <c r="G86" s="8"/>
      <c r="H86" s="22"/>
      <c r="I86" s="46"/>
      <c r="J86" s="32"/>
      <c r="K86" s="436" t="s">
        <v>404</v>
      </c>
      <c r="L86" s="436"/>
      <c r="M86" s="436"/>
      <c r="N86" s="436"/>
      <c r="O86" s="436"/>
      <c r="P86" s="240"/>
    </row>
    <row r="87" spans="1:16" s="7" customFormat="1" ht="15">
      <c r="A87" s="63">
        <v>1</v>
      </c>
      <c r="B87" s="64" t="s">
        <v>44</v>
      </c>
      <c r="C87" s="151" t="s">
        <v>400</v>
      </c>
      <c r="D87" s="65">
        <v>3729005</v>
      </c>
      <c r="E87" s="66">
        <v>470314</v>
      </c>
      <c r="F87" s="243">
        <f aca="true" t="shared" si="7" ref="F87:F98">D87/E87</f>
        <v>7.928756107621717</v>
      </c>
      <c r="G87" s="8"/>
      <c r="H87" s="22"/>
      <c r="I87" s="46"/>
      <c r="J87" s="32"/>
      <c r="K87" s="436"/>
      <c r="L87" s="436"/>
      <c r="M87" s="436"/>
      <c r="N87" s="436"/>
      <c r="O87" s="436"/>
      <c r="P87" s="240"/>
    </row>
    <row r="88" spans="1:16" s="7" customFormat="1" ht="15">
      <c r="A88" s="61">
        <v>2</v>
      </c>
      <c r="B88" s="58" t="s">
        <v>11</v>
      </c>
      <c r="C88" s="152" t="s">
        <v>409</v>
      </c>
      <c r="D88" s="53">
        <v>441965</v>
      </c>
      <c r="E88" s="54">
        <v>58661</v>
      </c>
      <c r="F88" s="243">
        <f t="shared" si="7"/>
        <v>7.5342220555394555</v>
      </c>
      <c r="G88" s="8"/>
      <c r="H88" s="22"/>
      <c r="I88" s="46"/>
      <c r="J88" s="32"/>
      <c r="K88" s="436"/>
      <c r="L88" s="436"/>
      <c r="M88" s="436"/>
      <c r="N88" s="436"/>
      <c r="O88" s="436"/>
      <c r="P88" s="240"/>
    </row>
    <row r="89" spans="1:16" s="7" customFormat="1" ht="15">
      <c r="A89" s="61">
        <v>3</v>
      </c>
      <c r="B89" s="58" t="s">
        <v>12</v>
      </c>
      <c r="C89" s="152" t="s">
        <v>448</v>
      </c>
      <c r="D89" s="53">
        <v>214162.5</v>
      </c>
      <c r="E89" s="54">
        <v>35998</v>
      </c>
      <c r="F89" s="243">
        <f t="shared" si="7"/>
        <v>5.949288849380521</v>
      </c>
      <c r="G89" s="8"/>
      <c r="H89" s="22"/>
      <c r="I89" s="46"/>
      <c r="J89" s="32"/>
      <c r="K89" s="436" t="s">
        <v>449</v>
      </c>
      <c r="L89" s="436"/>
      <c r="M89" s="436"/>
      <c r="N89" s="436"/>
      <c r="O89" s="436"/>
      <c r="P89" s="240"/>
    </row>
    <row r="90" spans="1:16" s="7" customFormat="1" ht="15">
      <c r="A90" s="61">
        <v>4</v>
      </c>
      <c r="B90" s="58" t="s">
        <v>73</v>
      </c>
      <c r="C90" s="152" t="s">
        <v>301</v>
      </c>
      <c r="D90" s="53">
        <v>199964.5</v>
      </c>
      <c r="E90" s="54">
        <v>23219</v>
      </c>
      <c r="F90" s="243">
        <f t="shared" si="7"/>
        <v>8.612106464533356</v>
      </c>
      <c r="G90" s="8"/>
      <c r="H90" s="22"/>
      <c r="I90" s="46"/>
      <c r="J90" s="32"/>
      <c r="K90" s="436"/>
      <c r="L90" s="436"/>
      <c r="M90" s="436"/>
      <c r="N90" s="436"/>
      <c r="O90" s="436"/>
      <c r="P90" s="240"/>
    </row>
    <row r="91" spans="1:16" s="7" customFormat="1" ht="15">
      <c r="A91" s="61">
        <v>5</v>
      </c>
      <c r="B91" s="58" t="s">
        <v>23</v>
      </c>
      <c r="C91" s="152" t="s">
        <v>399</v>
      </c>
      <c r="D91" s="53">
        <v>152564</v>
      </c>
      <c r="E91" s="54">
        <v>20496</v>
      </c>
      <c r="F91" s="243">
        <f t="shared" si="7"/>
        <v>7.4435987509758</v>
      </c>
      <c r="G91" s="8"/>
      <c r="H91" s="22"/>
      <c r="I91" s="46"/>
      <c r="J91" s="32"/>
      <c r="K91" s="436"/>
      <c r="L91" s="436"/>
      <c r="M91" s="436"/>
      <c r="N91" s="436"/>
      <c r="O91" s="436"/>
      <c r="P91" s="240"/>
    </row>
    <row r="92" spans="1:16" s="7" customFormat="1" ht="15">
      <c r="A92" s="61">
        <v>6</v>
      </c>
      <c r="B92" s="58" t="s">
        <v>64</v>
      </c>
      <c r="C92" s="152" t="s">
        <v>37</v>
      </c>
      <c r="D92" s="53">
        <v>20700</v>
      </c>
      <c r="E92" s="54">
        <v>3627</v>
      </c>
      <c r="F92" s="243">
        <f t="shared" si="7"/>
        <v>5.707196029776675</v>
      </c>
      <c r="G92" s="8"/>
      <c r="H92" s="426" t="s">
        <v>99</v>
      </c>
      <c r="I92" s="427"/>
      <c r="J92" s="427"/>
      <c r="K92" s="427"/>
      <c r="L92" s="427"/>
      <c r="M92" s="427"/>
      <c r="N92" s="427"/>
      <c r="O92" s="427"/>
      <c r="P92" s="240"/>
    </row>
    <row r="93" spans="1:16" s="26" customFormat="1" ht="15">
      <c r="A93" s="61">
        <v>7</v>
      </c>
      <c r="B93" s="58" t="s">
        <v>67</v>
      </c>
      <c r="C93" s="152" t="s">
        <v>37</v>
      </c>
      <c r="D93" s="53">
        <v>20325</v>
      </c>
      <c r="E93" s="54">
        <v>3134</v>
      </c>
      <c r="F93" s="243">
        <f t="shared" si="7"/>
        <v>6.485322271857052</v>
      </c>
      <c r="G93" s="48"/>
      <c r="H93" s="427"/>
      <c r="I93" s="427"/>
      <c r="J93" s="427"/>
      <c r="K93" s="427"/>
      <c r="L93" s="427"/>
      <c r="M93" s="427"/>
      <c r="N93" s="427"/>
      <c r="O93" s="427"/>
      <c r="P93" s="240"/>
    </row>
    <row r="94" spans="1:16" s="26" customFormat="1" ht="15">
      <c r="A94" s="61">
        <v>8</v>
      </c>
      <c r="B94" s="58" t="s">
        <v>45</v>
      </c>
      <c r="C94" s="152" t="s">
        <v>324</v>
      </c>
      <c r="D94" s="53">
        <v>19803.5</v>
      </c>
      <c r="E94" s="54">
        <v>4781</v>
      </c>
      <c r="F94" s="243">
        <f t="shared" si="7"/>
        <v>4.142125078435474</v>
      </c>
      <c r="G94" s="25"/>
      <c r="H94" s="427"/>
      <c r="I94" s="427"/>
      <c r="J94" s="427"/>
      <c r="K94" s="427"/>
      <c r="L94" s="427"/>
      <c r="M94" s="427"/>
      <c r="N94" s="427"/>
      <c r="O94" s="427"/>
      <c r="P94" s="240"/>
    </row>
    <row r="95" spans="1:16" s="26" customFormat="1" ht="15">
      <c r="A95" s="61">
        <v>9</v>
      </c>
      <c r="B95" s="58" t="s">
        <v>405</v>
      </c>
      <c r="C95" s="152" t="s">
        <v>20</v>
      </c>
      <c r="D95" s="53">
        <v>19327</v>
      </c>
      <c r="E95" s="54">
        <v>3685</v>
      </c>
      <c r="F95" s="243">
        <f t="shared" si="7"/>
        <v>5.244776119402985</v>
      </c>
      <c r="G95" s="25"/>
      <c r="H95" s="427"/>
      <c r="I95" s="427"/>
      <c r="J95" s="427"/>
      <c r="K95" s="427"/>
      <c r="L95" s="427"/>
      <c r="M95" s="427"/>
      <c r="N95" s="427"/>
      <c r="O95" s="427"/>
      <c r="P95" s="240"/>
    </row>
    <row r="96" spans="1:16" s="26" customFormat="1" ht="15">
      <c r="A96" s="61">
        <v>10</v>
      </c>
      <c r="B96" s="58" t="s">
        <v>48</v>
      </c>
      <c r="C96" s="152" t="s">
        <v>37</v>
      </c>
      <c r="D96" s="53">
        <v>5771.5</v>
      </c>
      <c r="E96" s="54">
        <v>797</v>
      </c>
      <c r="F96" s="243">
        <f t="shared" si="7"/>
        <v>7.241530740276035</v>
      </c>
      <c r="G96" s="25"/>
      <c r="H96" s="427"/>
      <c r="I96" s="427"/>
      <c r="J96" s="427"/>
      <c r="K96" s="427"/>
      <c r="L96" s="427"/>
      <c r="M96" s="427"/>
      <c r="N96" s="427"/>
      <c r="O96" s="427"/>
      <c r="P96" s="240"/>
    </row>
    <row r="97" spans="1:16" s="26" customFormat="1" ht="15">
      <c r="A97" s="61">
        <v>11</v>
      </c>
      <c r="B97" s="58" t="s">
        <v>46</v>
      </c>
      <c r="C97" s="152" t="s">
        <v>20</v>
      </c>
      <c r="D97" s="53">
        <v>2393</v>
      </c>
      <c r="E97" s="54">
        <v>720</v>
      </c>
      <c r="F97" s="243">
        <f t="shared" si="7"/>
        <v>3.323611111111111</v>
      </c>
      <c r="G97" s="25"/>
      <c r="H97" s="427"/>
      <c r="I97" s="427"/>
      <c r="J97" s="427"/>
      <c r="K97" s="427"/>
      <c r="L97" s="427"/>
      <c r="M97" s="427"/>
      <c r="N97" s="427"/>
      <c r="O97" s="427"/>
      <c r="P97" s="240"/>
    </row>
    <row r="98" spans="1:16" s="26" customFormat="1" ht="15">
      <c r="A98" s="61">
        <v>12</v>
      </c>
      <c r="B98" s="58" t="s">
        <v>447</v>
      </c>
      <c r="C98" s="152" t="s">
        <v>20</v>
      </c>
      <c r="D98" s="53">
        <v>2033</v>
      </c>
      <c r="E98" s="54">
        <v>223</v>
      </c>
      <c r="F98" s="243">
        <f t="shared" si="7"/>
        <v>9.116591928251122</v>
      </c>
      <c r="G98" s="25"/>
      <c r="H98" s="428" t="s">
        <v>19</v>
      </c>
      <c r="I98" s="427"/>
      <c r="J98" s="427"/>
      <c r="K98" s="427"/>
      <c r="L98" s="427"/>
      <c r="M98" s="427"/>
      <c r="N98" s="427"/>
      <c r="O98" s="427"/>
      <c r="P98" s="240"/>
    </row>
    <row r="99" spans="1:16" s="26" customFormat="1" ht="15">
      <c r="A99" s="61">
        <v>13</v>
      </c>
      <c r="B99" s="58" t="s">
        <v>68</v>
      </c>
      <c r="C99" s="152" t="s">
        <v>86</v>
      </c>
      <c r="D99" s="53" t="s">
        <v>86</v>
      </c>
      <c r="E99" s="54" t="s">
        <v>86</v>
      </c>
      <c r="F99" s="243" t="s">
        <v>86</v>
      </c>
      <c r="G99" s="25"/>
      <c r="H99" s="427"/>
      <c r="I99" s="427"/>
      <c r="J99" s="427"/>
      <c r="K99" s="427"/>
      <c r="L99" s="427"/>
      <c r="M99" s="427"/>
      <c r="N99" s="427"/>
      <c r="O99" s="427"/>
      <c r="P99" s="240"/>
    </row>
    <row r="100" spans="1:16" s="26" customFormat="1" ht="15.75" thickBot="1">
      <c r="A100" s="62">
        <v>14</v>
      </c>
      <c r="B100" s="59" t="s">
        <v>74</v>
      </c>
      <c r="C100" s="153" t="s">
        <v>86</v>
      </c>
      <c r="D100" s="55" t="s">
        <v>86</v>
      </c>
      <c r="E100" s="56" t="s">
        <v>86</v>
      </c>
      <c r="F100" s="299" t="s">
        <v>86</v>
      </c>
      <c r="G100" s="25"/>
      <c r="H100" s="427"/>
      <c r="I100" s="427"/>
      <c r="J100" s="427"/>
      <c r="K100" s="427"/>
      <c r="L100" s="427"/>
      <c r="M100" s="427"/>
      <c r="N100" s="427"/>
      <c r="O100" s="427"/>
      <c r="P100" s="240"/>
    </row>
    <row r="101" spans="1:16" s="26" customFormat="1" ht="18">
      <c r="A101" s="51"/>
      <c r="B101" s="4"/>
      <c r="C101" s="12"/>
      <c r="D101" s="16"/>
      <c r="E101" s="16"/>
      <c r="F101" s="6"/>
      <c r="G101" s="25"/>
      <c r="H101" s="427"/>
      <c r="I101" s="427"/>
      <c r="J101" s="427"/>
      <c r="K101" s="427"/>
      <c r="L101" s="427"/>
      <c r="M101" s="427"/>
      <c r="N101" s="427"/>
      <c r="O101" s="427"/>
      <c r="P101" s="240"/>
    </row>
    <row r="102" spans="1:16" s="26" customFormat="1" ht="18">
      <c r="A102" s="51"/>
      <c r="B102" s="4"/>
      <c r="C102" s="12"/>
      <c r="D102" s="16"/>
      <c r="E102" s="16"/>
      <c r="F102" s="6"/>
      <c r="G102" s="25"/>
      <c r="H102" s="427"/>
      <c r="I102" s="427"/>
      <c r="J102" s="427"/>
      <c r="K102" s="427"/>
      <c r="L102" s="427"/>
      <c r="M102" s="427"/>
      <c r="N102" s="427"/>
      <c r="O102" s="427"/>
      <c r="P102" s="240"/>
    </row>
    <row r="103" spans="1:16" s="26" customFormat="1" ht="15">
      <c r="A103" s="51"/>
      <c r="B103" s="72"/>
      <c r="C103" s="150"/>
      <c r="D103" s="72"/>
      <c r="E103" s="72"/>
      <c r="F103" s="72"/>
      <c r="G103" s="25"/>
      <c r="H103" s="427"/>
      <c r="I103" s="427"/>
      <c r="J103" s="427"/>
      <c r="K103" s="427"/>
      <c r="L103" s="427"/>
      <c r="M103" s="427"/>
      <c r="N103" s="427"/>
      <c r="O103" s="427"/>
      <c r="P103" s="240"/>
    </row>
    <row r="104" spans="1:16" s="26" customFormat="1" ht="15">
      <c r="A104" s="51"/>
      <c r="B104" s="72"/>
      <c r="C104" s="150"/>
      <c r="D104" s="72"/>
      <c r="E104" s="72"/>
      <c r="F104" s="72"/>
      <c r="G104" s="25"/>
      <c r="H104" s="427"/>
      <c r="I104" s="427"/>
      <c r="J104" s="427"/>
      <c r="K104" s="427"/>
      <c r="L104" s="427"/>
      <c r="M104" s="427"/>
      <c r="N104" s="427"/>
      <c r="O104" s="427"/>
      <c r="P104" s="240"/>
    </row>
    <row r="105" spans="1:16" s="26" customFormat="1" ht="15">
      <c r="A105" s="51"/>
      <c r="B105" s="72"/>
      <c r="C105" s="150"/>
      <c r="D105" s="72"/>
      <c r="E105" s="72"/>
      <c r="F105" s="72"/>
      <c r="G105" s="25"/>
      <c r="H105" s="73"/>
      <c r="I105" s="122"/>
      <c r="J105" s="122"/>
      <c r="K105" s="73"/>
      <c r="L105" s="73"/>
      <c r="M105" s="73"/>
      <c r="N105" s="73"/>
      <c r="O105" s="73"/>
      <c r="P105" s="240"/>
    </row>
    <row r="106" spans="1:16" s="26" customFormat="1" ht="15">
      <c r="A106" s="51"/>
      <c r="B106" s="72"/>
      <c r="C106" s="150"/>
      <c r="D106" s="72"/>
      <c r="E106" s="72"/>
      <c r="F106" s="72"/>
      <c r="G106" s="25"/>
      <c r="H106" s="73"/>
      <c r="I106" s="122"/>
      <c r="J106" s="122"/>
      <c r="K106" s="73"/>
      <c r="L106" s="73"/>
      <c r="M106" s="73"/>
      <c r="N106" s="73"/>
      <c r="O106" s="73"/>
      <c r="P106" s="240"/>
    </row>
    <row r="107" spans="2:6" ht="18">
      <c r="B107" s="72"/>
      <c r="C107" s="150"/>
      <c r="D107" s="72"/>
      <c r="E107" s="72"/>
      <c r="F107" s="72"/>
    </row>
    <row r="108" spans="2:6" ht="18">
      <c r="B108" s="72"/>
      <c r="C108" s="150"/>
      <c r="D108" s="72"/>
      <c r="E108" s="72"/>
      <c r="F108" s="72"/>
    </row>
    <row r="109" spans="2:15" ht="18">
      <c r="B109" s="72"/>
      <c r="C109" s="150"/>
      <c r="D109" s="72"/>
      <c r="E109" s="72"/>
      <c r="F109" s="72"/>
      <c r="G109" s="72"/>
      <c r="H109" s="72"/>
      <c r="I109" s="123"/>
      <c r="J109" s="123"/>
      <c r="K109" s="72"/>
      <c r="L109" s="72"/>
      <c r="M109" s="72"/>
      <c r="N109" s="72"/>
      <c r="O109" s="72"/>
    </row>
    <row r="110" spans="2:15" ht="18">
      <c r="B110" s="72"/>
      <c r="C110" s="150"/>
      <c r="D110" s="72"/>
      <c r="E110" s="72"/>
      <c r="F110" s="72"/>
      <c r="G110" s="72"/>
      <c r="H110" s="72"/>
      <c r="I110" s="123"/>
      <c r="J110" s="123"/>
      <c r="K110" s="72"/>
      <c r="L110" s="72"/>
      <c r="M110" s="72"/>
      <c r="N110" s="72"/>
      <c r="O110" s="72"/>
    </row>
    <row r="111" spans="2:15" ht="18">
      <c r="B111" s="72"/>
      <c r="C111" s="150"/>
      <c r="D111" s="72"/>
      <c r="E111" s="72"/>
      <c r="F111" s="72"/>
      <c r="G111" s="72"/>
      <c r="H111" s="72"/>
      <c r="I111" s="123"/>
      <c r="J111" s="123"/>
      <c r="K111" s="72"/>
      <c r="L111" s="72"/>
      <c r="M111" s="72"/>
      <c r="N111" s="72"/>
      <c r="O111" s="72"/>
    </row>
    <row r="112" spans="2:15" ht="18">
      <c r="B112" s="72"/>
      <c r="C112" s="150"/>
      <c r="D112" s="72"/>
      <c r="E112" s="72"/>
      <c r="F112" s="72"/>
      <c r="G112" s="72"/>
      <c r="H112" s="72"/>
      <c r="I112" s="123"/>
      <c r="J112" s="123"/>
      <c r="K112" s="72"/>
      <c r="L112" s="72"/>
      <c r="M112" s="72"/>
      <c r="N112" s="72"/>
      <c r="O112" s="72"/>
    </row>
    <row r="113" spans="2:15" ht="18">
      <c r="B113" s="72"/>
      <c r="C113" s="150"/>
      <c r="D113" s="72"/>
      <c r="E113" s="72"/>
      <c r="F113" s="72"/>
      <c r="G113" s="72"/>
      <c r="H113" s="72"/>
      <c r="I113" s="123"/>
      <c r="J113" s="123"/>
      <c r="K113" s="72"/>
      <c r="L113" s="72"/>
      <c r="M113" s="72"/>
      <c r="N113" s="72"/>
      <c r="O113" s="72"/>
    </row>
    <row r="114" spans="2:15" ht="18">
      <c r="B114" s="72"/>
      <c r="C114" s="150"/>
      <c r="D114" s="72"/>
      <c r="E114" s="72"/>
      <c r="F114" s="72"/>
      <c r="G114" s="72"/>
      <c r="H114" s="72"/>
      <c r="I114" s="123"/>
      <c r="J114" s="123"/>
      <c r="K114" s="72"/>
      <c r="L114" s="72"/>
      <c r="M114" s="72"/>
      <c r="N114" s="72"/>
      <c r="O114" s="72"/>
    </row>
    <row r="115" spans="2:15" ht="18">
      <c r="B115" s="72"/>
      <c r="C115" s="150"/>
      <c r="D115" s="72"/>
      <c r="E115" s="72"/>
      <c r="F115" s="72"/>
      <c r="G115" s="72"/>
      <c r="H115" s="72"/>
      <c r="I115" s="123"/>
      <c r="J115" s="123"/>
      <c r="K115" s="72"/>
      <c r="L115" s="72"/>
      <c r="M115" s="72"/>
      <c r="N115" s="72"/>
      <c r="O115" s="72"/>
    </row>
    <row r="116" spans="2:15" ht="18">
      <c r="B116" s="72"/>
      <c r="C116" s="150"/>
      <c r="D116" s="72"/>
      <c r="E116" s="72"/>
      <c r="F116" s="72"/>
      <c r="G116" s="72"/>
      <c r="H116" s="72"/>
      <c r="I116" s="123"/>
      <c r="J116" s="123"/>
      <c r="K116" s="72"/>
      <c r="L116" s="72"/>
      <c r="M116" s="72"/>
      <c r="N116" s="72"/>
      <c r="O116" s="72"/>
    </row>
    <row r="117" spans="7:15" ht="18">
      <c r="G117" s="72"/>
      <c r="H117" s="72"/>
      <c r="I117" s="123"/>
      <c r="J117" s="123"/>
      <c r="K117" s="72"/>
      <c r="L117" s="72"/>
      <c r="M117" s="72"/>
      <c r="N117" s="72"/>
      <c r="O117" s="72"/>
    </row>
    <row r="118" spans="7:15" ht="18">
      <c r="G118" s="72"/>
      <c r="H118" s="72"/>
      <c r="I118" s="123"/>
      <c r="J118" s="123"/>
      <c r="K118" s="72"/>
      <c r="L118" s="72"/>
      <c r="M118" s="72"/>
      <c r="N118" s="72"/>
      <c r="O118" s="72"/>
    </row>
    <row r="119" spans="7:15" ht="18">
      <c r="G119" s="72"/>
      <c r="H119" s="72"/>
      <c r="I119" s="123"/>
      <c r="J119" s="123"/>
      <c r="K119" s="72"/>
      <c r="L119" s="72"/>
      <c r="M119" s="72"/>
      <c r="N119" s="72"/>
      <c r="O119" s="72"/>
    </row>
    <row r="120" spans="7:15" ht="18">
      <c r="G120" s="72"/>
      <c r="H120" s="72"/>
      <c r="I120" s="123"/>
      <c r="J120" s="123"/>
      <c r="K120" s="72"/>
      <c r="L120" s="72"/>
      <c r="M120" s="72"/>
      <c r="N120" s="72"/>
      <c r="O120" s="72"/>
    </row>
    <row r="121" spans="7:15" ht="18">
      <c r="G121" s="72"/>
      <c r="H121" s="72"/>
      <c r="I121" s="123"/>
      <c r="J121" s="123"/>
      <c r="K121" s="72"/>
      <c r="L121" s="72"/>
      <c r="M121" s="72"/>
      <c r="N121" s="72"/>
      <c r="O121" s="72"/>
    </row>
    <row r="122" spans="7:15" ht="18">
      <c r="G122" s="72"/>
      <c r="H122" s="72"/>
      <c r="I122" s="123"/>
      <c r="J122" s="123"/>
      <c r="K122" s="72"/>
      <c r="L122" s="72"/>
      <c r="M122" s="72"/>
      <c r="N122" s="72"/>
      <c r="O122" s="72"/>
    </row>
  </sheetData>
  <sheetProtection insertRows="0" deleteRows="0" sort="0"/>
  <mergeCells count="20">
    <mergeCell ref="A2:O2"/>
    <mergeCell ref="M3:O3"/>
    <mergeCell ref="G3:G4"/>
    <mergeCell ref="F3:F4"/>
    <mergeCell ref="B3:B4"/>
    <mergeCell ref="D3:D4"/>
    <mergeCell ref="H3:H4"/>
    <mergeCell ref="I3:L3"/>
    <mergeCell ref="C3:C4"/>
    <mergeCell ref="E3:E4"/>
    <mergeCell ref="H92:O97"/>
    <mergeCell ref="H98:O104"/>
    <mergeCell ref="A80:B80"/>
    <mergeCell ref="A81:B81"/>
    <mergeCell ref="C85:F85"/>
    <mergeCell ref="K86:O88"/>
    <mergeCell ref="B83:C84"/>
    <mergeCell ref="K83:O85"/>
    <mergeCell ref="D83:F83"/>
    <mergeCell ref="K89:O91"/>
  </mergeCells>
  <printOptions horizontalCentered="1" verticalCentered="1"/>
  <pageMargins left="0.53" right="0.19" top="0.5905511811023623" bottom="0.5" header="0.5118110236220472" footer="0.45"/>
  <pageSetup orientation="portrait" paperSize="9" scale="45" r:id="rId2"/>
  <ignoredErrors>
    <ignoredError sqref="M80:N81 M6:N77" unlockedFormula="1"/>
    <ignoredError sqref="K80:L80" formula="1"/>
    <ignoredError sqref="C87:E98 F7:H77" numberStoredAsText="1"/>
    <ignoredError sqref="F87:F98" numberStoredAsText="1" unlockedFormula="1"/>
  </ignoredErrors>
  <drawing r:id="rId1"/>
</worksheet>
</file>

<file path=xl/worksheets/sheet2.xml><?xml version="1.0" encoding="utf-8"?>
<worksheet xmlns="http://schemas.openxmlformats.org/spreadsheetml/2006/main" xmlns:r="http://schemas.openxmlformats.org/officeDocument/2006/relationships">
  <dimension ref="A1:L137"/>
  <sheetViews>
    <sheetView zoomScale="60" zoomScaleNormal="60" workbookViewId="0" topLeftCell="A97">
      <selection activeCell="B127" sqref="B127"/>
    </sheetView>
  </sheetViews>
  <sheetFormatPr defaultColWidth="9.140625" defaultRowHeight="12.75"/>
  <cols>
    <col min="1" max="1" width="4.57421875" style="90" bestFit="1" customWidth="1"/>
    <col min="2" max="2" width="42.421875" style="85" bestFit="1" customWidth="1"/>
    <col min="3" max="3" width="11.28125" style="49" customWidth="1"/>
    <col min="4" max="4" width="13.421875" style="49" bestFit="1" customWidth="1"/>
    <col min="5" max="5" width="19.8515625" style="49" customWidth="1"/>
    <col min="6" max="6" width="6.8515625" style="49" bestFit="1" customWidth="1"/>
    <col min="7" max="7" width="9.421875" style="49" customWidth="1"/>
    <col min="8" max="8" width="18.28125" style="86" bestFit="1" customWidth="1"/>
    <col min="9" max="9" width="13.28125" style="97" bestFit="1" customWidth="1"/>
    <col min="10" max="10" width="9.140625" style="87" customWidth="1"/>
    <col min="11" max="16384" width="13.28125" style="85" customWidth="1"/>
  </cols>
  <sheetData>
    <row r="1" spans="1:10" s="78" customFormat="1" ht="39" customHeight="1" thickBot="1">
      <c r="A1" s="452" t="s">
        <v>444</v>
      </c>
      <c r="B1" s="452"/>
      <c r="C1" s="452"/>
      <c r="D1" s="452"/>
      <c r="E1" s="452"/>
      <c r="F1" s="452"/>
      <c r="G1" s="452"/>
      <c r="H1" s="452"/>
      <c r="I1" s="452"/>
      <c r="J1" s="452"/>
    </row>
    <row r="2" spans="1:10" s="79" customFormat="1" ht="21.75" customHeight="1">
      <c r="A2" s="94"/>
      <c r="B2" s="457" t="s">
        <v>1</v>
      </c>
      <c r="C2" s="457" t="s">
        <v>107</v>
      </c>
      <c r="D2" s="457" t="s">
        <v>54</v>
      </c>
      <c r="E2" s="457" t="s">
        <v>53</v>
      </c>
      <c r="F2" s="446" t="s">
        <v>3</v>
      </c>
      <c r="G2" s="446" t="s">
        <v>108</v>
      </c>
      <c r="H2" s="460" t="s">
        <v>5</v>
      </c>
      <c r="I2" s="461"/>
      <c r="J2" s="462" t="s">
        <v>109</v>
      </c>
    </row>
    <row r="3" spans="1:10" s="79" customFormat="1" ht="21.75" customHeight="1" thickBot="1">
      <c r="A3" s="182"/>
      <c r="B3" s="458"/>
      <c r="C3" s="458"/>
      <c r="D3" s="458"/>
      <c r="E3" s="458"/>
      <c r="F3" s="459"/>
      <c r="G3" s="459"/>
      <c r="H3" s="76" t="s">
        <v>110</v>
      </c>
      <c r="I3" s="77" t="s">
        <v>90</v>
      </c>
      <c r="J3" s="463"/>
    </row>
    <row r="4" spans="1:10" s="79" customFormat="1" ht="15">
      <c r="A4" s="190">
        <v>1</v>
      </c>
      <c r="B4" s="347" t="s">
        <v>460</v>
      </c>
      <c r="C4" s="181">
        <v>39094</v>
      </c>
      <c r="D4" s="348" t="s">
        <v>58</v>
      </c>
      <c r="E4" s="348" t="s">
        <v>346</v>
      </c>
      <c r="F4" s="349">
        <v>226</v>
      </c>
      <c r="G4" s="349">
        <v>18</v>
      </c>
      <c r="H4" s="408">
        <f>3142328+2138928+1454143+1085018.5-637+512497+119516+49072.5+21975.5+19023+9522+7521+6716.5+973+245+20+90+85</f>
        <v>8567037</v>
      </c>
      <c r="I4" s="409">
        <f>453903+300559+202455+152725+101+73889+22414+10560+4196+3829+2908+1791+1716+233+42+4+18+17</f>
        <v>1231360</v>
      </c>
      <c r="J4" s="357">
        <f aca="true" t="shared" si="0" ref="J4:J36">+H4/I4</f>
        <v>6.957378021049896</v>
      </c>
    </row>
    <row r="5" spans="1:10" s="79" customFormat="1" ht="15">
      <c r="A5" s="190">
        <v>2</v>
      </c>
      <c r="B5" s="245" t="s">
        <v>181</v>
      </c>
      <c r="C5" s="115">
        <v>39101</v>
      </c>
      <c r="D5" s="126" t="s">
        <v>58</v>
      </c>
      <c r="E5" s="126" t="s">
        <v>58</v>
      </c>
      <c r="F5" s="116">
        <v>160</v>
      </c>
      <c r="G5" s="116">
        <v>17</v>
      </c>
      <c r="H5" s="351">
        <f>3815016+1300103.5+871510+26.5+643328.5+285+427492+144808.5-4582.5+117687.5+159.5+78376+20328+17217+7297+945+2840.5+34810+328+1337</f>
        <v>7479313</v>
      </c>
      <c r="I5" s="369">
        <f>302979+231870+176034+121748+3+91906+35+60830+21133-764+16236+14+11431-4+2924+3552+1459+120+1210+2+11600+81+437</f>
        <v>1054836</v>
      </c>
      <c r="J5" s="294">
        <f t="shared" si="0"/>
        <v>7.090498428191681</v>
      </c>
    </row>
    <row r="6" spans="1:10" s="79" customFormat="1" ht="15">
      <c r="A6" s="283">
        <v>3</v>
      </c>
      <c r="B6" s="383">
        <v>300</v>
      </c>
      <c r="C6" s="342">
        <v>39157</v>
      </c>
      <c r="D6" s="384" t="s">
        <v>56</v>
      </c>
      <c r="E6" s="385" t="s">
        <v>11</v>
      </c>
      <c r="F6" s="386">
        <v>112</v>
      </c>
      <c r="G6" s="386">
        <v>11</v>
      </c>
      <c r="H6" s="397">
        <f>3267435+1511269+807013+389417+224450+112364+52008+9245+3829+1321+540</f>
        <v>6378891</v>
      </c>
      <c r="I6" s="398">
        <f>400017+186496+98693+49874+35249+20817+11882+2148+932+328+139</f>
        <v>806575</v>
      </c>
      <c r="J6" s="361">
        <f t="shared" si="0"/>
        <v>7.908614821932244</v>
      </c>
    </row>
    <row r="7" spans="1:10" s="79" customFormat="1" ht="15">
      <c r="A7" s="282">
        <v>4</v>
      </c>
      <c r="B7" s="377" t="s">
        <v>240</v>
      </c>
      <c r="C7" s="343">
        <v>39108</v>
      </c>
      <c r="D7" s="378" t="s">
        <v>56</v>
      </c>
      <c r="E7" s="379" t="s">
        <v>261</v>
      </c>
      <c r="F7" s="380">
        <v>148</v>
      </c>
      <c r="G7" s="380">
        <v>18</v>
      </c>
      <c r="H7" s="395">
        <f>1992651+1728920+984064+346169+182382+106480+57466+19982+14948+10164+6290+4742+2342+225+140+1108+175+60</f>
        <v>5458308</v>
      </c>
      <c r="I7" s="396">
        <f>274655+238848+139396+51021+30073+21220+12561+3942+2123+3415+1857+1264+1187+706+45+28+267+35+12</f>
        <v>782655</v>
      </c>
      <c r="J7" s="360">
        <f t="shared" si="0"/>
        <v>6.974092032888054</v>
      </c>
    </row>
    <row r="8" spans="1:10" s="79" customFormat="1" ht="15">
      <c r="A8" s="190">
        <v>5</v>
      </c>
      <c r="B8" s="244" t="s">
        <v>406</v>
      </c>
      <c r="C8" s="114">
        <v>39206</v>
      </c>
      <c r="D8" s="125" t="s">
        <v>56</v>
      </c>
      <c r="E8" s="124" t="s">
        <v>61</v>
      </c>
      <c r="F8" s="345">
        <v>163</v>
      </c>
      <c r="G8" s="345">
        <v>4</v>
      </c>
      <c r="H8" s="352">
        <f>2739132+1415220+863921+292563</f>
        <v>5310836</v>
      </c>
      <c r="I8" s="370">
        <f>347281+180161+109405+38153</f>
        <v>675000</v>
      </c>
      <c r="J8" s="294">
        <f t="shared" si="0"/>
        <v>7.867905185185185</v>
      </c>
    </row>
    <row r="9" spans="1:10" s="79" customFormat="1" ht="15">
      <c r="A9" s="190">
        <v>6</v>
      </c>
      <c r="B9" s="247" t="s">
        <v>308</v>
      </c>
      <c r="C9" s="114">
        <v>39157</v>
      </c>
      <c r="D9" s="127" t="s">
        <v>45</v>
      </c>
      <c r="E9" s="127" t="s">
        <v>309</v>
      </c>
      <c r="F9" s="346" t="s">
        <v>350</v>
      </c>
      <c r="G9" s="346" t="s">
        <v>409</v>
      </c>
      <c r="H9" s="352">
        <v>3670269.5</v>
      </c>
      <c r="I9" s="370">
        <v>535938</v>
      </c>
      <c r="J9" s="294">
        <f t="shared" si="0"/>
        <v>6.848309879127809</v>
      </c>
    </row>
    <row r="10" spans="1:10" s="79" customFormat="1" ht="15">
      <c r="A10" s="190">
        <v>7</v>
      </c>
      <c r="B10" s="245" t="s">
        <v>452</v>
      </c>
      <c r="C10" s="115">
        <v>39227</v>
      </c>
      <c r="D10" s="126" t="s">
        <v>57</v>
      </c>
      <c r="E10" s="126" t="s">
        <v>60</v>
      </c>
      <c r="F10" s="116">
        <v>216</v>
      </c>
      <c r="G10" s="116">
        <v>1</v>
      </c>
      <c r="H10" s="351">
        <v>3543354</v>
      </c>
      <c r="I10" s="369">
        <v>445802</v>
      </c>
      <c r="J10" s="294">
        <f t="shared" si="0"/>
        <v>7.948268513824523</v>
      </c>
    </row>
    <row r="11" spans="1:10" s="79" customFormat="1" ht="15">
      <c r="A11" s="190">
        <v>8</v>
      </c>
      <c r="B11" s="244" t="s">
        <v>187</v>
      </c>
      <c r="C11" s="114">
        <v>39108</v>
      </c>
      <c r="D11" s="125" t="s">
        <v>56</v>
      </c>
      <c r="E11" s="124" t="s">
        <v>11</v>
      </c>
      <c r="F11" s="345">
        <v>131</v>
      </c>
      <c r="G11" s="345">
        <v>16</v>
      </c>
      <c r="H11" s="352">
        <f>3063+1388108+1182918+556749+125580+97410+76666+37161+16470+15161+2005+10200+4397+3408+936+1970+7747</f>
        <v>3529949</v>
      </c>
      <c r="I11" s="370">
        <f>313+167433+145432+67053+17220+16427+14008+6979+4516+4288+371+2790+932+917+199+391+2126</f>
        <v>451395</v>
      </c>
      <c r="J11" s="294">
        <f t="shared" si="0"/>
        <v>7.8200888357203775</v>
      </c>
    </row>
    <row r="12" spans="1:10" s="79" customFormat="1" ht="15">
      <c r="A12" s="190">
        <v>9</v>
      </c>
      <c r="B12" s="244" t="s">
        <v>226</v>
      </c>
      <c r="C12" s="114">
        <v>39115</v>
      </c>
      <c r="D12" s="125" t="s">
        <v>56</v>
      </c>
      <c r="E12" s="124" t="s">
        <v>11</v>
      </c>
      <c r="F12" s="345">
        <v>81</v>
      </c>
      <c r="G12" s="345">
        <v>13</v>
      </c>
      <c r="H12" s="352">
        <f>3091+1174032+810484+561094+347033+135358+88526+33166+9630+2505+2639+286+251+1782</f>
        <v>3169877</v>
      </c>
      <c r="I12" s="370">
        <f>289+128246+92369+63358+42093+20318+16522+7468+2207+501+1112+39+34+509</f>
        <v>375065</v>
      </c>
      <c r="J12" s="294">
        <f t="shared" si="0"/>
        <v>8.451540399664058</v>
      </c>
    </row>
    <row r="13" spans="1:10" s="79" customFormat="1" ht="15">
      <c r="A13" s="190">
        <v>10</v>
      </c>
      <c r="B13" s="247" t="s">
        <v>123</v>
      </c>
      <c r="C13" s="114">
        <v>39080</v>
      </c>
      <c r="D13" s="127" t="s">
        <v>45</v>
      </c>
      <c r="E13" s="127" t="s">
        <v>97</v>
      </c>
      <c r="F13" s="346" t="s">
        <v>124</v>
      </c>
      <c r="G13" s="346" t="s">
        <v>456</v>
      </c>
      <c r="H13" s="352">
        <v>3059149</v>
      </c>
      <c r="I13" s="370">
        <v>410747</v>
      </c>
      <c r="J13" s="294">
        <f t="shared" si="0"/>
        <v>7.447769551573109</v>
      </c>
    </row>
    <row r="14" spans="1:10" s="79" customFormat="1" ht="15">
      <c r="A14" s="190">
        <v>11</v>
      </c>
      <c r="B14" s="333" t="s">
        <v>142</v>
      </c>
      <c r="C14" s="115">
        <v>39101</v>
      </c>
      <c r="D14" s="175" t="s">
        <v>57</v>
      </c>
      <c r="E14" s="175" t="s">
        <v>60</v>
      </c>
      <c r="F14" s="326">
        <v>90</v>
      </c>
      <c r="G14" s="326">
        <v>12</v>
      </c>
      <c r="H14" s="351">
        <v>2957559</v>
      </c>
      <c r="I14" s="369">
        <v>345479</v>
      </c>
      <c r="J14" s="294">
        <f t="shared" si="0"/>
        <v>8.56074898908472</v>
      </c>
    </row>
    <row r="15" spans="1:10" s="79" customFormat="1" ht="15">
      <c r="A15" s="190">
        <v>12</v>
      </c>
      <c r="B15" s="332" t="s">
        <v>223</v>
      </c>
      <c r="C15" s="114">
        <v>39108</v>
      </c>
      <c r="D15" s="363" t="s">
        <v>45</v>
      </c>
      <c r="E15" s="363" t="s">
        <v>224</v>
      </c>
      <c r="F15" s="276" t="s">
        <v>225</v>
      </c>
      <c r="G15" s="276">
        <v>14</v>
      </c>
      <c r="H15" s="352">
        <v>2820296</v>
      </c>
      <c r="I15" s="370">
        <v>378688</v>
      </c>
      <c r="J15" s="294">
        <f t="shared" si="0"/>
        <v>7.447545208720635</v>
      </c>
    </row>
    <row r="16" spans="1:10" s="79" customFormat="1" ht="15">
      <c r="A16" s="190">
        <v>13</v>
      </c>
      <c r="B16" s="245" t="s">
        <v>384</v>
      </c>
      <c r="C16" s="115">
        <v>39192</v>
      </c>
      <c r="D16" s="126" t="s">
        <v>57</v>
      </c>
      <c r="E16" s="126" t="s">
        <v>385</v>
      </c>
      <c r="F16" s="116">
        <v>173</v>
      </c>
      <c r="G16" s="116">
        <v>6</v>
      </c>
      <c r="H16" s="351">
        <v>2708675</v>
      </c>
      <c r="I16" s="369">
        <v>377140</v>
      </c>
      <c r="J16" s="294">
        <f t="shared" si="0"/>
        <v>7.182147213236464</v>
      </c>
    </row>
    <row r="17" spans="1:10" s="79" customFormat="1" ht="15">
      <c r="A17" s="190">
        <v>14</v>
      </c>
      <c r="B17" s="244" t="s">
        <v>260</v>
      </c>
      <c r="C17" s="114">
        <v>39129</v>
      </c>
      <c r="D17" s="125" t="s">
        <v>56</v>
      </c>
      <c r="E17" s="124" t="s">
        <v>61</v>
      </c>
      <c r="F17" s="345">
        <v>72</v>
      </c>
      <c r="G17" s="345">
        <v>10</v>
      </c>
      <c r="H17" s="352">
        <f>1024988+679541+410193+207911+76405+45780+25921+20590+1599+1014</f>
        <v>2493942</v>
      </c>
      <c r="I17" s="370">
        <f>121457+81309+49212+25967+12824+9651+5051+4320+382+310</f>
        <v>310483</v>
      </c>
      <c r="J17" s="294">
        <f t="shared" si="0"/>
        <v>8.032459104041124</v>
      </c>
    </row>
    <row r="18" spans="1:10" s="79" customFormat="1" ht="15">
      <c r="A18" s="190">
        <v>15</v>
      </c>
      <c r="B18" s="333" t="s">
        <v>178</v>
      </c>
      <c r="C18" s="115">
        <v>39080</v>
      </c>
      <c r="D18" s="175" t="s">
        <v>57</v>
      </c>
      <c r="E18" s="175" t="s">
        <v>60</v>
      </c>
      <c r="F18" s="326">
        <v>56</v>
      </c>
      <c r="G18" s="326">
        <v>15</v>
      </c>
      <c r="H18" s="351">
        <v>2101362</v>
      </c>
      <c r="I18" s="369">
        <v>232387</v>
      </c>
      <c r="J18" s="294">
        <f t="shared" si="0"/>
        <v>9.042510983833003</v>
      </c>
    </row>
    <row r="19" spans="1:10" s="79" customFormat="1" ht="15">
      <c r="A19" s="190">
        <v>16</v>
      </c>
      <c r="B19" s="247" t="s">
        <v>290</v>
      </c>
      <c r="C19" s="114">
        <v>39156</v>
      </c>
      <c r="D19" s="127" t="s">
        <v>45</v>
      </c>
      <c r="E19" s="127" t="s">
        <v>344</v>
      </c>
      <c r="F19" s="346" t="s">
        <v>289</v>
      </c>
      <c r="G19" s="346" t="s">
        <v>428</v>
      </c>
      <c r="H19" s="352">
        <v>2039235.5</v>
      </c>
      <c r="I19" s="370">
        <v>271986</v>
      </c>
      <c r="J19" s="294">
        <f t="shared" si="0"/>
        <v>7.497575242843381</v>
      </c>
    </row>
    <row r="20" spans="1:10" s="79" customFormat="1" ht="15">
      <c r="A20" s="190">
        <v>17</v>
      </c>
      <c r="B20" s="244" t="s">
        <v>291</v>
      </c>
      <c r="C20" s="114">
        <v>39143</v>
      </c>
      <c r="D20" s="125" t="s">
        <v>56</v>
      </c>
      <c r="E20" s="124" t="s">
        <v>71</v>
      </c>
      <c r="F20" s="345">
        <v>77</v>
      </c>
      <c r="G20" s="345">
        <v>11</v>
      </c>
      <c r="H20" s="352">
        <f>846616+621006+326134+78640+79015+27237+18411+3052+4329+471+1132</f>
        <v>2006043</v>
      </c>
      <c r="I20" s="370">
        <f>102037+74423+39219+11834+13028+5347+3640+1471+1553+157+248</f>
        <v>252957</v>
      </c>
      <c r="J20" s="294">
        <f t="shared" si="0"/>
        <v>7.93037156512767</v>
      </c>
    </row>
    <row r="21" spans="1:10" s="79" customFormat="1" ht="15">
      <c r="A21" s="190">
        <v>18</v>
      </c>
      <c r="B21" s="244" t="s">
        <v>118</v>
      </c>
      <c r="C21" s="114">
        <v>39080</v>
      </c>
      <c r="D21" s="125" t="s">
        <v>56</v>
      </c>
      <c r="E21" s="124" t="s">
        <v>61</v>
      </c>
      <c r="F21" s="345">
        <v>80</v>
      </c>
      <c r="G21" s="345">
        <v>17</v>
      </c>
      <c r="H21" s="367">
        <f>1367+686114+384405+247619+146119+85619+63759-1+18934+11869+10791+11315+6907+8812+6730+2628+1465+749+1063</f>
        <v>1696264</v>
      </c>
      <c r="I21" s="368">
        <f>80773+116+46317+29887+17891+10484+7685+2801+1917+1334+1333+755+1517+932+417+307+136+369</f>
        <v>204971</v>
      </c>
      <c r="J21" s="350">
        <f t="shared" si="0"/>
        <v>8.275629235355245</v>
      </c>
    </row>
    <row r="22" spans="1:10" s="79" customFormat="1" ht="15">
      <c r="A22" s="190">
        <v>19</v>
      </c>
      <c r="B22" s="247" t="s">
        <v>233</v>
      </c>
      <c r="C22" s="114">
        <v>39115</v>
      </c>
      <c r="D22" s="127" t="s">
        <v>45</v>
      </c>
      <c r="E22" s="127" t="s">
        <v>234</v>
      </c>
      <c r="F22" s="346" t="s">
        <v>235</v>
      </c>
      <c r="G22" s="346" t="s">
        <v>424</v>
      </c>
      <c r="H22" s="352">
        <v>1681318</v>
      </c>
      <c r="I22" s="370">
        <v>236566</v>
      </c>
      <c r="J22" s="294">
        <f t="shared" si="0"/>
        <v>7.1071836189477775</v>
      </c>
    </row>
    <row r="23" spans="1:10" s="79" customFormat="1" ht="15">
      <c r="A23" s="190">
        <v>20</v>
      </c>
      <c r="B23" s="244" t="s">
        <v>317</v>
      </c>
      <c r="C23" s="114">
        <v>39164</v>
      </c>
      <c r="D23" s="125" t="s">
        <v>56</v>
      </c>
      <c r="E23" s="124" t="s">
        <v>11</v>
      </c>
      <c r="F23" s="345">
        <v>67</v>
      </c>
      <c r="G23" s="345">
        <v>10</v>
      </c>
      <c r="H23" s="352">
        <f>7213+744394+558705+271317+50816+12988+9955+3876+1748+6837+3019</f>
        <v>1670868</v>
      </c>
      <c r="I23" s="370">
        <f>773+77628+58862+29936+6447+2076+1922+726+287+1913+534</f>
        <v>181104</v>
      </c>
      <c r="J23" s="294">
        <f t="shared" si="0"/>
        <v>9.226013782136231</v>
      </c>
    </row>
    <row r="24" spans="1:10" s="79" customFormat="1" ht="15">
      <c r="A24" s="190">
        <v>21</v>
      </c>
      <c r="B24" s="245" t="s">
        <v>256</v>
      </c>
      <c r="C24" s="115">
        <v>39129</v>
      </c>
      <c r="D24" s="126" t="s">
        <v>57</v>
      </c>
      <c r="E24" s="126" t="s">
        <v>461</v>
      </c>
      <c r="F24" s="116">
        <v>77</v>
      </c>
      <c r="G24" s="116">
        <v>14</v>
      </c>
      <c r="H24" s="351">
        <v>1551628</v>
      </c>
      <c r="I24" s="369">
        <v>198503</v>
      </c>
      <c r="J24" s="294">
        <f t="shared" si="0"/>
        <v>7.816647607340947</v>
      </c>
    </row>
    <row r="25" spans="1:10" s="79" customFormat="1" ht="15">
      <c r="A25" s="190">
        <v>22</v>
      </c>
      <c r="B25" s="244" t="s">
        <v>255</v>
      </c>
      <c r="C25" s="114">
        <v>39129</v>
      </c>
      <c r="D25" s="124" t="s">
        <v>48</v>
      </c>
      <c r="E25" s="124" t="s">
        <v>190</v>
      </c>
      <c r="F25" s="345">
        <v>113</v>
      </c>
      <c r="G25" s="345">
        <v>13</v>
      </c>
      <c r="H25" s="355">
        <f>1545164+100</f>
        <v>1545264</v>
      </c>
      <c r="I25" s="369">
        <f>206263+0+23</f>
        <v>206286</v>
      </c>
      <c r="J25" s="294">
        <f t="shared" si="0"/>
        <v>7.490881591576743</v>
      </c>
    </row>
    <row r="26" spans="1:10" s="79" customFormat="1" ht="15">
      <c r="A26" s="190">
        <v>23</v>
      </c>
      <c r="B26" s="244" t="s">
        <v>325</v>
      </c>
      <c r="C26" s="114">
        <v>39164</v>
      </c>
      <c r="D26" s="124" t="s">
        <v>48</v>
      </c>
      <c r="E26" s="124" t="s">
        <v>70</v>
      </c>
      <c r="F26" s="345">
        <v>119</v>
      </c>
      <c r="G26" s="345">
        <v>10</v>
      </c>
      <c r="H26" s="355">
        <f>712448.5+409036+169662.5+70281+61538+25145+7474.5+4626+2548+744</f>
        <v>1463503.5</v>
      </c>
      <c r="I26" s="369">
        <f>87225+51382+22920+11657+11505+6008+1401+835+378+118</f>
        <v>193429</v>
      </c>
      <c r="J26" s="294">
        <f t="shared" si="0"/>
        <v>7.566101773777459</v>
      </c>
    </row>
    <row r="27" spans="1:10" s="79" customFormat="1" ht="15">
      <c r="A27" s="190">
        <v>24</v>
      </c>
      <c r="B27" s="245" t="s">
        <v>348</v>
      </c>
      <c r="C27" s="115">
        <v>39178</v>
      </c>
      <c r="D27" s="126" t="s">
        <v>55</v>
      </c>
      <c r="E27" s="126" t="s">
        <v>349</v>
      </c>
      <c r="F27" s="116">
        <v>55</v>
      </c>
      <c r="G27" s="116">
        <v>8</v>
      </c>
      <c r="H27" s="351">
        <v>1349198.58</v>
      </c>
      <c r="I27" s="369">
        <v>157009</v>
      </c>
      <c r="J27" s="294">
        <f t="shared" si="0"/>
        <v>8.593128928914904</v>
      </c>
    </row>
    <row r="28" spans="1:10" s="79" customFormat="1" ht="15">
      <c r="A28" s="190">
        <v>25</v>
      </c>
      <c r="B28" s="245" t="s">
        <v>341</v>
      </c>
      <c r="C28" s="115">
        <v>39164</v>
      </c>
      <c r="D28" s="126" t="s">
        <v>58</v>
      </c>
      <c r="E28" s="126" t="s">
        <v>455</v>
      </c>
      <c r="F28" s="116">
        <v>40</v>
      </c>
      <c r="G28" s="116">
        <v>10</v>
      </c>
      <c r="H28" s="351">
        <f>452783.5+369193.5-156.5+194527+1+121223+68185+44103+34172+22942+14917.5+8388</f>
        <v>1330279</v>
      </c>
      <c r="I28" s="369">
        <f>49233+40219-14+22195+17046+12080+7513+6232+4202+2944+1638</f>
        <v>163288</v>
      </c>
      <c r="J28" s="294">
        <f t="shared" si="0"/>
        <v>8.14682646612121</v>
      </c>
    </row>
    <row r="29" spans="1:10" s="79" customFormat="1" ht="15">
      <c r="A29" s="190">
        <v>26</v>
      </c>
      <c r="B29" s="119" t="s">
        <v>393</v>
      </c>
      <c r="C29" s="117">
        <v>39199</v>
      </c>
      <c r="D29" s="128" t="s">
        <v>64</v>
      </c>
      <c r="E29" s="128" t="s">
        <v>65</v>
      </c>
      <c r="F29" s="376">
        <v>82</v>
      </c>
      <c r="G29" s="376">
        <v>5</v>
      </c>
      <c r="H29" s="353">
        <v>1305078</v>
      </c>
      <c r="I29" s="375">
        <v>156701</v>
      </c>
      <c r="J29" s="294">
        <f t="shared" si="0"/>
        <v>8.328459933248672</v>
      </c>
    </row>
    <row r="30" spans="1:10" s="79" customFormat="1" ht="15">
      <c r="A30" s="190">
        <v>27</v>
      </c>
      <c r="B30" s="244" t="s">
        <v>386</v>
      </c>
      <c r="C30" s="114">
        <v>39192</v>
      </c>
      <c r="D30" s="125" t="s">
        <v>56</v>
      </c>
      <c r="E30" s="124" t="s">
        <v>61</v>
      </c>
      <c r="F30" s="345">
        <v>71</v>
      </c>
      <c r="G30" s="345">
        <v>6</v>
      </c>
      <c r="H30" s="352">
        <f>650722+343253+182218+69965+35143+7805</f>
        <v>1289106</v>
      </c>
      <c r="I30" s="370">
        <f>69605+37920+20625+11182+6173+1433</f>
        <v>146938</v>
      </c>
      <c r="J30" s="294">
        <f t="shared" si="0"/>
        <v>8.773128802624235</v>
      </c>
    </row>
    <row r="31" spans="1:10" s="79" customFormat="1" ht="15">
      <c r="A31" s="190">
        <v>28</v>
      </c>
      <c r="B31" s="245" t="s">
        <v>257</v>
      </c>
      <c r="C31" s="115">
        <v>39129</v>
      </c>
      <c r="D31" s="126" t="s">
        <v>66</v>
      </c>
      <c r="E31" s="126" t="s">
        <v>66</v>
      </c>
      <c r="F31" s="116">
        <v>43</v>
      </c>
      <c r="G31" s="116">
        <v>14</v>
      </c>
      <c r="H31" s="351">
        <f>384662.5+356262.5+212054+113636.5+58120+27335.5+24431+10836.5+5+6679.5+256+268+626+1136+6120</f>
        <v>1202429</v>
      </c>
      <c r="I31" s="369">
        <f>44623+40340+24564+15320+9563+4723+4295+2247+1249+49+49+137+101+1023</f>
        <v>148283</v>
      </c>
      <c r="J31" s="294">
        <f t="shared" si="0"/>
        <v>8.109014519533595</v>
      </c>
    </row>
    <row r="32" spans="1:10" s="79" customFormat="1" ht="15">
      <c r="A32" s="190">
        <v>29</v>
      </c>
      <c r="B32" s="332" t="s">
        <v>241</v>
      </c>
      <c r="C32" s="114">
        <v>39122</v>
      </c>
      <c r="D32" s="176" t="s">
        <v>56</v>
      </c>
      <c r="E32" s="176" t="s">
        <v>236</v>
      </c>
      <c r="F32" s="276">
        <v>60</v>
      </c>
      <c r="G32" s="276">
        <v>12</v>
      </c>
      <c r="H32" s="352">
        <f>532455+318401+212166+27739+39053+27412+18250+6211+1517+4378+709+213</f>
        <v>1188504</v>
      </c>
      <c r="I32" s="370">
        <f>62334+37213+25119+5045+7212+5675+4013+1372+298+882+145+45</f>
        <v>149353</v>
      </c>
      <c r="J32" s="294">
        <f t="shared" si="0"/>
        <v>7.9576841442756425</v>
      </c>
    </row>
    <row r="33" spans="1:10" s="79" customFormat="1" ht="15">
      <c r="A33" s="190">
        <v>30</v>
      </c>
      <c r="B33" s="245" t="s">
        <v>340</v>
      </c>
      <c r="C33" s="115">
        <v>39171</v>
      </c>
      <c r="D33" s="126" t="s">
        <v>57</v>
      </c>
      <c r="E33" s="126" t="s">
        <v>60</v>
      </c>
      <c r="F33" s="116">
        <v>88</v>
      </c>
      <c r="G33" s="116">
        <v>9</v>
      </c>
      <c r="H33" s="351">
        <v>1088054</v>
      </c>
      <c r="I33" s="369">
        <v>141651</v>
      </c>
      <c r="J33" s="294">
        <f t="shared" si="0"/>
        <v>7.68123063021087</v>
      </c>
    </row>
    <row r="34" spans="1:10" s="79" customFormat="1" ht="15">
      <c r="A34" s="190">
        <v>31</v>
      </c>
      <c r="B34" s="244" t="s">
        <v>396</v>
      </c>
      <c r="C34" s="114">
        <v>39185</v>
      </c>
      <c r="D34" s="124" t="s">
        <v>48</v>
      </c>
      <c r="E34" s="124" t="s">
        <v>368</v>
      </c>
      <c r="F34" s="345">
        <v>111</v>
      </c>
      <c r="G34" s="345">
        <v>7</v>
      </c>
      <c r="H34" s="355">
        <f>550873+359055.5+115537.5+21112+17511+9052.5+5027.5</f>
        <v>1078169</v>
      </c>
      <c r="I34" s="369">
        <f>70778+47361+16211+3692+3517+1501+679</f>
        <v>143739</v>
      </c>
      <c r="J34" s="294">
        <f t="shared" si="0"/>
        <v>7.5008800673442835</v>
      </c>
    </row>
    <row r="35" spans="1:10" s="79" customFormat="1" ht="15">
      <c r="A35" s="190">
        <v>32</v>
      </c>
      <c r="B35" s="333" t="s">
        <v>356</v>
      </c>
      <c r="C35" s="115">
        <v>39150</v>
      </c>
      <c r="D35" s="175" t="s">
        <v>55</v>
      </c>
      <c r="E35" s="175" t="s">
        <v>63</v>
      </c>
      <c r="F35" s="326">
        <v>57</v>
      </c>
      <c r="G35" s="326">
        <v>8</v>
      </c>
      <c r="H35" s="351">
        <v>1069044</v>
      </c>
      <c r="I35" s="369">
        <v>117398</v>
      </c>
      <c r="J35" s="266">
        <f t="shared" si="0"/>
        <v>9.10615172319801</v>
      </c>
    </row>
    <row r="36" spans="1:10" s="79" customFormat="1" ht="15">
      <c r="A36" s="190">
        <v>33</v>
      </c>
      <c r="B36" s="244" t="s">
        <v>394</v>
      </c>
      <c r="C36" s="114">
        <v>39199</v>
      </c>
      <c r="D36" s="125" t="s">
        <v>56</v>
      </c>
      <c r="E36" s="124" t="s">
        <v>11</v>
      </c>
      <c r="F36" s="345">
        <v>71</v>
      </c>
      <c r="G36" s="345">
        <v>5</v>
      </c>
      <c r="H36" s="352">
        <f>477094+269146+191489+78805+30168</f>
        <v>1046702</v>
      </c>
      <c r="I36" s="370">
        <f>58610+34281+24961+13307+6081</f>
        <v>137240</v>
      </c>
      <c r="J36" s="294">
        <f t="shared" si="0"/>
        <v>7.6267997668318275</v>
      </c>
    </row>
    <row r="37" spans="1:10" s="79" customFormat="1" ht="15">
      <c r="A37" s="190">
        <v>34</v>
      </c>
      <c r="B37" s="245" t="s">
        <v>182</v>
      </c>
      <c r="C37" s="115">
        <v>39115</v>
      </c>
      <c r="D37" s="126" t="s">
        <v>57</v>
      </c>
      <c r="E37" s="126" t="s">
        <v>183</v>
      </c>
      <c r="F37" s="116">
        <v>151</v>
      </c>
      <c r="G37" s="116">
        <v>7</v>
      </c>
      <c r="H37" s="351">
        <v>1036808</v>
      </c>
      <c r="I37" s="369">
        <v>149198</v>
      </c>
      <c r="J37" s="341">
        <f>H37/I37</f>
        <v>6.949208434429416</v>
      </c>
    </row>
    <row r="38" spans="1:10" s="79" customFormat="1" ht="15">
      <c r="A38" s="190">
        <v>35</v>
      </c>
      <c r="B38" s="247" t="s">
        <v>357</v>
      </c>
      <c r="C38" s="114">
        <v>39143</v>
      </c>
      <c r="D38" s="127" t="s">
        <v>73</v>
      </c>
      <c r="E38" s="127" t="s">
        <v>135</v>
      </c>
      <c r="F38" s="346" t="s">
        <v>286</v>
      </c>
      <c r="G38" s="346" t="s">
        <v>399</v>
      </c>
      <c r="H38" s="352">
        <v>953611</v>
      </c>
      <c r="I38" s="370">
        <v>129928</v>
      </c>
      <c r="J38" s="294">
        <f>+H38/I38</f>
        <v>7.339534203558894</v>
      </c>
    </row>
    <row r="39" spans="1:10" s="79" customFormat="1" ht="15">
      <c r="A39" s="190">
        <v>36</v>
      </c>
      <c r="B39" s="244" t="s">
        <v>271</v>
      </c>
      <c r="C39" s="114">
        <v>39143</v>
      </c>
      <c r="D39" s="125" t="s">
        <v>56</v>
      </c>
      <c r="E39" s="124" t="s">
        <v>61</v>
      </c>
      <c r="F39" s="345">
        <v>54</v>
      </c>
      <c r="G39" s="345">
        <v>10</v>
      </c>
      <c r="H39" s="352">
        <f>1045+424606+314397+136527+14322+9753+11781+12715+3934+5401+154</f>
        <v>934635</v>
      </c>
      <c r="I39" s="370">
        <f>101+45441+34072+15020+1890+1720+2914+2615+1258+764+31</f>
        <v>105826</v>
      </c>
      <c r="J39" s="294">
        <f>+H39/I39</f>
        <v>8.831808818248824</v>
      </c>
    </row>
    <row r="40" spans="1:10" s="79" customFormat="1" ht="15">
      <c r="A40" s="190">
        <v>37</v>
      </c>
      <c r="B40" s="247" t="s">
        <v>281</v>
      </c>
      <c r="C40" s="114">
        <v>39143</v>
      </c>
      <c r="D40" s="127" t="s">
        <v>45</v>
      </c>
      <c r="E40" s="127" t="s">
        <v>282</v>
      </c>
      <c r="F40" s="346" t="s">
        <v>283</v>
      </c>
      <c r="G40" s="346" t="s">
        <v>400</v>
      </c>
      <c r="H40" s="352">
        <v>923266</v>
      </c>
      <c r="I40" s="370">
        <v>161891</v>
      </c>
      <c r="J40" s="294">
        <f>+H40/I40</f>
        <v>5.703010049971895</v>
      </c>
    </row>
    <row r="41" spans="1:10" s="79" customFormat="1" ht="15">
      <c r="A41" s="190">
        <v>38</v>
      </c>
      <c r="B41" s="245" t="s">
        <v>426</v>
      </c>
      <c r="C41" s="115">
        <v>39129</v>
      </c>
      <c r="D41" s="126" t="s">
        <v>57</v>
      </c>
      <c r="E41" s="126" t="s">
        <v>60</v>
      </c>
      <c r="F41" s="116">
        <v>39</v>
      </c>
      <c r="G41" s="116">
        <v>11</v>
      </c>
      <c r="H41" s="351">
        <v>906296</v>
      </c>
      <c r="I41" s="369">
        <v>96373</v>
      </c>
      <c r="J41" s="294">
        <f>+H41/I41</f>
        <v>9.404044701316758</v>
      </c>
    </row>
    <row r="42" spans="1:10" s="79" customFormat="1" ht="15">
      <c r="A42" s="190">
        <v>39</v>
      </c>
      <c r="B42" s="333" t="s">
        <v>126</v>
      </c>
      <c r="C42" s="115">
        <v>39080</v>
      </c>
      <c r="D42" s="175" t="s">
        <v>58</v>
      </c>
      <c r="E42" s="175" t="s">
        <v>59</v>
      </c>
      <c r="F42" s="326">
        <v>51</v>
      </c>
      <c r="G42" s="326">
        <v>15</v>
      </c>
      <c r="H42" s="351">
        <f>768444+275+609.5</f>
        <v>769328.5</v>
      </c>
      <c r="I42" s="369">
        <f>94725+76+129</f>
        <v>94930</v>
      </c>
      <c r="J42" s="294">
        <f>+H42/I42</f>
        <v>8.104166227746761</v>
      </c>
    </row>
    <row r="43" spans="1:10" s="79" customFormat="1" ht="15">
      <c r="A43" s="190">
        <v>40</v>
      </c>
      <c r="B43" s="247" t="s">
        <v>327</v>
      </c>
      <c r="C43" s="114">
        <v>39094</v>
      </c>
      <c r="D43" s="316" t="s">
        <v>73</v>
      </c>
      <c r="E43" s="316" t="s">
        <v>135</v>
      </c>
      <c r="F43" s="317" t="s">
        <v>163</v>
      </c>
      <c r="G43" s="317" t="s">
        <v>328</v>
      </c>
      <c r="H43" s="352">
        <v>762169</v>
      </c>
      <c r="I43" s="370">
        <v>81343</v>
      </c>
      <c r="J43" s="266">
        <f>IF(H43&lt;&gt;0,H43/I43,"")</f>
        <v>9.369816702113273</v>
      </c>
    </row>
    <row r="44" spans="1:10" s="79" customFormat="1" ht="15">
      <c r="A44" s="190">
        <v>41</v>
      </c>
      <c r="B44" s="245" t="s">
        <v>387</v>
      </c>
      <c r="C44" s="115">
        <v>39192</v>
      </c>
      <c r="D44" s="126" t="s">
        <v>66</v>
      </c>
      <c r="E44" s="126" t="s">
        <v>66</v>
      </c>
      <c r="F44" s="116">
        <v>79</v>
      </c>
      <c r="G44" s="116">
        <v>6</v>
      </c>
      <c r="H44" s="351">
        <f>407730+156171.5+87089+48964+29084+13116.5</f>
        <v>742155</v>
      </c>
      <c r="I44" s="369">
        <f>48903+19527+11239+7709+5693+3370</f>
        <v>96441</v>
      </c>
      <c r="J44" s="294">
        <f aca="true" t="shared" si="1" ref="J44:J52">+H44/I44</f>
        <v>7.6954303667527295</v>
      </c>
    </row>
    <row r="45" spans="1:10" s="79" customFormat="1" ht="15">
      <c r="A45" s="190">
        <v>42</v>
      </c>
      <c r="B45" s="246" t="s">
        <v>351</v>
      </c>
      <c r="C45" s="115">
        <v>39178</v>
      </c>
      <c r="D45" s="130" t="s">
        <v>23</v>
      </c>
      <c r="E45" s="129" t="s">
        <v>27</v>
      </c>
      <c r="F45" s="118">
        <v>43</v>
      </c>
      <c r="G45" s="118">
        <v>8</v>
      </c>
      <c r="H45" s="351">
        <f>334660+186251+75988+40440+17431+27188+25044.5+6929.5</f>
        <v>713932</v>
      </c>
      <c r="I45" s="369">
        <f>37459+21078+10255+6270+3694+4932+4892+1464</f>
        <v>90044</v>
      </c>
      <c r="J45" s="294">
        <f t="shared" si="1"/>
        <v>7.928701523699525</v>
      </c>
    </row>
    <row r="46" spans="1:10" s="79" customFormat="1" ht="15">
      <c r="A46" s="190">
        <v>43</v>
      </c>
      <c r="B46" s="245" t="s">
        <v>369</v>
      </c>
      <c r="C46" s="115">
        <v>39185</v>
      </c>
      <c r="D46" s="126" t="s">
        <v>57</v>
      </c>
      <c r="E46" s="126" t="s">
        <v>65</v>
      </c>
      <c r="F46" s="116">
        <v>55</v>
      </c>
      <c r="G46" s="116">
        <v>7</v>
      </c>
      <c r="H46" s="351">
        <v>707183</v>
      </c>
      <c r="I46" s="369">
        <v>84906</v>
      </c>
      <c r="J46" s="294">
        <f t="shared" si="1"/>
        <v>8.329010906178597</v>
      </c>
    </row>
    <row r="47" spans="1:10" s="79" customFormat="1" ht="15">
      <c r="A47" s="190">
        <v>44</v>
      </c>
      <c r="B47" s="245" t="s">
        <v>292</v>
      </c>
      <c r="C47" s="115">
        <v>39150</v>
      </c>
      <c r="D47" s="126" t="s">
        <v>57</v>
      </c>
      <c r="E47" s="126" t="s">
        <v>71</v>
      </c>
      <c r="F47" s="116">
        <v>54</v>
      </c>
      <c r="G47" s="116">
        <v>11</v>
      </c>
      <c r="H47" s="351">
        <v>623507</v>
      </c>
      <c r="I47" s="369">
        <v>74226</v>
      </c>
      <c r="J47" s="294">
        <f t="shared" si="1"/>
        <v>8.400115862366286</v>
      </c>
    </row>
    <row r="48" spans="1:10" s="79" customFormat="1" ht="15">
      <c r="A48" s="190">
        <v>45</v>
      </c>
      <c r="B48" s="247" t="s">
        <v>284</v>
      </c>
      <c r="C48" s="114">
        <v>39143</v>
      </c>
      <c r="D48" s="127" t="s">
        <v>45</v>
      </c>
      <c r="E48" s="127" t="s">
        <v>389</v>
      </c>
      <c r="F48" s="346" t="s">
        <v>285</v>
      </c>
      <c r="G48" s="346" t="s">
        <v>409</v>
      </c>
      <c r="H48" s="352">
        <v>590874.5</v>
      </c>
      <c r="I48" s="370">
        <v>80950</v>
      </c>
      <c r="J48" s="294">
        <f t="shared" si="1"/>
        <v>7.299252625077208</v>
      </c>
    </row>
    <row r="49" spans="1:10" s="79" customFormat="1" ht="15">
      <c r="A49" s="190">
        <v>46</v>
      </c>
      <c r="B49" s="246" t="s">
        <v>259</v>
      </c>
      <c r="C49" s="115">
        <v>39136</v>
      </c>
      <c r="D49" s="130" t="s">
        <v>23</v>
      </c>
      <c r="E49" s="129" t="s">
        <v>69</v>
      </c>
      <c r="F49" s="118">
        <v>24</v>
      </c>
      <c r="G49" s="118">
        <v>13</v>
      </c>
      <c r="H49" s="351">
        <f>3098.5+271243.5+169425.5+71165+13258+8600.5+14362.5+911.5+1988+1398.5+5096+1184+1924+1184</f>
        <v>564839.5</v>
      </c>
      <c r="I49" s="369">
        <f>316+26059+16381+7578+1438+1323+2416+161+315+172+1274+296+410+296</f>
        <v>58435</v>
      </c>
      <c r="J49" s="294">
        <f t="shared" si="1"/>
        <v>9.666116197484385</v>
      </c>
    </row>
    <row r="50" spans="1:10" s="79" customFormat="1" ht="15">
      <c r="A50" s="190">
        <v>47</v>
      </c>
      <c r="B50" s="247" t="s">
        <v>370</v>
      </c>
      <c r="C50" s="114">
        <v>39185</v>
      </c>
      <c r="D50" s="127" t="s">
        <v>45</v>
      </c>
      <c r="E50" s="127" t="s">
        <v>371</v>
      </c>
      <c r="F50" s="346" t="s">
        <v>372</v>
      </c>
      <c r="G50" s="346" t="s">
        <v>301</v>
      </c>
      <c r="H50" s="352">
        <v>557753.5</v>
      </c>
      <c r="I50" s="370">
        <v>75346</v>
      </c>
      <c r="J50" s="294">
        <f t="shared" si="1"/>
        <v>7.4025628434157085</v>
      </c>
    </row>
    <row r="51" spans="1:10" s="79" customFormat="1" ht="15">
      <c r="A51" s="190">
        <v>48</v>
      </c>
      <c r="B51" s="245" t="s">
        <v>310</v>
      </c>
      <c r="C51" s="115">
        <v>39157</v>
      </c>
      <c r="D51" s="126" t="s">
        <v>57</v>
      </c>
      <c r="E51" s="126" t="s">
        <v>71</v>
      </c>
      <c r="F51" s="116">
        <v>69</v>
      </c>
      <c r="G51" s="116">
        <v>9</v>
      </c>
      <c r="H51" s="351">
        <v>548078</v>
      </c>
      <c r="I51" s="369">
        <v>68137</v>
      </c>
      <c r="J51" s="294">
        <f t="shared" si="1"/>
        <v>8.043764768040859</v>
      </c>
    </row>
    <row r="52" spans="1:10" s="79" customFormat="1" ht="15">
      <c r="A52" s="190">
        <v>49</v>
      </c>
      <c r="B52" s="247" t="s">
        <v>430</v>
      </c>
      <c r="C52" s="114">
        <v>39220</v>
      </c>
      <c r="D52" s="127" t="s">
        <v>73</v>
      </c>
      <c r="E52" s="127" t="s">
        <v>135</v>
      </c>
      <c r="F52" s="346" t="s">
        <v>431</v>
      </c>
      <c r="G52" s="346" t="s">
        <v>37</v>
      </c>
      <c r="H52" s="352">
        <v>527561</v>
      </c>
      <c r="I52" s="370">
        <v>58539</v>
      </c>
      <c r="J52" s="294">
        <f t="shared" si="1"/>
        <v>9.01212866635918</v>
      </c>
    </row>
    <row r="53" spans="1:10" s="79" customFormat="1" ht="15">
      <c r="A53" s="190">
        <v>50</v>
      </c>
      <c r="B53" s="330" t="s">
        <v>242</v>
      </c>
      <c r="C53" s="324">
        <v>39122</v>
      </c>
      <c r="D53" s="323" t="s">
        <v>58</v>
      </c>
      <c r="E53" s="323" t="s">
        <v>243</v>
      </c>
      <c r="F53" s="325">
        <v>62</v>
      </c>
      <c r="G53" s="325">
        <v>8</v>
      </c>
      <c r="H53" s="371">
        <v>459402</v>
      </c>
      <c r="I53" s="372">
        <v>72377</v>
      </c>
      <c r="J53" s="331">
        <f>H53/I53</f>
        <v>6.347347914392694</v>
      </c>
    </row>
    <row r="54" spans="1:10" s="79" customFormat="1" ht="15">
      <c r="A54" s="190">
        <v>51</v>
      </c>
      <c r="B54" s="244" t="s">
        <v>352</v>
      </c>
      <c r="C54" s="114">
        <v>39178</v>
      </c>
      <c r="D54" s="125" t="s">
        <v>56</v>
      </c>
      <c r="E54" s="124" t="s">
        <v>353</v>
      </c>
      <c r="F54" s="345">
        <v>34</v>
      </c>
      <c r="G54" s="345">
        <v>8</v>
      </c>
      <c r="H54" s="352">
        <f>223196+134862+40207+12529+4197+8039+12995+1857</f>
        <v>437882</v>
      </c>
      <c r="I54" s="370">
        <f>21768+13324+4159+1744+536+1050+1869+290</f>
        <v>44740</v>
      </c>
      <c r="J54" s="294">
        <f aca="true" t="shared" si="2" ref="J54:J67">+H54/I54</f>
        <v>9.787259722843093</v>
      </c>
    </row>
    <row r="55" spans="1:10" s="79" customFormat="1" ht="15">
      <c r="A55" s="190">
        <v>52</v>
      </c>
      <c r="B55" s="245" t="s">
        <v>432</v>
      </c>
      <c r="C55" s="115">
        <v>39220</v>
      </c>
      <c r="D55" s="126" t="s">
        <v>57</v>
      </c>
      <c r="E55" s="126" t="s">
        <v>63</v>
      </c>
      <c r="F55" s="116">
        <v>55</v>
      </c>
      <c r="G55" s="116">
        <v>2</v>
      </c>
      <c r="H55" s="351">
        <v>434975</v>
      </c>
      <c r="I55" s="369">
        <v>47506</v>
      </c>
      <c r="J55" s="294">
        <f t="shared" si="2"/>
        <v>9.156211846924599</v>
      </c>
    </row>
    <row r="56" spans="1:10" s="79" customFormat="1" ht="15">
      <c r="A56" s="190">
        <v>53</v>
      </c>
      <c r="B56" s="246" t="s">
        <v>165</v>
      </c>
      <c r="C56" s="115">
        <v>39094</v>
      </c>
      <c r="D56" s="130" t="s">
        <v>23</v>
      </c>
      <c r="E56" s="129" t="s">
        <v>69</v>
      </c>
      <c r="F56" s="118">
        <v>42</v>
      </c>
      <c r="G56" s="118">
        <v>19</v>
      </c>
      <c r="H56" s="351">
        <f>116992.5+114120.5+59552+32990+22575.5+13689.5+13072.5+9182.5+12776+9530.5+3684.5+1508.5+3567.5+3012.5+8292+499.5+1292.5+1740.5+650.5</f>
        <v>428729.5</v>
      </c>
      <c r="I56" s="369">
        <f>13983+14934+8576+5091+3923+2713+2832+1841+2655+2061+838+293+873+585+1915+133+388+451+159</f>
        <v>64244</v>
      </c>
      <c r="J56" s="294">
        <f t="shared" si="2"/>
        <v>6.673455886931075</v>
      </c>
    </row>
    <row r="57" spans="1:10" s="79" customFormat="1" ht="15">
      <c r="A57" s="190">
        <v>54</v>
      </c>
      <c r="B57" s="244" t="s">
        <v>342</v>
      </c>
      <c r="C57" s="114">
        <v>39171</v>
      </c>
      <c r="D57" s="125" t="s">
        <v>56</v>
      </c>
      <c r="E57" s="124" t="s">
        <v>343</v>
      </c>
      <c r="F57" s="345">
        <v>68</v>
      </c>
      <c r="G57" s="345">
        <v>9</v>
      </c>
      <c r="H57" s="352">
        <f>270988+95442+28855+5671+6953+2961+2297+922+5539</f>
        <v>419628</v>
      </c>
      <c r="I57" s="370">
        <f>33356+12721+4525+974+2138+1073+527+197+1579</f>
        <v>57090</v>
      </c>
      <c r="J57" s="294">
        <f t="shared" si="2"/>
        <v>7.350289017341041</v>
      </c>
    </row>
    <row r="58" spans="1:10" s="79" customFormat="1" ht="15">
      <c r="A58" s="190">
        <v>55</v>
      </c>
      <c r="B58" s="245" t="s">
        <v>266</v>
      </c>
      <c r="C58" s="115">
        <v>39136</v>
      </c>
      <c r="D58" s="126" t="s">
        <v>58</v>
      </c>
      <c r="E58" s="126" t="s">
        <v>311</v>
      </c>
      <c r="F58" s="116">
        <v>50</v>
      </c>
      <c r="G58" s="116">
        <v>13</v>
      </c>
      <c r="H58" s="351">
        <f>176703.5+117666.5+55649.5-153+26033.5+13075.5+7867.5+4158.5+2675.5+853+2376+1975+1335+1510.5</f>
        <v>411726.5</v>
      </c>
      <c r="I58" s="369">
        <f>23632+15507+7944-13+4855+2498+1683+890+562+202+475+395+267+302</f>
        <v>59199</v>
      </c>
      <c r="J58" s="294">
        <f t="shared" si="2"/>
        <v>6.954957009408942</v>
      </c>
    </row>
    <row r="59" spans="1:10" s="79" customFormat="1" ht="15">
      <c r="A59" s="190">
        <v>56</v>
      </c>
      <c r="B59" s="245" t="s">
        <v>417</v>
      </c>
      <c r="C59" s="115">
        <v>39213</v>
      </c>
      <c r="D59" s="126" t="s">
        <v>57</v>
      </c>
      <c r="E59" s="126" t="s">
        <v>60</v>
      </c>
      <c r="F59" s="116">
        <v>55</v>
      </c>
      <c r="G59" s="116">
        <v>3</v>
      </c>
      <c r="H59" s="351">
        <v>411126</v>
      </c>
      <c r="I59" s="369">
        <v>45205</v>
      </c>
      <c r="J59" s="294">
        <f t="shared" si="2"/>
        <v>9.094701913505144</v>
      </c>
    </row>
    <row r="60" spans="1:10" s="79" customFormat="1" ht="15">
      <c r="A60" s="190">
        <v>57</v>
      </c>
      <c r="B60" s="244" t="s">
        <v>258</v>
      </c>
      <c r="C60" s="114">
        <v>39129</v>
      </c>
      <c r="D60" s="125" t="s">
        <v>56</v>
      </c>
      <c r="E60" s="124" t="s">
        <v>71</v>
      </c>
      <c r="F60" s="345">
        <v>22</v>
      </c>
      <c r="G60" s="345">
        <v>13</v>
      </c>
      <c r="H60" s="352">
        <f>3941+185955+159407+21968+1379+3205+2474+5929+6445+9026+4774+160+346+2791</f>
        <v>407800</v>
      </c>
      <c r="I60" s="370">
        <f>412+17684+15175+2098+198+760+464+1876+1042+1568+843+16+48+375</f>
        <v>42559</v>
      </c>
      <c r="J60" s="294">
        <f t="shared" si="2"/>
        <v>9.581992058084072</v>
      </c>
    </row>
    <row r="61" spans="1:10" s="79" customFormat="1" ht="15">
      <c r="A61" s="190">
        <v>58</v>
      </c>
      <c r="B61" s="247" t="s">
        <v>373</v>
      </c>
      <c r="C61" s="114">
        <v>39185</v>
      </c>
      <c r="D61" s="127" t="s">
        <v>73</v>
      </c>
      <c r="E61" s="127" t="s">
        <v>135</v>
      </c>
      <c r="F61" s="346" t="s">
        <v>374</v>
      </c>
      <c r="G61" s="346" t="s">
        <v>301</v>
      </c>
      <c r="H61" s="352">
        <v>380101.5</v>
      </c>
      <c r="I61" s="370">
        <v>40290</v>
      </c>
      <c r="J61" s="294">
        <f t="shared" si="2"/>
        <v>9.434139985107967</v>
      </c>
    </row>
    <row r="62" spans="1:10" s="79" customFormat="1" ht="15">
      <c r="A62" s="190">
        <v>59</v>
      </c>
      <c r="B62" s="246" t="s">
        <v>433</v>
      </c>
      <c r="C62" s="115">
        <v>39220</v>
      </c>
      <c r="D62" s="130" t="s">
        <v>23</v>
      </c>
      <c r="E62" s="129" t="s">
        <v>69</v>
      </c>
      <c r="F62" s="118">
        <v>88</v>
      </c>
      <c r="G62" s="118">
        <v>2</v>
      </c>
      <c r="H62" s="351">
        <f>243956.5+117427</f>
        <v>361383.5</v>
      </c>
      <c r="I62" s="369">
        <f>30030+15614</f>
        <v>45644</v>
      </c>
      <c r="J62" s="294">
        <f t="shared" si="2"/>
        <v>7.9174371220751905</v>
      </c>
    </row>
    <row r="63" spans="1:10" s="79" customFormat="1" ht="15">
      <c r="A63" s="190">
        <v>60</v>
      </c>
      <c r="B63" s="245" t="s">
        <v>265</v>
      </c>
      <c r="C63" s="115">
        <v>39136</v>
      </c>
      <c r="D63" s="126" t="s">
        <v>57</v>
      </c>
      <c r="E63" s="126" t="s">
        <v>65</v>
      </c>
      <c r="F63" s="116">
        <v>34</v>
      </c>
      <c r="G63" s="116">
        <v>9</v>
      </c>
      <c r="H63" s="373">
        <v>335033</v>
      </c>
      <c r="I63" s="374">
        <v>35936</v>
      </c>
      <c r="J63" s="350">
        <f t="shared" si="2"/>
        <v>9.323046527159395</v>
      </c>
    </row>
    <row r="64" spans="1:10" s="79" customFormat="1" ht="15">
      <c r="A64" s="190">
        <v>61</v>
      </c>
      <c r="B64" s="332" t="s">
        <v>264</v>
      </c>
      <c r="C64" s="114">
        <v>39136</v>
      </c>
      <c r="D64" s="176" t="s">
        <v>45</v>
      </c>
      <c r="E64" s="176" t="s">
        <v>224</v>
      </c>
      <c r="F64" s="276" t="s">
        <v>235</v>
      </c>
      <c r="G64" s="276" t="s">
        <v>301</v>
      </c>
      <c r="H64" s="352">
        <v>326787.5</v>
      </c>
      <c r="I64" s="370">
        <v>46744</v>
      </c>
      <c r="J64" s="294">
        <f t="shared" si="2"/>
        <v>6.9910041930515145</v>
      </c>
    </row>
    <row r="65" spans="1:10" s="79" customFormat="1" ht="15">
      <c r="A65" s="190">
        <v>62</v>
      </c>
      <c r="B65" s="244" t="s">
        <v>434</v>
      </c>
      <c r="C65" s="114">
        <v>39220</v>
      </c>
      <c r="D65" s="125" t="s">
        <v>56</v>
      </c>
      <c r="E65" s="124" t="s">
        <v>11</v>
      </c>
      <c r="F65" s="345">
        <v>28</v>
      </c>
      <c r="G65" s="345">
        <v>2</v>
      </c>
      <c r="H65" s="352">
        <f>224258+97645</f>
        <v>321903</v>
      </c>
      <c r="I65" s="370">
        <f>21977+9749</f>
        <v>31726</v>
      </c>
      <c r="J65" s="294">
        <f t="shared" si="2"/>
        <v>10.146346844859107</v>
      </c>
    </row>
    <row r="66" spans="1:10" s="79" customFormat="1" ht="15">
      <c r="A66" s="190">
        <v>63</v>
      </c>
      <c r="B66" s="245" t="s">
        <v>435</v>
      </c>
      <c r="C66" s="115">
        <v>39220</v>
      </c>
      <c r="D66" s="126" t="s">
        <v>58</v>
      </c>
      <c r="E66" s="126" t="s">
        <v>59</v>
      </c>
      <c r="F66" s="116">
        <v>40</v>
      </c>
      <c r="G66" s="116">
        <v>2</v>
      </c>
      <c r="H66" s="351">
        <f>217267.5+100292</f>
        <v>317559.5</v>
      </c>
      <c r="I66" s="369">
        <f>28138+13039</f>
        <v>41177</v>
      </c>
      <c r="J66" s="294">
        <f t="shared" si="2"/>
        <v>7.712060130655463</v>
      </c>
    </row>
    <row r="67" spans="1:10" s="79" customFormat="1" ht="15">
      <c r="A67" s="190">
        <v>64</v>
      </c>
      <c r="B67" s="245" t="s">
        <v>395</v>
      </c>
      <c r="C67" s="115">
        <v>39199</v>
      </c>
      <c r="D67" s="126" t="s">
        <v>57</v>
      </c>
      <c r="E67" s="126" t="s">
        <v>60</v>
      </c>
      <c r="F67" s="116">
        <v>46</v>
      </c>
      <c r="G67" s="116">
        <v>5</v>
      </c>
      <c r="H67" s="351">
        <v>302971</v>
      </c>
      <c r="I67" s="369">
        <v>35108</v>
      </c>
      <c r="J67" s="294">
        <f t="shared" si="2"/>
        <v>8.629685541756865</v>
      </c>
    </row>
    <row r="68" spans="1:10" s="79" customFormat="1" ht="15">
      <c r="A68" s="190">
        <v>65</v>
      </c>
      <c r="B68" s="148" t="s">
        <v>293</v>
      </c>
      <c r="C68" s="362">
        <v>39150</v>
      </c>
      <c r="D68" s="274" t="s">
        <v>23</v>
      </c>
      <c r="E68" s="275" t="s">
        <v>294</v>
      </c>
      <c r="F68" s="118">
        <v>100</v>
      </c>
      <c r="G68" s="118">
        <v>8</v>
      </c>
      <c r="H68" s="373">
        <f>221689.5+60473+12914+3842.4+1749+1296+224+229</f>
        <v>302416.9</v>
      </c>
      <c r="I68" s="374">
        <f>30032+8139+2146+874+367+232+56+48</f>
        <v>41894</v>
      </c>
      <c r="J68" s="366">
        <f>H68/I68</f>
        <v>7.218620804888529</v>
      </c>
    </row>
    <row r="69" spans="1:10" s="79" customFormat="1" ht="15">
      <c r="A69" s="190">
        <v>66</v>
      </c>
      <c r="B69" s="245" t="s">
        <v>312</v>
      </c>
      <c r="C69" s="115">
        <v>39157</v>
      </c>
      <c r="D69" s="126" t="s">
        <v>58</v>
      </c>
      <c r="E69" s="126" t="s">
        <v>59</v>
      </c>
      <c r="F69" s="116">
        <v>40</v>
      </c>
      <c r="G69" s="116">
        <v>9</v>
      </c>
      <c r="H69" s="351">
        <f>145121+79532.5+31459-84.5+26093+10059+2699+4061.5+425+625</f>
        <v>299990.5</v>
      </c>
      <c r="I69" s="369">
        <f>16974+9206+3759-9+4636+1902+531+800+88+129</f>
        <v>38016</v>
      </c>
      <c r="J69" s="294">
        <f aca="true" t="shared" si="3" ref="J69:J88">+H69/I69</f>
        <v>7.8911642466329965</v>
      </c>
    </row>
    <row r="70" spans="1:10" s="79" customFormat="1" ht="15">
      <c r="A70" s="190">
        <v>67</v>
      </c>
      <c r="B70" s="245" t="s">
        <v>237</v>
      </c>
      <c r="C70" s="115">
        <v>39122</v>
      </c>
      <c r="D70" s="126" t="s">
        <v>57</v>
      </c>
      <c r="E70" s="126" t="s">
        <v>65</v>
      </c>
      <c r="F70" s="116">
        <v>1</v>
      </c>
      <c r="G70" s="116">
        <v>16</v>
      </c>
      <c r="H70" s="351">
        <v>264626</v>
      </c>
      <c r="I70" s="369">
        <v>42120</v>
      </c>
      <c r="J70" s="294">
        <f t="shared" si="3"/>
        <v>6.2826685660019</v>
      </c>
    </row>
    <row r="71" spans="1:10" s="79" customFormat="1" ht="15">
      <c r="A71" s="190">
        <v>68</v>
      </c>
      <c r="B71" s="330" t="s">
        <v>407</v>
      </c>
      <c r="C71" s="324">
        <v>39206</v>
      </c>
      <c r="D71" s="323" t="s">
        <v>436</v>
      </c>
      <c r="E71" s="323" t="s">
        <v>437</v>
      </c>
      <c r="F71" s="325">
        <v>80</v>
      </c>
      <c r="G71" s="325">
        <v>4</v>
      </c>
      <c r="H71" s="371">
        <v>259104</v>
      </c>
      <c r="I71" s="372">
        <v>40220</v>
      </c>
      <c r="J71" s="294">
        <f t="shared" si="3"/>
        <v>6.442168075584286</v>
      </c>
    </row>
    <row r="72" spans="1:10" s="79" customFormat="1" ht="15">
      <c r="A72" s="190">
        <v>69</v>
      </c>
      <c r="B72" s="246" t="s">
        <v>326</v>
      </c>
      <c r="C72" s="115">
        <v>39164</v>
      </c>
      <c r="D72" s="130" t="s">
        <v>23</v>
      </c>
      <c r="E72" s="129" t="s">
        <v>69</v>
      </c>
      <c r="F72" s="118">
        <v>40</v>
      </c>
      <c r="G72" s="118">
        <v>10</v>
      </c>
      <c r="H72" s="351">
        <f>136863.5+71331.5+20806.5+12476.9+2838+4712+1523+1430+843.5+195</f>
        <v>253019.9</v>
      </c>
      <c r="I72" s="369">
        <f>15270+7788+3293+2489+585+1026+358+293+157+44</f>
        <v>31303</v>
      </c>
      <c r="J72" s="294">
        <f t="shared" si="3"/>
        <v>8.082928153851068</v>
      </c>
    </row>
    <row r="73" spans="1:10" s="79" customFormat="1" ht="15">
      <c r="A73" s="190">
        <v>70</v>
      </c>
      <c r="B73" s="245" t="s">
        <v>287</v>
      </c>
      <c r="C73" s="115">
        <v>39143</v>
      </c>
      <c r="D73" s="126" t="s">
        <v>58</v>
      </c>
      <c r="E73" s="126" t="s">
        <v>59</v>
      </c>
      <c r="F73" s="116">
        <v>20</v>
      </c>
      <c r="G73" s="116">
        <v>10</v>
      </c>
      <c r="H73" s="351">
        <f>129159.5+81464+15048+8469.5+8901.5+5708+1570+1711+42+264</f>
        <v>252337.5</v>
      </c>
      <c r="I73" s="369">
        <f>12733+8086+1709+1437+1707+969+278+320+8+63</f>
        <v>27310</v>
      </c>
      <c r="J73" s="294">
        <f t="shared" si="3"/>
        <v>9.239747345294763</v>
      </c>
    </row>
    <row r="74" spans="1:10" s="79" customFormat="1" ht="15">
      <c r="A74" s="190">
        <v>71</v>
      </c>
      <c r="B74" s="333" t="s">
        <v>164</v>
      </c>
      <c r="C74" s="115">
        <v>39094</v>
      </c>
      <c r="D74" s="175" t="s">
        <v>55</v>
      </c>
      <c r="E74" s="175" t="s">
        <v>63</v>
      </c>
      <c r="F74" s="326">
        <v>30</v>
      </c>
      <c r="G74" s="326">
        <v>9</v>
      </c>
      <c r="H74" s="351">
        <v>243592</v>
      </c>
      <c r="I74" s="369">
        <v>24190</v>
      </c>
      <c r="J74" s="266">
        <f t="shared" si="3"/>
        <v>10.069946258784622</v>
      </c>
    </row>
    <row r="75" spans="1:10" s="79" customFormat="1" ht="15">
      <c r="A75" s="190">
        <v>72</v>
      </c>
      <c r="B75" s="247" t="s">
        <v>345</v>
      </c>
      <c r="C75" s="114">
        <v>39171</v>
      </c>
      <c r="D75" s="127" t="s">
        <v>184</v>
      </c>
      <c r="E75" s="127" t="s">
        <v>184</v>
      </c>
      <c r="F75" s="276">
        <v>20</v>
      </c>
      <c r="G75" s="276">
        <v>9</v>
      </c>
      <c r="H75" s="351">
        <v>240020</v>
      </c>
      <c r="I75" s="369">
        <v>25060</v>
      </c>
      <c r="J75" s="294">
        <f t="shared" si="3"/>
        <v>9.57781324820431</v>
      </c>
    </row>
    <row r="76" spans="1:10" s="79" customFormat="1" ht="15">
      <c r="A76" s="190">
        <v>73</v>
      </c>
      <c r="B76" s="333" t="s">
        <v>244</v>
      </c>
      <c r="C76" s="115">
        <v>39122</v>
      </c>
      <c r="D76" s="175" t="s">
        <v>58</v>
      </c>
      <c r="E76" s="175" t="s">
        <v>66</v>
      </c>
      <c r="F76" s="326">
        <v>27</v>
      </c>
      <c r="G76" s="326">
        <v>7</v>
      </c>
      <c r="H76" s="351">
        <f>119870.5+70279+18401+10562+5558+801+365</f>
        <v>225836.5</v>
      </c>
      <c r="I76" s="369">
        <f>12204+6994+1908+1977+1125+173+73</f>
        <v>24454</v>
      </c>
      <c r="J76" s="294">
        <f t="shared" si="3"/>
        <v>9.23515580273166</v>
      </c>
    </row>
    <row r="77" spans="1:10" s="79" customFormat="1" ht="15">
      <c r="A77" s="190">
        <v>74</v>
      </c>
      <c r="B77" s="119" t="s">
        <v>295</v>
      </c>
      <c r="C77" s="117">
        <v>39150</v>
      </c>
      <c r="D77" s="128" t="s">
        <v>64</v>
      </c>
      <c r="E77" s="128" t="s">
        <v>316</v>
      </c>
      <c r="F77" s="376">
        <v>10</v>
      </c>
      <c r="G77" s="376">
        <v>11</v>
      </c>
      <c r="H77" s="353">
        <v>208095</v>
      </c>
      <c r="I77" s="375">
        <v>22708</v>
      </c>
      <c r="J77" s="294">
        <f t="shared" si="3"/>
        <v>9.163951030473841</v>
      </c>
    </row>
    <row r="78" spans="1:10" s="79" customFormat="1" ht="15">
      <c r="A78" s="190">
        <v>75</v>
      </c>
      <c r="B78" s="245" t="s">
        <v>375</v>
      </c>
      <c r="C78" s="115">
        <v>39185</v>
      </c>
      <c r="D78" s="126" t="s">
        <v>66</v>
      </c>
      <c r="E78" s="126" t="s">
        <v>66</v>
      </c>
      <c r="F78" s="116">
        <v>32</v>
      </c>
      <c r="G78" s="116">
        <v>7</v>
      </c>
      <c r="H78" s="351">
        <f>108639+53175.5+20297+10110.5+6588.5+4718.5+25</f>
        <v>203554</v>
      </c>
      <c r="I78" s="369">
        <f>11660+5688+2612+1694+1121+867+5</f>
        <v>23647</v>
      </c>
      <c r="J78" s="294">
        <f t="shared" si="3"/>
        <v>8.608026388125344</v>
      </c>
    </row>
    <row r="79" spans="1:10" s="79" customFormat="1" ht="15">
      <c r="A79" s="190">
        <v>76</v>
      </c>
      <c r="B79" s="247" t="s">
        <v>313</v>
      </c>
      <c r="C79" s="114">
        <v>39157</v>
      </c>
      <c r="D79" s="127" t="s">
        <v>73</v>
      </c>
      <c r="E79" s="127" t="s">
        <v>135</v>
      </c>
      <c r="F79" s="346" t="s">
        <v>163</v>
      </c>
      <c r="G79" s="346" t="s">
        <v>409</v>
      </c>
      <c r="H79" s="352">
        <v>171491.5</v>
      </c>
      <c r="I79" s="370">
        <v>25462</v>
      </c>
      <c r="J79" s="294">
        <f t="shared" si="3"/>
        <v>6.735193621867881</v>
      </c>
    </row>
    <row r="80" spans="1:10" s="79" customFormat="1" ht="15">
      <c r="A80" s="190">
        <v>77</v>
      </c>
      <c r="B80" s="245" t="s">
        <v>397</v>
      </c>
      <c r="C80" s="115">
        <v>39199</v>
      </c>
      <c r="D80" s="126" t="s">
        <v>58</v>
      </c>
      <c r="E80" s="126" t="s">
        <v>59</v>
      </c>
      <c r="F80" s="116">
        <v>12</v>
      </c>
      <c r="G80" s="116">
        <v>5</v>
      </c>
      <c r="H80" s="351">
        <f>65278+43624+18025+11913.5+8482+5984</f>
        <v>153306.5</v>
      </c>
      <c r="I80" s="369">
        <f>6781+4516+2043+1620+1413+932</f>
        <v>17305</v>
      </c>
      <c r="J80" s="294">
        <f t="shared" si="3"/>
        <v>8.85908696908408</v>
      </c>
    </row>
    <row r="81" spans="1:10" s="79" customFormat="1" ht="15">
      <c r="A81" s="190">
        <v>78</v>
      </c>
      <c r="B81" s="245" t="s">
        <v>388</v>
      </c>
      <c r="C81" s="115">
        <v>39192</v>
      </c>
      <c r="D81" s="126" t="s">
        <v>58</v>
      </c>
      <c r="E81" s="126" t="s">
        <v>363</v>
      </c>
      <c r="F81" s="116">
        <v>30</v>
      </c>
      <c r="G81" s="116">
        <v>6</v>
      </c>
      <c r="H81" s="351">
        <f>71030+32901.5+17721.5+14872+9513+2979</f>
        <v>149017</v>
      </c>
      <c r="I81" s="369">
        <f>8415+4258+2684+2483+1579+589</f>
        <v>20008</v>
      </c>
      <c r="J81" s="294">
        <f t="shared" si="3"/>
        <v>7.447870851659336</v>
      </c>
    </row>
    <row r="82" spans="1:10" s="79" customFormat="1" ht="15">
      <c r="A82" s="190">
        <v>79</v>
      </c>
      <c r="B82" s="332" t="s">
        <v>267</v>
      </c>
      <c r="C82" s="114">
        <v>39136</v>
      </c>
      <c r="D82" s="176" t="s">
        <v>56</v>
      </c>
      <c r="E82" s="176" t="s">
        <v>11</v>
      </c>
      <c r="F82" s="276">
        <v>9</v>
      </c>
      <c r="G82" s="276">
        <v>10</v>
      </c>
      <c r="H82" s="352">
        <f>84092+44359+5685+3842+1159+3888+3317+785+1412+150</f>
        <v>148689</v>
      </c>
      <c r="I82" s="370">
        <f>8135+4281+660+612+195+1157+638+80+217+18</f>
        <v>15993</v>
      </c>
      <c r="J82" s="294">
        <f t="shared" si="3"/>
        <v>9.297129994372538</v>
      </c>
    </row>
    <row r="83" spans="1:10" s="79" customFormat="1" ht="15">
      <c r="A83" s="190">
        <v>80</v>
      </c>
      <c r="B83" s="332" t="s">
        <v>143</v>
      </c>
      <c r="C83" s="114">
        <v>39087</v>
      </c>
      <c r="D83" s="176" t="s">
        <v>56</v>
      </c>
      <c r="E83" s="176" t="s">
        <v>236</v>
      </c>
      <c r="F83" s="276">
        <v>42</v>
      </c>
      <c r="G83" s="276">
        <v>10</v>
      </c>
      <c r="H83" s="352">
        <f>108159+32855+2558+200+742+210+540+754+527+677</f>
        <v>147222</v>
      </c>
      <c r="I83" s="370">
        <f>12118+3977+379+20+153+40+103+182+108+118</f>
        <v>17198</v>
      </c>
      <c r="J83" s="294">
        <f t="shared" si="3"/>
        <v>8.560414001628097</v>
      </c>
    </row>
    <row r="84" spans="1:10" s="79" customFormat="1" ht="15">
      <c r="A84" s="190">
        <v>81</v>
      </c>
      <c r="B84" s="247" t="s">
        <v>398</v>
      </c>
      <c r="C84" s="114">
        <v>39199</v>
      </c>
      <c r="D84" s="127" t="s">
        <v>73</v>
      </c>
      <c r="E84" s="127" t="s">
        <v>135</v>
      </c>
      <c r="F84" s="346" t="s">
        <v>324</v>
      </c>
      <c r="G84" s="346" t="s">
        <v>324</v>
      </c>
      <c r="H84" s="352">
        <v>144326.5</v>
      </c>
      <c r="I84" s="370">
        <v>13151</v>
      </c>
      <c r="J84" s="294">
        <f t="shared" si="3"/>
        <v>10.97456467188807</v>
      </c>
    </row>
    <row r="85" spans="1:10" s="79" customFormat="1" ht="15">
      <c r="A85" s="190">
        <v>82</v>
      </c>
      <c r="B85" s="247" t="s">
        <v>418</v>
      </c>
      <c r="C85" s="114">
        <v>39213</v>
      </c>
      <c r="D85" s="127" t="s">
        <v>55</v>
      </c>
      <c r="E85" s="127" t="s">
        <v>63</v>
      </c>
      <c r="F85" s="346" t="s">
        <v>419</v>
      </c>
      <c r="G85" s="346" t="s">
        <v>383</v>
      </c>
      <c r="H85" s="352">
        <v>127906</v>
      </c>
      <c r="I85" s="370">
        <v>14647</v>
      </c>
      <c r="J85" s="294">
        <f t="shared" si="3"/>
        <v>8.732573223185636</v>
      </c>
    </row>
    <row r="86" spans="1:10" s="79" customFormat="1" ht="15">
      <c r="A86" s="190">
        <v>83</v>
      </c>
      <c r="B86" s="245" t="s">
        <v>314</v>
      </c>
      <c r="C86" s="115">
        <v>39157</v>
      </c>
      <c r="D86" s="126" t="s">
        <v>58</v>
      </c>
      <c r="E86" s="126" t="s">
        <v>315</v>
      </c>
      <c r="F86" s="116">
        <v>56</v>
      </c>
      <c r="G86" s="116">
        <v>10</v>
      </c>
      <c r="H86" s="351">
        <f>58610+26460.5+16261.5+6759+4608+1822+1190+451+98+184</f>
        <v>116444</v>
      </c>
      <c r="I86" s="369">
        <f>8805+4170+2948+1373+809+330+236+64+14+44</f>
        <v>18793</v>
      </c>
      <c r="J86" s="294">
        <f t="shared" si="3"/>
        <v>6.196136859468951</v>
      </c>
    </row>
    <row r="87" spans="1:10" s="79" customFormat="1" ht="15">
      <c r="A87" s="190">
        <v>84</v>
      </c>
      <c r="B87" s="332" t="s">
        <v>145</v>
      </c>
      <c r="C87" s="114">
        <v>39087</v>
      </c>
      <c r="D87" s="176" t="s">
        <v>184</v>
      </c>
      <c r="E87" s="176" t="s">
        <v>184</v>
      </c>
      <c r="F87" s="276">
        <v>11</v>
      </c>
      <c r="G87" s="276">
        <v>8</v>
      </c>
      <c r="H87" s="351">
        <v>105361.29</v>
      </c>
      <c r="I87" s="369">
        <v>10762</v>
      </c>
      <c r="J87" s="294">
        <f t="shared" si="3"/>
        <v>9.790121724586507</v>
      </c>
    </row>
    <row r="88" spans="1:10" s="79" customFormat="1" ht="15">
      <c r="A88" s="190">
        <v>85</v>
      </c>
      <c r="B88" s="247" t="s">
        <v>420</v>
      </c>
      <c r="C88" s="114">
        <v>39213</v>
      </c>
      <c r="D88" s="127" t="s">
        <v>73</v>
      </c>
      <c r="E88" s="127" t="s">
        <v>73</v>
      </c>
      <c r="F88" s="346" t="s">
        <v>412</v>
      </c>
      <c r="G88" s="346" t="s">
        <v>383</v>
      </c>
      <c r="H88" s="352">
        <v>77430</v>
      </c>
      <c r="I88" s="370">
        <v>9850</v>
      </c>
      <c r="J88" s="294">
        <f t="shared" si="3"/>
        <v>7.860913705583756</v>
      </c>
    </row>
    <row r="89" spans="1:10" s="79" customFormat="1" ht="15">
      <c r="A89" s="190">
        <v>86</v>
      </c>
      <c r="B89" s="340" t="s">
        <v>185</v>
      </c>
      <c r="C89" s="117">
        <v>39101</v>
      </c>
      <c r="D89" s="365" t="s">
        <v>64</v>
      </c>
      <c r="E89" s="365" t="s">
        <v>186</v>
      </c>
      <c r="F89" s="339">
        <v>14</v>
      </c>
      <c r="G89" s="339">
        <v>9</v>
      </c>
      <c r="H89" s="353">
        <v>75233</v>
      </c>
      <c r="I89" s="375">
        <v>7816</v>
      </c>
      <c r="J89" s="341">
        <f>H89/I89</f>
        <v>9.625511770726714</v>
      </c>
    </row>
    <row r="90" spans="1:10" s="79" customFormat="1" ht="15">
      <c r="A90" s="190">
        <v>87</v>
      </c>
      <c r="B90" s="245" t="s">
        <v>296</v>
      </c>
      <c r="C90" s="115">
        <v>39150</v>
      </c>
      <c r="D90" s="126" t="s">
        <v>58</v>
      </c>
      <c r="E90" s="126" t="s">
        <v>441</v>
      </c>
      <c r="F90" s="116">
        <v>36</v>
      </c>
      <c r="G90" s="116">
        <v>9</v>
      </c>
      <c r="H90" s="351">
        <f>36532.5+12598.5+9503.5+3866+3675.5+2036.5+2184+698+213</f>
        <v>71307.5</v>
      </c>
      <c r="I90" s="369">
        <f>5376+1964+1865+741+753+478+609+121+41</f>
        <v>11948</v>
      </c>
      <c r="J90" s="294">
        <f aca="true" t="shared" si="4" ref="J90:J99">+H90/I90</f>
        <v>5.968153665885504</v>
      </c>
    </row>
    <row r="91" spans="1:10" s="79" customFormat="1" ht="15">
      <c r="A91" s="190">
        <v>88</v>
      </c>
      <c r="B91" s="333" t="s">
        <v>288</v>
      </c>
      <c r="C91" s="115">
        <v>39136</v>
      </c>
      <c r="D91" s="175" t="s">
        <v>58</v>
      </c>
      <c r="E91" s="175" t="s">
        <v>59</v>
      </c>
      <c r="F91" s="276">
        <v>7</v>
      </c>
      <c r="G91" s="326">
        <v>10</v>
      </c>
      <c r="H91" s="351">
        <f>23106.5+15905+4970.5+4958+2337+5206+2114+6120.5+60+855</f>
        <v>65632.5</v>
      </c>
      <c r="I91" s="369">
        <f>2469+1725+813+546+379+1021+442+1372+6+109</f>
        <v>8882</v>
      </c>
      <c r="J91" s="294">
        <f t="shared" si="4"/>
        <v>7.389383021841928</v>
      </c>
    </row>
    <row r="92" spans="1:10" s="79" customFormat="1" ht="15">
      <c r="A92" s="190">
        <v>89</v>
      </c>
      <c r="B92" s="246" t="s">
        <v>147</v>
      </c>
      <c r="C92" s="115">
        <v>39087</v>
      </c>
      <c r="D92" s="130" t="s">
        <v>23</v>
      </c>
      <c r="E92" s="129" t="s">
        <v>148</v>
      </c>
      <c r="F92" s="118">
        <v>1</v>
      </c>
      <c r="G92" s="118">
        <v>14</v>
      </c>
      <c r="H92" s="351">
        <f>22095+9204+7326+5702+4828+3872.5+1230+1085+707+2852+110.5+1780+1780+1900+49</f>
        <v>64521</v>
      </c>
      <c r="I92" s="369">
        <f>2920+1031+821+648+551+476+146+128+89+713+43+445+445+475+7</f>
        <v>8938</v>
      </c>
      <c r="J92" s="294">
        <f t="shared" si="4"/>
        <v>7.218729022152607</v>
      </c>
    </row>
    <row r="93" spans="1:10" s="79" customFormat="1" ht="15">
      <c r="A93" s="190">
        <v>90</v>
      </c>
      <c r="B93" s="245" t="s">
        <v>355</v>
      </c>
      <c r="C93" s="115">
        <v>39178</v>
      </c>
      <c r="D93" s="126" t="s">
        <v>58</v>
      </c>
      <c r="E93" s="126" t="s">
        <v>401</v>
      </c>
      <c r="F93" s="116">
        <v>32</v>
      </c>
      <c r="G93" s="116">
        <v>7</v>
      </c>
      <c r="H93" s="351">
        <f>36030.5+15107+2947+2226.5+1741.5+368+21</f>
        <v>58441.5</v>
      </c>
      <c r="I93" s="369">
        <f>5756+2532+606+524+412+75+6</f>
        <v>9911</v>
      </c>
      <c r="J93" s="294">
        <f t="shared" si="4"/>
        <v>5.89663000706286</v>
      </c>
    </row>
    <row r="94" spans="1:10" s="79" customFormat="1" ht="15">
      <c r="A94" s="190">
        <v>91</v>
      </c>
      <c r="B94" s="119" t="s">
        <v>354</v>
      </c>
      <c r="C94" s="117">
        <v>39178</v>
      </c>
      <c r="D94" s="128" t="s">
        <v>64</v>
      </c>
      <c r="E94" s="128" t="s">
        <v>279</v>
      </c>
      <c r="F94" s="376">
        <v>20</v>
      </c>
      <c r="G94" s="376">
        <v>8</v>
      </c>
      <c r="H94" s="353">
        <v>57434</v>
      </c>
      <c r="I94" s="375">
        <v>7246</v>
      </c>
      <c r="J94" s="294">
        <f t="shared" si="4"/>
        <v>7.926304167816727</v>
      </c>
    </row>
    <row r="95" spans="1:10" s="79" customFormat="1" ht="15">
      <c r="A95" s="190">
        <v>92</v>
      </c>
      <c r="B95" s="246" t="s">
        <v>238</v>
      </c>
      <c r="C95" s="115">
        <v>39115</v>
      </c>
      <c r="D95" s="130" t="s">
        <v>23</v>
      </c>
      <c r="E95" s="129" t="s">
        <v>33</v>
      </c>
      <c r="F95" s="118">
        <v>7</v>
      </c>
      <c r="G95" s="118">
        <v>15</v>
      </c>
      <c r="H95" s="351">
        <f>17653+2664+2547+3149.5+1301+782+4139+3319+2916+1353+211+25+1358+2067.5+4037</f>
        <v>47522</v>
      </c>
      <c r="I95" s="369">
        <f>1861+315+483+453+199+125+780+688+532+250+58+10+324+278+530</f>
        <v>6886</v>
      </c>
      <c r="J95" s="294">
        <f t="shared" si="4"/>
        <v>6.9012489108335755</v>
      </c>
    </row>
    <row r="96" spans="1:10" s="79" customFormat="1" ht="15">
      <c r="A96" s="190">
        <v>93</v>
      </c>
      <c r="B96" s="245" t="s">
        <v>421</v>
      </c>
      <c r="C96" s="115">
        <v>39213</v>
      </c>
      <c r="D96" s="126" t="s">
        <v>58</v>
      </c>
      <c r="E96" s="126" t="s">
        <v>59</v>
      </c>
      <c r="F96" s="116">
        <v>5</v>
      </c>
      <c r="G96" s="116">
        <v>3</v>
      </c>
      <c r="H96" s="351">
        <f>25052+11949.5+3201</f>
        <v>40202.5</v>
      </c>
      <c r="I96" s="369">
        <f>2528+1205+383</f>
        <v>4116</v>
      </c>
      <c r="J96" s="294">
        <f t="shared" si="4"/>
        <v>9.76737123420797</v>
      </c>
    </row>
    <row r="97" spans="1:10" s="79" customFormat="1" ht="15">
      <c r="A97" s="190">
        <v>94</v>
      </c>
      <c r="B97" s="244" t="s">
        <v>376</v>
      </c>
      <c r="C97" s="114">
        <v>39185</v>
      </c>
      <c r="D97" s="125" t="s">
        <v>56</v>
      </c>
      <c r="E97" s="124" t="s">
        <v>459</v>
      </c>
      <c r="F97" s="345">
        <v>18</v>
      </c>
      <c r="G97" s="345">
        <v>7</v>
      </c>
      <c r="H97" s="352">
        <f>30174+1530+1183+615+267+1789+987</f>
        <v>36545</v>
      </c>
      <c r="I97" s="370">
        <f>3096+224+261+123+52+470+182</f>
        <v>4408</v>
      </c>
      <c r="J97" s="294">
        <f t="shared" si="4"/>
        <v>8.290607985480944</v>
      </c>
    </row>
    <row r="98" spans="1:10" s="79" customFormat="1" ht="15">
      <c r="A98" s="190">
        <v>95</v>
      </c>
      <c r="B98" s="245" t="s">
        <v>422</v>
      </c>
      <c r="C98" s="115">
        <v>39213</v>
      </c>
      <c r="D98" s="126" t="s">
        <v>58</v>
      </c>
      <c r="E98" s="126" t="s">
        <v>59</v>
      </c>
      <c r="F98" s="116">
        <v>1</v>
      </c>
      <c r="G98" s="116">
        <v>3</v>
      </c>
      <c r="H98" s="351">
        <f>23022+3295+935</f>
        <v>27252</v>
      </c>
      <c r="I98" s="369">
        <f>3601+659+187</f>
        <v>4447</v>
      </c>
      <c r="J98" s="294">
        <f t="shared" si="4"/>
        <v>6.128176298628289</v>
      </c>
    </row>
    <row r="99" spans="1:10" s="79" customFormat="1" ht="15">
      <c r="A99" s="190">
        <v>96</v>
      </c>
      <c r="B99" s="245" t="s">
        <v>306</v>
      </c>
      <c r="C99" s="115">
        <v>39115</v>
      </c>
      <c r="D99" s="126" t="s">
        <v>58</v>
      </c>
      <c r="E99" s="126" t="s">
        <v>38</v>
      </c>
      <c r="F99" s="116">
        <v>10</v>
      </c>
      <c r="G99" s="116">
        <v>5</v>
      </c>
      <c r="H99" s="351">
        <f>17496+3884+1469+240+311</f>
        <v>23400</v>
      </c>
      <c r="I99" s="369">
        <f>1763+417+239+30+72</f>
        <v>2521</v>
      </c>
      <c r="J99" s="294">
        <f t="shared" si="4"/>
        <v>9.282030940103134</v>
      </c>
    </row>
    <row r="100" spans="1:10" s="79" customFormat="1" ht="15">
      <c r="A100" s="190">
        <v>97</v>
      </c>
      <c r="B100" s="333" t="s">
        <v>166</v>
      </c>
      <c r="C100" s="115">
        <v>39094</v>
      </c>
      <c r="D100" s="364" t="s">
        <v>23</v>
      </c>
      <c r="E100" s="364" t="s">
        <v>158</v>
      </c>
      <c r="F100" s="326">
        <v>2</v>
      </c>
      <c r="G100" s="326">
        <v>6</v>
      </c>
      <c r="H100" s="351">
        <f>1685+7070+4182+870+1068+308+1896+1402+2852+77.5+1294</f>
        <v>22704.5</v>
      </c>
      <c r="I100" s="369">
        <f>480+951+563+174+267+31+416+162+713+29+337</f>
        <v>4123</v>
      </c>
      <c r="J100" s="331">
        <f>H100/I100</f>
        <v>5.506791171477079</v>
      </c>
    </row>
    <row r="101" spans="1:10" s="79" customFormat="1" ht="15">
      <c r="A101" s="190">
        <v>98</v>
      </c>
      <c r="B101" s="247" t="s">
        <v>408</v>
      </c>
      <c r="C101" s="114">
        <v>39206</v>
      </c>
      <c r="D101" s="127" t="s">
        <v>73</v>
      </c>
      <c r="E101" s="127" t="s">
        <v>439</v>
      </c>
      <c r="F101" s="346" t="s">
        <v>324</v>
      </c>
      <c r="G101" s="346" t="s">
        <v>297</v>
      </c>
      <c r="H101" s="352">
        <v>18524.5</v>
      </c>
      <c r="I101" s="370">
        <v>2183</v>
      </c>
      <c r="J101" s="294">
        <f>+H101/I101</f>
        <v>8.485799358680715</v>
      </c>
    </row>
    <row r="102" spans="1:10" s="79" customFormat="1" ht="15">
      <c r="A102" s="190">
        <v>99</v>
      </c>
      <c r="B102" s="246" t="s">
        <v>377</v>
      </c>
      <c r="C102" s="115">
        <v>39185</v>
      </c>
      <c r="D102" s="130" t="s">
        <v>23</v>
      </c>
      <c r="E102" s="129" t="s">
        <v>69</v>
      </c>
      <c r="F102" s="118">
        <v>4</v>
      </c>
      <c r="G102" s="118">
        <v>4</v>
      </c>
      <c r="H102" s="351">
        <f>6769.5+3919+2476+254</f>
        <v>13418.5</v>
      </c>
      <c r="I102" s="369">
        <f>846+548+607+46</f>
        <v>2047</v>
      </c>
      <c r="J102" s="331">
        <f>H102/I102</f>
        <v>6.555202735710797</v>
      </c>
    </row>
    <row r="103" spans="1:10" s="79" customFormat="1" ht="15">
      <c r="A103" s="190">
        <v>100</v>
      </c>
      <c r="B103" s="332" t="s">
        <v>358</v>
      </c>
      <c r="C103" s="114">
        <v>39178</v>
      </c>
      <c r="D103" s="363" t="s">
        <v>73</v>
      </c>
      <c r="E103" s="363" t="s">
        <v>378</v>
      </c>
      <c r="F103" s="276" t="s">
        <v>328</v>
      </c>
      <c r="G103" s="276" t="s">
        <v>37</v>
      </c>
      <c r="H103" s="352">
        <v>13081</v>
      </c>
      <c r="I103" s="370">
        <v>1608</v>
      </c>
      <c r="J103" s="294">
        <f aca="true" t="shared" si="5" ref="J103:J111">+H103/I103</f>
        <v>8.134950248756219</v>
      </c>
    </row>
    <row r="104" spans="1:10" s="79" customFormat="1" ht="15">
      <c r="A104" s="190">
        <v>101</v>
      </c>
      <c r="B104" s="246" t="s">
        <v>318</v>
      </c>
      <c r="C104" s="115">
        <v>39157</v>
      </c>
      <c r="D104" s="130" t="s">
        <v>23</v>
      </c>
      <c r="E104" s="129" t="s">
        <v>158</v>
      </c>
      <c r="F104" s="118">
        <v>1</v>
      </c>
      <c r="G104" s="118">
        <v>8</v>
      </c>
      <c r="H104" s="351">
        <f>4040+3088+878+292+795+865+1900+1068</f>
        <v>12926</v>
      </c>
      <c r="I104" s="369">
        <f>578+442+162+25+159+173+475+267</f>
        <v>2281</v>
      </c>
      <c r="J104" s="294">
        <f t="shared" si="5"/>
        <v>5.666812801402894</v>
      </c>
    </row>
    <row r="105" spans="1:10" s="79" customFormat="1" ht="13.5" customHeight="1">
      <c r="A105" s="190">
        <v>102</v>
      </c>
      <c r="B105" s="246" t="s">
        <v>425</v>
      </c>
      <c r="C105" s="115">
        <v>39213</v>
      </c>
      <c r="D105" s="130" t="s">
        <v>23</v>
      </c>
      <c r="E105" s="129" t="s">
        <v>195</v>
      </c>
      <c r="F105" s="118">
        <v>4</v>
      </c>
      <c r="G105" s="118">
        <v>3</v>
      </c>
      <c r="H105" s="351">
        <f>4023.5+5558+2672.5+449</f>
        <v>12703</v>
      </c>
      <c r="I105" s="369">
        <f>664+522+392+59</f>
        <v>1637</v>
      </c>
      <c r="J105" s="294">
        <f t="shared" si="5"/>
        <v>7.759926695174099</v>
      </c>
    </row>
    <row r="106" spans="1:10" s="79" customFormat="1" ht="15">
      <c r="A106" s="190">
        <v>103</v>
      </c>
      <c r="B106" s="245" t="s">
        <v>423</v>
      </c>
      <c r="C106" s="115">
        <v>39227</v>
      </c>
      <c r="D106" s="126" t="s">
        <v>58</v>
      </c>
      <c r="E106" s="126" t="s">
        <v>59</v>
      </c>
      <c r="F106" s="116">
        <v>1</v>
      </c>
      <c r="G106" s="116">
        <v>1</v>
      </c>
      <c r="H106" s="351">
        <f>11158+1340</f>
        <v>12498</v>
      </c>
      <c r="I106" s="369">
        <f>1408+268</f>
        <v>1676</v>
      </c>
      <c r="J106" s="294">
        <f t="shared" si="5"/>
        <v>7.457040572792363</v>
      </c>
    </row>
    <row r="107" spans="1:10" s="79" customFormat="1" ht="15">
      <c r="A107" s="190">
        <v>104</v>
      </c>
      <c r="B107" s="246" t="s">
        <v>362</v>
      </c>
      <c r="C107" s="115">
        <v>39178</v>
      </c>
      <c r="D107" s="130" t="s">
        <v>23</v>
      </c>
      <c r="E107" s="129" t="s">
        <v>363</v>
      </c>
      <c r="F107" s="118">
        <v>2</v>
      </c>
      <c r="G107" s="118">
        <v>8</v>
      </c>
      <c r="H107" s="351">
        <f>3994+2334+454+1412+330+1004+1550+988</f>
        <v>12066</v>
      </c>
      <c r="I107" s="369">
        <f>445+262+47+219+66+135+226+149</f>
        <v>1549</v>
      </c>
      <c r="J107" s="294">
        <f t="shared" si="5"/>
        <v>7.789541639767592</v>
      </c>
    </row>
    <row r="108" spans="1:10" s="79" customFormat="1" ht="15">
      <c r="A108" s="190">
        <v>105</v>
      </c>
      <c r="B108" s="246" t="s">
        <v>359</v>
      </c>
      <c r="C108" s="115">
        <v>39178</v>
      </c>
      <c r="D108" s="130" t="s">
        <v>23</v>
      </c>
      <c r="E108" s="129" t="s">
        <v>360</v>
      </c>
      <c r="F108" s="118">
        <v>5</v>
      </c>
      <c r="G108" s="118">
        <v>6</v>
      </c>
      <c r="H108" s="351">
        <f>6989+3492+735+273+101+62</f>
        <v>11652</v>
      </c>
      <c r="I108" s="369">
        <f>870+504+98+37+13+12</f>
        <v>1534</v>
      </c>
      <c r="J108" s="294">
        <f t="shared" si="5"/>
        <v>7.595827900912647</v>
      </c>
    </row>
    <row r="109" spans="1:10" s="79" customFormat="1" ht="15">
      <c r="A109" s="190">
        <v>106</v>
      </c>
      <c r="B109" s="245" t="s">
        <v>402</v>
      </c>
      <c r="C109" s="115">
        <v>39199</v>
      </c>
      <c r="D109" s="126" t="s">
        <v>58</v>
      </c>
      <c r="E109" s="126" t="s">
        <v>59</v>
      </c>
      <c r="F109" s="116">
        <v>1</v>
      </c>
      <c r="G109" s="116">
        <v>5</v>
      </c>
      <c r="H109" s="351">
        <f>7483+988+550+332+134+125</f>
        <v>9612</v>
      </c>
      <c r="I109" s="369">
        <f>956+111+62+33+15+31</f>
        <v>1208</v>
      </c>
      <c r="J109" s="294">
        <f t="shared" si="5"/>
        <v>7.956953642384106</v>
      </c>
    </row>
    <row r="110" spans="1:10" s="79" customFormat="1" ht="15">
      <c r="A110" s="190">
        <v>107</v>
      </c>
      <c r="B110" s="245" t="s">
        <v>457</v>
      </c>
      <c r="C110" s="115">
        <v>39227</v>
      </c>
      <c r="D110" s="126" t="s">
        <v>299</v>
      </c>
      <c r="E110" s="126" t="s">
        <v>458</v>
      </c>
      <c r="F110" s="116">
        <v>2</v>
      </c>
      <c r="G110" s="116">
        <v>1</v>
      </c>
      <c r="H110" s="351">
        <v>2033</v>
      </c>
      <c r="I110" s="369">
        <v>223</v>
      </c>
      <c r="J110" s="294">
        <f t="shared" si="5"/>
        <v>9.116591928251122</v>
      </c>
    </row>
    <row r="111" spans="1:10" s="79" customFormat="1" ht="15.75" thickBot="1">
      <c r="A111" s="190">
        <v>108</v>
      </c>
      <c r="B111" s="422" t="s">
        <v>453</v>
      </c>
      <c r="C111" s="267">
        <v>39227</v>
      </c>
      <c r="D111" s="423" t="s">
        <v>23</v>
      </c>
      <c r="E111" s="424" t="s">
        <v>360</v>
      </c>
      <c r="F111" s="425">
        <v>5</v>
      </c>
      <c r="G111" s="425">
        <v>1</v>
      </c>
      <c r="H111" s="392">
        <v>1711</v>
      </c>
      <c r="I111" s="393">
        <v>428</v>
      </c>
      <c r="J111" s="359">
        <f t="shared" si="5"/>
        <v>3.9976635514018692</v>
      </c>
    </row>
    <row r="112" spans="1:10" s="131" customFormat="1" ht="15">
      <c r="A112" s="453" t="s">
        <v>50</v>
      </c>
      <c r="B112" s="454"/>
      <c r="C112" s="183"/>
      <c r="D112" s="183"/>
      <c r="E112" s="183"/>
      <c r="F112" s="184"/>
      <c r="G112" s="183"/>
      <c r="H112" s="185">
        <f>SUM(H4:H111)</f>
        <v>111272716.67000002</v>
      </c>
      <c r="I112" s="186">
        <f>SUM(I4:I111)</f>
        <v>14438717</v>
      </c>
      <c r="J112" s="187">
        <f>H112/I112</f>
        <v>7.706551535707779</v>
      </c>
    </row>
    <row r="113" spans="1:10" s="80" customFormat="1" ht="13.5" thickBot="1">
      <c r="A113" s="89"/>
      <c r="B113" s="81"/>
      <c r="C113" s="82"/>
      <c r="D113" s="82"/>
      <c r="E113" s="82"/>
      <c r="F113" s="82"/>
      <c r="G113" s="82"/>
      <c r="H113" s="83"/>
      <c r="I113" s="96"/>
      <c r="J113" s="84"/>
    </row>
    <row r="114" spans="1:10" s="79" customFormat="1" ht="19.5" customHeight="1">
      <c r="A114" s="98"/>
      <c r="B114" s="457" t="s">
        <v>1</v>
      </c>
      <c r="C114" s="457"/>
      <c r="D114" s="446" t="s">
        <v>28</v>
      </c>
      <c r="E114" s="52"/>
      <c r="F114" s="446"/>
      <c r="G114" s="446"/>
      <c r="H114" s="460" t="s">
        <v>5</v>
      </c>
      <c r="I114" s="461"/>
      <c r="J114" s="462" t="s">
        <v>109</v>
      </c>
    </row>
    <row r="115" spans="1:10" s="79" customFormat="1" ht="27" customHeight="1" thickBot="1">
      <c r="A115" s="100"/>
      <c r="B115" s="458"/>
      <c r="C115" s="458"/>
      <c r="D115" s="459"/>
      <c r="E115" s="99"/>
      <c r="F115" s="459"/>
      <c r="G115" s="459"/>
      <c r="H115" s="76" t="s">
        <v>110</v>
      </c>
      <c r="I115" s="77" t="s">
        <v>90</v>
      </c>
      <c r="J115" s="463"/>
    </row>
    <row r="116" spans="1:10" s="132" customFormat="1" ht="15">
      <c r="A116" s="302">
        <v>1</v>
      </c>
      <c r="B116" s="303" t="s">
        <v>29</v>
      </c>
      <c r="C116" s="304"/>
      <c r="D116" s="304">
        <v>23</v>
      </c>
      <c r="E116" s="304"/>
      <c r="F116" s="305"/>
      <c r="G116" s="304"/>
      <c r="H116" s="306">
        <v>44108599.9</v>
      </c>
      <c r="I116" s="307">
        <v>6243868</v>
      </c>
      <c r="J116" s="308">
        <f>H116/I116</f>
        <v>7.064306916802213</v>
      </c>
    </row>
    <row r="117" spans="1:10" s="132" customFormat="1" ht="15.75" thickBot="1">
      <c r="A117" s="309">
        <v>2</v>
      </c>
      <c r="B117" s="310" t="s">
        <v>30</v>
      </c>
      <c r="C117" s="311"/>
      <c r="D117" s="311">
        <v>85</v>
      </c>
      <c r="E117" s="311"/>
      <c r="F117" s="312"/>
      <c r="G117" s="311"/>
      <c r="H117" s="313">
        <f>H112-H116</f>
        <v>67164116.77000001</v>
      </c>
      <c r="I117" s="314">
        <f>I112-I116</f>
        <v>8194849</v>
      </c>
      <c r="J117" s="315">
        <f>H117/I117</f>
        <v>8.195894368523447</v>
      </c>
    </row>
    <row r="118" spans="1:10" s="133" customFormat="1" ht="15">
      <c r="A118" s="455"/>
      <c r="B118" s="456"/>
      <c r="C118" s="183"/>
      <c r="D118" s="183">
        <f>SUM(D116:D117)</f>
        <v>108</v>
      </c>
      <c r="E118" s="183"/>
      <c r="F118" s="184"/>
      <c r="G118" s="183"/>
      <c r="H118" s="185">
        <f>SUM(H116:H117)</f>
        <v>111272716.67000002</v>
      </c>
      <c r="I118" s="108">
        <f>SUM(I116:I117)</f>
        <v>14438717</v>
      </c>
      <c r="J118" s="187"/>
    </row>
    <row r="119" spans="1:10" s="134" customFormat="1" ht="15">
      <c r="A119" s="162">
        <v>1</v>
      </c>
      <c r="B119" s="126" t="s">
        <v>119</v>
      </c>
      <c r="C119" s="137"/>
      <c r="D119" s="116"/>
      <c r="E119" s="116"/>
      <c r="F119" s="118"/>
      <c r="G119" s="116"/>
      <c r="H119" s="139">
        <v>6704076.6</v>
      </c>
      <c r="I119" s="120">
        <v>1024522</v>
      </c>
      <c r="J119" s="160">
        <f>H119/I119</f>
        <v>6.543614095158523</v>
      </c>
    </row>
    <row r="120" spans="1:10" s="134" customFormat="1" ht="15">
      <c r="A120" s="162">
        <v>2</v>
      </c>
      <c r="B120" s="126" t="s">
        <v>120</v>
      </c>
      <c r="C120" s="137"/>
      <c r="D120" s="116"/>
      <c r="E120" s="116"/>
      <c r="F120" s="118"/>
      <c r="G120" s="116"/>
      <c r="H120" s="139">
        <v>3641203.8</v>
      </c>
      <c r="I120" s="120">
        <v>504944</v>
      </c>
      <c r="J120" s="160">
        <f>H120/I120</f>
        <v>7.211104201654044</v>
      </c>
    </row>
    <row r="121" spans="1:11" s="49" customFormat="1" ht="15">
      <c r="A121" s="163"/>
      <c r="B121" s="138"/>
      <c r="C121" s="135"/>
      <c r="D121" s="135" t="s">
        <v>462</v>
      </c>
      <c r="E121" s="135"/>
      <c r="F121" s="136"/>
      <c r="G121" s="135"/>
      <c r="H121" s="45">
        <f>SUM(H119:H120)</f>
        <v>10345280.399999999</v>
      </c>
      <c r="I121" s="92">
        <f>SUM(I119:I120)</f>
        <v>1529466</v>
      </c>
      <c r="J121" s="161"/>
      <c r="K121" s="140"/>
    </row>
    <row r="122" spans="1:11" s="132" customFormat="1" ht="15.75" thickBot="1">
      <c r="A122" s="164"/>
      <c r="B122" s="165" t="s">
        <v>134</v>
      </c>
      <c r="C122" s="189"/>
      <c r="D122" s="165"/>
      <c r="E122" s="165"/>
      <c r="F122" s="165"/>
      <c r="G122" s="165"/>
      <c r="H122" s="166">
        <f>H118+H121</f>
        <v>121617997.07000002</v>
      </c>
      <c r="I122" s="167">
        <f>I118+I121</f>
        <v>15968183</v>
      </c>
      <c r="J122" s="168"/>
      <c r="K122" s="141"/>
    </row>
    <row r="124" spans="3:10" ht="12.75" customHeight="1">
      <c r="C124" s="426" t="s">
        <v>31</v>
      </c>
      <c r="D124" s="426"/>
      <c r="E124" s="426"/>
      <c r="F124" s="426"/>
      <c r="G124" s="426"/>
      <c r="H124" s="426"/>
      <c r="I124" s="426"/>
      <c r="J124" s="426"/>
    </row>
    <row r="125" spans="3:10" ht="12.75">
      <c r="C125" s="426"/>
      <c r="D125" s="426"/>
      <c r="E125" s="426"/>
      <c r="F125" s="426"/>
      <c r="G125" s="426"/>
      <c r="H125" s="426"/>
      <c r="I125" s="426"/>
      <c r="J125" s="426"/>
    </row>
    <row r="126" spans="3:10" ht="12.75">
      <c r="C126" s="426"/>
      <c r="D126" s="426"/>
      <c r="E126" s="426"/>
      <c r="F126" s="426"/>
      <c r="G126" s="426"/>
      <c r="H126" s="426"/>
      <c r="I126" s="426"/>
      <c r="J126" s="426"/>
    </row>
    <row r="127" spans="3:10" ht="27" customHeight="1">
      <c r="C127" s="426"/>
      <c r="D127" s="426"/>
      <c r="E127" s="426"/>
      <c r="F127" s="426"/>
      <c r="G127" s="426"/>
      <c r="H127" s="426"/>
      <c r="I127" s="426"/>
      <c r="J127" s="426"/>
    </row>
    <row r="128" spans="3:12" ht="12.75">
      <c r="C128" s="426"/>
      <c r="D128" s="426"/>
      <c r="E128" s="426"/>
      <c r="F128" s="426"/>
      <c r="G128" s="426"/>
      <c r="H128" s="426"/>
      <c r="I128" s="426"/>
      <c r="J128" s="426"/>
      <c r="L128" s="142"/>
    </row>
    <row r="129" spans="3:10" ht="12.75">
      <c r="C129" s="426"/>
      <c r="D129" s="426"/>
      <c r="E129" s="426"/>
      <c r="F129" s="426"/>
      <c r="G129" s="426"/>
      <c r="H129" s="426"/>
      <c r="I129" s="426"/>
      <c r="J129" s="426"/>
    </row>
    <row r="130" spans="3:10" ht="12.75">
      <c r="C130" s="102"/>
      <c r="D130" s="88"/>
      <c r="E130" s="88"/>
      <c r="F130" s="88"/>
      <c r="G130" s="88"/>
      <c r="H130" s="121"/>
      <c r="I130" s="121"/>
      <c r="J130" s="88"/>
    </row>
    <row r="131" spans="3:10" ht="12.75" customHeight="1">
      <c r="C131" s="451" t="s">
        <v>19</v>
      </c>
      <c r="D131" s="451"/>
      <c r="E131" s="451"/>
      <c r="F131" s="451"/>
      <c r="G131" s="451"/>
      <c r="H131" s="451"/>
      <c r="I131" s="451"/>
      <c r="J131" s="451"/>
    </row>
    <row r="132" spans="3:10" ht="12.75">
      <c r="C132" s="451"/>
      <c r="D132" s="451"/>
      <c r="E132" s="451"/>
      <c r="F132" s="451"/>
      <c r="G132" s="451"/>
      <c r="H132" s="451"/>
      <c r="I132" s="451"/>
      <c r="J132" s="451"/>
    </row>
    <row r="133" spans="3:10" ht="12.75">
      <c r="C133" s="451"/>
      <c r="D133" s="451"/>
      <c r="E133" s="451"/>
      <c r="F133" s="451"/>
      <c r="G133" s="451"/>
      <c r="H133" s="451"/>
      <c r="I133" s="451"/>
      <c r="J133" s="451"/>
    </row>
    <row r="134" spans="3:10" ht="12.75">
      <c r="C134" s="451"/>
      <c r="D134" s="451"/>
      <c r="E134" s="451"/>
      <c r="F134" s="451"/>
      <c r="G134" s="451"/>
      <c r="H134" s="451"/>
      <c r="I134" s="451"/>
      <c r="J134" s="451"/>
    </row>
    <row r="135" spans="3:10" ht="12.75">
      <c r="C135" s="451"/>
      <c r="D135" s="451"/>
      <c r="E135" s="451"/>
      <c r="F135" s="451"/>
      <c r="G135" s="451"/>
      <c r="H135" s="451"/>
      <c r="I135" s="451"/>
      <c r="J135" s="451"/>
    </row>
    <row r="136" spans="3:10" ht="12.75">
      <c r="C136" s="451"/>
      <c r="D136" s="451"/>
      <c r="E136" s="451"/>
      <c r="F136" s="451"/>
      <c r="G136" s="451"/>
      <c r="H136" s="451"/>
      <c r="I136" s="451"/>
      <c r="J136" s="451"/>
    </row>
    <row r="137" spans="3:10" ht="12.75">
      <c r="C137" s="451"/>
      <c r="D137" s="451"/>
      <c r="E137" s="451"/>
      <c r="F137" s="451"/>
      <c r="G137" s="451"/>
      <c r="H137" s="451"/>
      <c r="I137" s="451"/>
      <c r="J137" s="451"/>
    </row>
  </sheetData>
  <mergeCells count="20">
    <mergeCell ref="B114:B115"/>
    <mergeCell ref="C114:C115"/>
    <mergeCell ref="D114:D115"/>
    <mergeCell ref="F114:F115"/>
    <mergeCell ref="G2:G3"/>
    <mergeCell ref="H2:I2"/>
    <mergeCell ref="J2:J3"/>
    <mergeCell ref="G114:G115"/>
    <mergeCell ref="H114:I114"/>
    <mergeCell ref="J114:J115"/>
    <mergeCell ref="C124:J129"/>
    <mergeCell ref="C131:J137"/>
    <mergeCell ref="A1:J1"/>
    <mergeCell ref="A112:B112"/>
    <mergeCell ref="A118:B118"/>
    <mergeCell ref="B2:B3"/>
    <mergeCell ref="C2:C3"/>
    <mergeCell ref="D2:D3"/>
    <mergeCell ref="E2:E3"/>
    <mergeCell ref="F2:F3"/>
  </mergeCells>
  <printOptions/>
  <pageMargins left="0.87" right="0.58" top="0.18" bottom="0.57" header="0.11811023622047245" footer="0.5"/>
  <pageSetup orientation="portrait" paperSize="9" scale="50" r:id="rId1"/>
  <ignoredErrors>
    <ignoredError sqref="H6:I97" unlockedFormula="1"/>
    <ignoredError sqref="F9:G103" numberStoredAsText="1"/>
    <ignoredError sqref="J37:J102" formula="1"/>
  </ignoredErrors>
</worksheet>
</file>

<file path=xl/worksheets/sheet3.xml><?xml version="1.0" encoding="utf-8"?>
<worksheet xmlns="http://schemas.openxmlformats.org/spreadsheetml/2006/main" xmlns:r="http://schemas.openxmlformats.org/officeDocument/2006/relationships">
  <dimension ref="A1:G549"/>
  <sheetViews>
    <sheetView zoomScale="80" zoomScaleNormal="80" workbookViewId="0" topLeftCell="A514">
      <selection activeCell="B534" sqref="B534"/>
    </sheetView>
  </sheetViews>
  <sheetFormatPr defaultColWidth="9.140625" defaultRowHeight="12.75"/>
  <cols>
    <col min="1" max="1" width="3.8515625" style="0" customWidth="1"/>
    <col min="2" max="2" width="47.421875" style="0" bestFit="1" customWidth="1"/>
    <col min="3" max="3" width="11.00390625" style="344" customWidth="1"/>
    <col min="4" max="4" width="14.421875" style="0" bestFit="1" customWidth="1"/>
    <col min="5" max="5" width="20.140625" style="0" bestFit="1" customWidth="1"/>
    <col min="6" max="6" width="15.421875" style="265" bestFit="1" customWidth="1"/>
    <col min="7" max="7" width="11.7109375" style="172" customWidth="1"/>
    <col min="8" max="8" width="7.57421875" style="0" customWidth="1"/>
  </cols>
  <sheetData>
    <row r="1" spans="1:7" ht="33.75" thickBot="1">
      <c r="A1" s="467" t="s">
        <v>445</v>
      </c>
      <c r="B1" s="468"/>
      <c r="C1" s="468"/>
      <c r="D1" s="468"/>
      <c r="E1" s="468"/>
      <c r="F1" s="468"/>
      <c r="G1" s="468"/>
    </row>
    <row r="2" spans="1:7" ht="14.25">
      <c r="A2" s="94"/>
      <c r="B2" s="469" t="s">
        <v>1</v>
      </c>
      <c r="C2" s="469" t="s">
        <v>107</v>
      </c>
      <c r="D2" s="469" t="s">
        <v>54</v>
      </c>
      <c r="E2" s="469" t="s">
        <v>53</v>
      </c>
      <c r="F2" s="442" t="s">
        <v>208</v>
      </c>
      <c r="G2" s="471"/>
    </row>
    <row r="3" spans="1:7" ht="15" thickBot="1">
      <c r="A3" s="95"/>
      <c r="B3" s="470"/>
      <c r="C3" s="470"/>
      <c r="D3" s="470"/>
      <c r="E3" s="470"/>
      <c r="F3" s="278" t="s">
        <v>110</v>
      </c>
      <c r="G3" s="279" t="s">
        <v>90</v>
      </c>
    </row>
    <row r="4" spans="1:7" ht="15">
      <c r="A4" s="191">
        <v>1</v>
      </c>
      <c r="B4" s="388" t="s">
        <v>222</v>
      </c>
      <c r="C4" s="181">
        <v>38996</v>
      </c>
      <c r="D4" s="389" t="s">
        <v>23</v>
      </c>
      <c r="E4" s="390" t="s">
        <v>188</v>
      </c>
      <c r="F4" s="251">
        <v>1664</v>
      </c>
      <c r="G4" s="192">
        <v>416</v>
      </c>
    </row>
    <row r="5" spans="1:7" ht="15">
      <c r="A5" s="188">
        <v>2</v>
      </c>
      <c r="B5" s="333" t="s">
        <v>222</v>
      </c>
      <c r="C5" s="115">
        <v>38996</v>
      </c>
      <c r="D5" s="175" t="s">
        <v>23</v>
      </c>
      <c r="E5" s="175" t="s">
        <v>188</v>
      </c>
      <c r="F5" s="248">
        <v>1188</v>
      </c>
      <c r="G5" s="194">
        <v>297</v>
      </c>
    </row>
    <row r="6" spans="1:7" ht="15">
      <c r="A6" s="191">
        <v>3</v>
      </c>
      <c r="B6" s="246" t="s">
        <v>222</v>
      </c>
      <c r="C6" s="115">
        <v>38996</v>
      </c>
      <c r="D6" s="130" t="s">
        <v>23</v>
      </c>
      <c r="E6" s="129" t="s">
        <v>188</v>
      </c>
      <c r="F6" s="248">
        <v>247</v>
      </c>
      <c r="G6" s="194">
        <v>45</v>
      </c>
    </row>
    <row r="7" spans="1:7" ht="15">
      <c r="A7" s="191">
        <v>4</v>
      </c>
      <c r="B7" s="246" t="s">
        <v>222</v>
      </c>
      <c r="C7" s="115">
        <v>38996</v>
      </c>
      <c r="D7" s="130" t="s">
        <v>23</v>
      </c>
      <c r="E7" s="129" t="s">
        <v>188</v>
      </c>
      <c r="F7" s="252">
        <v>170</v>
      </c>
      <c r="G7" s="194">
        <v>34</v>
      </c>
    </row>
    <row r="8" spans="1:7" ht="15">
      <c r="A8" s="188">
        <v>5</v>
      </c>
      <c r="B8" s="148" t="s">
        <v>222</v>
      </c>
      <c r="C8" s="115">
        <v>38996</v>
      </c>
      <c r="D8" s="130" t="s">
        <v>23</v>
      </c>
      <c r="E8" s="129" t="s">
        <v>188</v>
      </c>
      <c r="F8" s="248">
        <v>104</v>
      </c>
      <c r="G8" s="194">
        <v>40</v>
      </c>
    </row>
    <row r="9" spans="1:7" ht="15">
      <c r="A9" s="191">
        <v>6</v>
      </c>
      <c r="B9" s="148" t="s">
        <v>222</v>
      </c>
      <c r="C9" s="115">
        <v>38996</v>
      </c>
      <c r="D9" s="130" t="s">
        <v>23</v>
      </c>
      <c r="E9" s="129" t="s">
        <v>188</v>
      </c>
      <c r="F9" s="248">
        <v>34</v>
      </c>
      <c r="G9" s="194">
        <v>6</v>
      </c>
    </row>
    <row r="10" spans="1:7" ht="15">
      <c r="A10" s="191">
        <v>7</v>
      </c>
      <c r="B10" s="333" t="s">
        <v>381</v>
      </c>
      <c r="C10" s="115">
        <v>38982</v>
      </c>
      <c r="D10" s="175" t="s">
        <v>66</v>
      </c>
      <c r="E10" s="175" t="s">
        <v>66</v>
      </c>
      <c r="F10" s="248">
        <v>221</v>
      </c>
      <c r="G10" s="194">
        <v>60</v>
      </c>
    </row>
    <row r="11" spans="1:7" ht="15">
      <c r="A11" s="188">
        <v>8</v>
      </c>
      <c r="B11" s="246" t="s">
        <v>24</v>
      </c>
      <c r="C11" s="115">
        <v>38849</v>
      </c>
      <c r="D11" s="130" t="s">
        <v>23</v>
      </c>
      <c r="E11" s="129" t="s">
        <v>25</v>
      </c>
      <c r="F11" s="248">
        <v>2852</v>
      </c>
      <c r="G11" s="194">
        <v>713</v>
      </c>
    </row>
    <row r="12" spans="1:7" ht="15">
      <c r="A12" s="191">
        <v>9</v>
      </c>
      <c r="B12" s="246" t="s">
        <v>24</v>
      </c>
      <c r="C12" s="115">
        <v>38849</v>
      </c>
      <c r="D12" s="130" t="s">
        <v>23</v>
      </c>
      <c r="E12" s="129" t="s">
        <v>25</v>
      </c>
      <c r="F12" s="248">
        <v>1664</v>
      </c>
      <c r="G12" s="194">
        <v>416</v>
      </c>
    </row>
    <row r="13" spans="1:7" ht="15">
      <c r="A13" s="191">
        <v>10</v>
      </c>
      <c r="B13" s="148" t="s">
        <v>24</v>
      </c>
      <c r="C13" s="115">
        <v>38849</v>
      </c>
      <c r="D13" s="274" t="s">
        <v>23</v>
      </c>
      <c r="E13" s="275" t="s">
        <v>25</v>
      </c>
      <c r="F13" s="252">
        <v>75.5</v>
      </c>
      <c r="G13" s="157">
        <v>29</v>
      </c>
    </row>
    <row r="14" spans="1:7" ht="15">
      <c r="A14" s="188">
        <v>11</v>
      </c>
      <c r="B14" s="179" t="s">
        <v>24</v>
      </c>
      <c r="C14" s="115">
        <v>38849</v>
      </c>
      <c r="D14" s="175" t="s">
        <v>23</v>
      </c>
      <c r="E14" s="175" t="s">
        <v>25</v>
      </c>
      <c r="F14" s="248">
        <v>36</v>
      </c>
      <c r="G14" s="194">
        <v>7</v>
      </c>
    </row>
    <row r="15" spans="1:7" ht="15">
      <c r="A15" s="191">
        <v>12</v>
      </c>
      <c r="B15" s="148" t="s">
        <v>24</v>
      </c>
      <c r="C15" s="115">
        <v>38849</v>
      </c>
      <c r="D15" s="130" t="s">
        <v>23</v>
      </c>
      <c r="E15" s="129" t="s">
        <v>25</v>
      </c>
      <c r="F15" s="252">
        <v>27</v>
      </c>
      <c r="G15" s="157">
        <v>5</v>
      </c>
    </row>
    <row r="16" spans="1:7" ht="15">
      <c r="A16" s="191">
        <v>13</v>
      </c>
      <c r="B16" s="145" t="s">
        <v>104</v>
      </c>
      <c r="C16" s="114">
        <v>38968</v>
      </c>
      <c r="D16" s="125" t="s">
        <v>56</v>
      </c>
      <c r="E16" s="124" t="s">
        <v>11</v>
      </c>
      <c r="F16" s="249">
        <v>1950</v>
      </c>
      <c r="G16" s="193">
        <v>531</v>
      </c>
    </row>
    <row r="17" spans="1:7" ht="15">
      <c r="A17" s="188">
        <v>14</v>
      </c>
      <c r="B17" s="244" t="s">
        <v>104</v>
      </c>
      <c r="C17" s="114">
        <v>38968</v>
      </c>
      <c r="D17" s="125" t="s">
        <v>56</v>
      </c>
      <c r="E17" s="124" t="s">
        <v>11</v>
      </c>
      <c r="F17" s="249">
        <v>1946</v>
      </c>
      <c r="G17" s="193">
        <v>529</v>
      </c>
    </row>
    <row r="18" spans="1:7" ht="15">
      <c r="A18" s="191">
        <v>15</v>
      </c>
      <c r="B18" s="145" t="s">
        <v>104</v>
      </c>
      <c r="C18" s="114">
        <v>38968</v>
      </c>
      <c r="D18" s="125" t="s">
        <v>56</v>
      </c>
      <c r="E18" s="124" t="s">
        <v>11</v>
      </c>
      <c r="F18" s="253">
        <v>1728</v>
      </c>
      <c r="G18" s="154">
        <v>313</v>
      </c>
    </row>
    <row r="19" spans="1:7" ht="15">
      <c r="A19" s="191">
        <v>16</v>
      </c>
      <c r="B19" s="178" t="s">
        <v>104</v>
      </c>
      <c r="C19" s="114">
        <v>38968</v>
      </c>
      <c r="D19" s="176" t="s">
        <v>56</v>
      </c>
      <c r="E19" s="176" t="s">
        <v>11</v>
      </c>
      <c r="F19" s="249">
        <v>1727</v>
      </c>
      <c r="G19" s="193">
        <v>487</v>
      </c>
    </row>
    <row r="20" spans="1:7" ht="15">
      <c r="A20" s="188">
        <v>17</v>
      </c>
      <c r="B20" s="145" t="s">
        <v>104</v>
      </c>
      <c r="C20" s="114">
        <v>38968</v>
      </c>
      <c r="D20" s="125" t="s">
        <v>56</v>
      </c>
      <c r="E20" s="124" t="s">
        <v>11</v>
      </c>
      <c r="F20" s="249">
        <v>1662</v>
      </c>
      <c r="G20" s="193">
        <v>474</v>
      </c>
    </row>
    <row r="21" spans="1:7" ht="15">
      <c r="A21" s="191">
        <v>18</v>
      </c>
      <c r="B21" s="148" t="s">
        <v>22</v>
      </c>
      <c r="C21" s="115">
        <v>38996</v>
      </c>
      <c r="D21" s="130" t="s">
        <v>23</v>
      </c>
      <c r="E21" s="129" t="s">
        <v>93</v>
      </c>
      <c r="F21" s="252">
        <v>209.6</v>
      </c>
      <c r="G21" s="157">
        <v>131</v>
      </c>
    </row>
    <row r="22" spans="1:7" ht="15">
      <c r="A22" s="191">
        <v>19</v>
      </c>
      <c r="B22" s="146" t="s">
        <v>116</v>
      </c>
      <c r="C22" s="149">
        <v>39073</v>
      </c>
      <c r="D22" s="144" t="s">
        <v>66</v>
      </c>
      <c r="E22" s="144" t="s">
        <v>66</v>
      </c>
      <c r="F22" s="254">
        <v>155630</v>
      </c>
      <c r="G22" s="155">
        <v>18932</v>
      </c>
    </row>
    <row r="23" spans="1:7" ht="15">
      <c r="A23" s="188">
        <v>20</v>
      </c>
      <c r="B23" s="179" t="s">
        <v>116</v>
      </c>
      <c r="C23" s="115">
        <v>39073</v>
      </c>
      <c r="D23" s="175" t="s">
        <v>66</v>
      </c>
      <c r="E23" s="175" t="s">
        <v>66</v>
      </c>
      <c r="F23" s="248">
        <v>55982</v>
      </c>
      <c r="G23" s="194">
        <v>7628</v>
      </c>
    </row>
    <row r="24" spans="1:7" ht="15">
      <c r="A24" s="191">
        <v>21</v>
      </c>
      <c r="B24" s="147" t="s">
        <v>116</v>
      </c>
      <c r="C24" s="115">
        <v>39073</v>
      </c>
      <c r="D24" s="144" t="s">
        <v>66</v>
      </c>
      <c r="E24" s="175" t="s">
        <v>66</v>
      </c>
      <c r="F24" s="248">
        <v>15271</v>
      </c>
      <c r="G24" s="194">
        <v>2641</v>
      </c>
    </row>
    <row r="25" spans="1:7" ht="15">
      <c r="A25" s="191">
        <v>22</v>
      </c>
      <c r="B25" s="245" t="s">
        <v>116</v>
      </c>
      <c r="C25" s="115">
        <v>39073</v>
      </c>
      <c r="D25" s="126" t="s">
        <v>58</v>
      </c>
      <c r="E25" s="126" t="s">
        <v>66</v>
      </c>
      <c r="F25" s="252">
        <v>11300.5</v>
      </c>
      <c r="G25" s="194">
        <v>2010</v>
      </c>
    </row>
    <row r="26" spans="1:7" ht="15">
      <c r="A26" s="188">
        <v>23</v>
      </c>
      <c r="B26" s="147" t="s">
        <v>116</v>
      </c>
      <c r="C26" s="115">
        <v>39073</v>
      </c>
      <c r="D26" s="126" t="s">
        <v>66</v>
      </c>
      <c r="E26" s="126" t="s">
        <v>66</v>
      </c>
      <c r="F26" s="248">
        <v>9440</v>
      </c>
      <c r="G26" s="194">
        <v>1724</v>
      </c>
    </row>
    <row r="27" spans="1:7" ht="15">
      <c r="A27" s="191">
        <v>24</v>
      </c>
      <c r="B27" s="245" t="s">
        <v>116</v>
      </c>
      <c r="C27" s="115">
        <v>39073</v>
      </c>
      <c r="D27" s="126" t="s">
        <v>66</v>
      </c>
      <c r="E27" s="126" t="s">
        <v>66</v>
      </c>
      <c r="F27" s="248">
        <v>7453.5</v>
      </c>
      <c r="G27" s="194">
        <v>1317</v>
      </c>
    </row>
    <row r="28" spans="1:7" ht="15">
      <c r="A28" s="191">
        <v>25</v>
      </c>
      <c r="B28" s="146" t="s">
        <v>116</v>
      </c>
      <c r="C28" s="149">
        <v>39073</v>
      </c>
      <c r="D28" s="272" t="s">
        <v>66</v>
      </c>
      <c r="E28" s="271" t="s">
        <v>66</v>
      </c>
      <c r="F28" s="254">
        <v>7141.5</v>
      </c>
      <c r="G28" s="155">
        <v>1184</v>
      </c>
    </row>
    <row r="29" spans="1:7" ht="15">
      <c r="A29" s="188">
        <v>26</v>
      </c>
      <c r="B29" s="245" t="s">
        <v>116</v>
      </c>
      <c r="C29" s="115">
        <v>39073</v>
      </c>
      <c r="D29" s="126" t="s">
        <v>58</v>
      </c>
      <c r="E29" s="126" t="s">
        <v>66</v>
      </c>
      <c r="F29" s="252">
        <v>4621</v>
      </c>
      <c r="G29" s="157">
        <v>1001</v>
      </c>
    </row>
    <row r="30" spans="1:7" ht="15">
      <c r="A30" s="191">
        <v>27</v>
      </c>
      <c r="B30" s="281" t="s">
        <v>116</v>
      </c>
      <c r="C30" s="149">
        <v>39073</v>
      </c>
      <c r="D30" s="272" t="s">
        <v>66</v>
      </c>
      <c r="E30" s="272" t="s">
        <v>66</v>
      </c>
      <c r="F30" s="254">
        <v>2945</v>
      </c>
      <c r="G30" s="155">
        <v>655</v>
      </c>
    </row>
    <row r="31" spans="1:7" ht="15">
      <c r="A31" s="191">
        <v>28</v>
      </c>
      <c r="B31" s="147" t="s">
        <v>116</v>
      </c>
      <c r="C31" s="115">
        <v>39073</v>
      </c>
      <c r="D31" s="280" t="s">
        <v>58</v>
      </c>
      <c r="E31" s="280" t="s">
        <v>66</v>
      </c>
      <c r="F31" s="248">
        <v>2772.5</v>
      </c>
      <c r="G31" s="194">
        <v>553</v>
      </c>
    </row>
    <row r="32" spans="1:7" ht="15">
      <c r="A32" s="188">
        <v>29</v>
      </c>
      <c r="B32" s="245" t="s">
        <v>116</v>
      </c>
      <c r="C32" s="115">
        <v>39073</v>
      </c>
      <c r="D32" s="126" t="s">
        <v>58</v>
      </c>
      <c r="E32" s="126" t="s">
        <v>66</v>
      </c>
      <c r="F32" s="248">
        <v>431</v>
      </c>
      <c r="G32" s="194">
        <v>131</v>
      </c>
    </row>
    <row r="33" spans="1:7" ht="15">
      <c r="A33" s="191">
        <v>30</v>
      </c>
      <c r="B33" s="245" t="s">
        <v>116</v>
      </c>
      <c r="C33" s="115">
        <v>39073</v>
      </c>
      <c r="D33" s="126" t="s">
        <v>12</v>
      </c>
      <c r="E33" s="126" t="s">
        <v>66</v>
      </c>
      <c r="F33" s="248">
        <v>30</v>
      </c>
      <c r="G33" s="194">
        <v>5</v>
      </c>
    </row>
    <row r="34" spans="1:7" ht="15">
      <c r="A34" s="191">
        <v>31</v>
      </c>
      <c r="B34" s="246" t="s">
        <v>334</v>
      </c>
      <c r="C34" s="115">
        <v>38170</v>
      </c>
      <c r="D34" s="318" t="s">
        <v>23</v>
      </c>
      <c r="E34" s="318" t="s">
        <v>199</v>
      </c>
      <c r="F34" s="248">
        <v>476</v>
      </c>
      <c r="G34" s="194">
        <v>119</v>
      </c>
    </row>
    <row r="35" spans="1:7" ht="15">
      <c r="A35" s="188">
        <v>32</v>
      </c>
      <c r="B35" s="245" t="s">
        <v>249</v>
      </c>
      <c r="C35" s="115">
        <v>38674</v>
      </c>
      <c r="D35" s="126" t="s">
        <v>58</v>
      </c>
      <c r="E35" s="126" t="s">
        <v>299</v>
      </c>
      <c r="F35" s="248">
        <v>5035</v>
      </c>
      <c r="G35" s="194">
        <v>1007</v>
      </c>
    </row>
    <row r="36" spans="1:7" ht="15">
      <c r="A36" s="191">
        <v>33</v>
      </c>
      <c r="B36" s="333" t="s">
        <v>249</v>
      </c>
      <c r="C36" s="115">
        <v>38674</v>
      </c>
      <c r="D36" s="175" t="s">
        <v>58</v>
      </c>
      <c r="E36" s="175" t="s">
        <v>299</v>
      </c>
      <c r="F36" s="248">
        <v>4027.5</v>
      </c>
      <c r="G36" s="194">
        <v>806</v>
      </c>
    </row>
    <row r="37" spans="1:7" ht="15">
      <c r="A37" s="191">
        <v>34</v>
      </c>
      <c r="B37" s="147" t="s">
        <v>249</v>
      </c>
      <c r="C37" s="115">
        <v>38674</v>
      </c>
      <c r="D37" s="280" t="s">
        <v>58</v>
      </c>
      <c r="E37" s="280" t="s">
        <v>250</v>
      </c>
      <c r="F37" s="248">
        <v>493</v>
      </c>
      <c r="G37" s="194">
        <v>96</v>
      </c>
    </row>
    <row r="38" spans="1:7" ht="15">
      <c r="A38" s="188">
        <v>35</v>
      </c>
      <c r="B38" s="147" t="s">
        <v>35</v>
      </c>
      <c r="C38" s="149">
        <v>39031</v>
      </c>
      <c r="D38" s="272" t="s">
        <v>57</v>
      </c>
      <c r="E38" s="272" t="s">
        <v>71</v>
      </c>
      <c r="F38" s="254">
        <v>175616</v>
      </c>
      <c r="G38" s="155">
        <v>19998</v>
      </c>
    </row>
    <row r="39" spans="1:7" ht="15">
      <c r="A39" s="191">
        <v>36</v>
      </c>
      <c r="B39" s="245" t="s">
        <v>35</v>
      </c>
      <c r="C39" s="115">
        <v>39031</v>
      </c>
      <c r="D39" s="126" t="s">
        <v>57</v>
      </c>
      <c r="E39" s="126" t="s">
        <v>71</v>
      </c>
      <c r="F39" s="248">
        <v>20934</v>
      </c>
      <c r="G39" s="194">
        <v>2628</v>
      </c>
    </row>
    <row r="40" spans="1:7" ht="15">
      <c r="A40" s="191">
        <v>37</v>
      </c>
      <c r="B40" s="245" t="s">
        <v>35</v>
      </c>
      <c r="C40" s="115">
        <v>39031</v>
      </c>
      <c r="D40" s="126" t="s">
        <v>57</v>
      </c>
      <c r="E40" s="126" t="s">
        <v>71</v>
      </c>
      <c r="F40" s="248">
        <v>2709</v>
      </c>
      <c r="G40" s="194">
        <v>376</v>
      </c>
    </row>
    <row r="41" spans="1:7" ht="15">
      <c r="A41" s="188">
        <v>38</v>
      </c>
      <c r="B41" s="146" t="s">
        <v>35</v>
      </c>
      <c r="C41" s="149">
        <v>39031</v>
      </c>
      <c r="D41" s="126" t="s">
        <v>57</v>
      </c>
      <c r="E41" s="144" t="s">
        <v>71</v>
      </c>
      <c r="F41" s="254">
        <v>2367</v>
      </c>
      <c r="G41" s="155">
        <v>702</v>
      </c>
    </row>
    <row r="42" spans="1:7" ht="15">
      <c r="A42" s="191">
        <v>39</v>
      </c>
      <c r="B42" s="245" t="s">
        <v>35</v>
      </c>
      <c r="C42" s="115">
        <v>39031</v>
      </c>
      <c r="D42" s="126" t="s">
        <v>57</v>
      </c>
      <c r="E42" s="126" t="s">
        <v>71</v>
      </c>
      <c r="F42" s="248">
        <v>1427</v>
      </c>
      <c r="G42" s="194">
        <v>281</v>
      </c>
    </row>
    <row r="43" spans="1:7" ht="15">
      <c r="A43" s="191">
        <v>40</v>
      </c>
      <c r="B43" s="147" t="s">
        <v>35</v>
      </c>
      <c r="C43" s="115">
        <v>39031</v>
      </c>
      <c r="D43" s="126" t="s">
        <v>57</v>
      </c>
      <c r="E43" s="126" t="s">
        <v>71</v>
      </c>
      <c r="F43" s="248">
        <v>1155</v>
      </c>
      <c r="G43" s="194">
        <v>350</v>
      </c>
    </row>
    <row r="44" spans="1:7" ht="15">
      <c r="A44" s="188">
        <v>41</v>
      </c>
      <c r="B44" s="179" t="s">
        <v>35</v>
      </c>
      <c r="C44" s="115">
        <v>39031</v>
      </c>
      <c r="D44" s="175" t="s">
        <v>57</v>
      </c>
      <c r="E44" s="175" t="s">
        <v>71</v>
      </c>
      <c r="F44" s="248">
        <v>1155</v>
      </c>
      <c r="G44" s="194">
        <v>350</v>
      </c>
    </row>
    <row r="45" spans="1:7" ht="15">
      <c r="A45" s="191">
        <v>42</v>
      </c>
      <c r="B45" s="333" t="s">
        <v>35</v>
      </c>
      <c r="C45" s="115">
        <v>39031</v>
      </c>
      <c r="D45" s="175" t="s">
        <v>57</v>
      </c>
      <c r="E45" s="175" t="s">
        <v>71</v>
      </c>
      <c r="F45" s="248">
        <v>740</v>
      </c>
      <c r="G45" s="194">
        <v>282</v>
      </c>
    </row>
    <row r="46" spans="1:7" ht="15">
      <c r="A46" s="191">
        <v>43</v>
      </c>
      <c r="B46" s="245" t="s">
        <v>35</v>
      </c>
      <c r="C46" s="115">
        <v>39031</v>
      </c>
      <c r="D46" s="126" t="s">
        <v>57</v>
      </c>
      <c r="E46" s="126" t="s">
        <v>71</v>
      </c>
      <c r="F46" s="252">
        <v>704</v>
      </c>
      <c r="G46" s="194">
        <v>91</v>
      </c>
    </row>
    <row r="47" spans="1:7" ht="15">
      <c r="A47" s="188">
        <v>44</v>
      </c>
      <c r="B47" s="330" t="s">
        <v>35</v>
      </c>
      <c r="C47" s="324">
        <v>39031</v>
      </c>
      <c r="D47" s="323" t="s">
        <v>57</v>
      </c>
      <c r="E47" s="323" t="s">
        <v>71</v>
      </c>
      <c r="F47" s="335">
        <v>661</v>
      </c>
      <c r="G47" s="337">
        <v>238</v>
      </c>
    </row>
    <row r="48" spans="1:7" ht="15">
      <c r="A48" s="191">
        <v>45</v>
      </c>
      <c r="B48" s="246" t="s">
        <v>35</v>
      </c>
      <c r="C48" s="115">
        <v>39031</v>
      </c>
      <c r="D48" s="318" t="s">
        <v>57</v>
      </c>
      <c r="E48" s="318" t="s">
        <v>71</v>
      </c>
      <c r="F48" s="248">
        <v>646</v>
      </c>
      <c r="G48" s="194">
        <v>53</v>
      </c>
    </row>
    <row r="49" spans="1:7" ht="15">
      <c r="A49" s="191">
        <v>46</v>
      </c>
      <c r="B49" s="147" t="s">
        <v>218</v>
      </c>
      <c r="C49" s="115">
        <v>38779</v>
      </c>
      <c r="D49" s="126" t="s">
        <v>57</v>
      </c>
      <c r="E49" s="126" t="s">
        <v>60</v>
      </c>
      <c r="F49" s="248">
        <v>1156</v>
      </c>
      <c r="G49" s="194">
        <v>350</v>
      </c>
    </row>
    <row r="50" spans="1:7" ht="15">
      <c r="A50" s="188">
        <v>47</v>
      </c>
      <c r="B50" s="146" t="s">
        <v>92</v>
      </c>
      <c r="C50" s="149">
        <v>39010</v>
      </c>
      <c r="D50" s="126" t="s">
        <v>57</v>
      </c>
      <c r="E50" s="144" t="s">
        <v>65</v>
      </c>
      <c r="F50" s="254">
        <v>5487</v>
      </c>
      <c r="G50" s="155">
        <v>1043</v>
      </c>
    </row>
    <row r="51" spans="1:7" ht="15">
      <c r="A51" s="191">
        <v>48</v>
      </c>
      <c r="B51" s="179" t="s">
        <v>92</v>
      </c>
      <c r="C51" s="115">
        <v>39010</v>
      </c>
      <c r="D51" s="175" t="s">
        <v>57</v>
      </c>
      <c r="E51" s="175" t="s">
        <v>65</v>
      </c>
      <c r="F51" s="248">
        <v>3402</v>
      </c>
      <c r="G51" s="194">
        <v>724</v>
      </c>
    </row>
    <row r="52" spans="1:7" ht="15">
      <c r="A52" s="191">
        <v>49</v>
      </c>
      <c r="B52" s="147" t="s">
        <v>92</v>
      </c>
      <c r="C52" s="115">
        <v>39010</v>
      </c>
      <c r="D52" s="126" t="s">
        <v>57</v>
      </c>
      <c r="E52" s="126" t="s">
        <v>65</v>
      </c>
      <c r="F52" s="248">
        <v>2468</v>
      </c>
      <c r="G52" s="194">
        <v>1189</v>
      </c>
    </row>
    <row r="53" spans="1:7" ht="15">
      <c r="A53" s="188">
        <v>50</v>
      </c>
      <c r="B53" s="245" t="s">
        <v>92</v>
      </c>
      <c r="C53" s="115">
        <v>39010</v>
      </c>
      <c r="D53" s="126" t="s">
        <v>57</v>
      </c>
      <c r="E53" s="126" t="s">
        <v>65</v>
      </c>
      <c r="F53" s="252">
        <v>2375</v>
      </c>
      <c r="G53" s="194">
        <v>705</v>
      </c>
    </row>
    <row r="54" spans="1:7" ht="15">
      <c r="A54" s="191">
        <v>51</v>
      </c>
      <c r="B54" s="330" t="s">
        <v>92</v>
      </c>
      <c r="C54" s="324">
        <v>39010</v>
      </c>
      <c r="D54" s="323" t="s">
        <v>57</v>
      </c>
      <c r="E54" s="323" t="s">
        <v>65</v>
      </c>
      <c r="F54" s="335">
        <v>400</v>
      </c>
      <c r="G54" s="337">
        <v>20</v>
      </c>
    </row>
    <row r="55" spans="1:7" ht="15">
      <c r="A55" s="191">
        <v>52</v>
      </c>
      <c r="B55" s="245" t="s">
        <v>92</v>
      </c>
      <c r="C55" s="115">
        <v>39010</v>
      </c>
      <c r="D55" s="126" t="s">
        <v>57</v>
      </c>
      <c r="E55" s="126" t="s">
        <v>65</v>
      </c>
      <c r="F55" s="248">
        <v>238</v>
      </c>
      <c r="G55" s="194">
        <v>46</v>
      </c>
    </row>
    <row r="56" spans="1:7" ht="15">
      <c r="A56" s="188">
        <v>53</v>
      </c>
      <c r="B56" s="333" t="s">
        <v>269</v>
      </c>
      <c r="C56" s="115">
        <v>38989</v>
      </c>
      <c r="D56" s="175" t="s">
        <v>58</v>
      </c>
      <c r="E56" s="175" t="s">
        <v>270</v>
      </c>
      <c r="F56" s="248">
        <v>1782</v>
      </c>
      <c r="G56" s="194">
        <v>446</v>
      </c>
    </row>
    <row r="57" spans="1:7" ht="15">
      <c r="A57" s="191">
        <v>54</v>
      </c>
      <c r="B57" s="281" t="s">
        <v>269</v>
      </c>
      <c r="C57" s="149">
        <v>38989</v>
      </c>
      <c r="D57" s="272" t="s">
        <v>58</v>
      </c>
      <c r="E57" s="272" t="s">
        <v>270</v>
      </c>
      <c r="F57" s="254">
        <v>1511</v>
      </c>
      <c r="G57" s="155">
        <v>303</v>
      </c>
    </row>
    <row r="58" spans="1:7" ht="15">
      <c r="A58" s="191">
        <v>55</v>
      </c>
      <c r="B58" s="333" t="s">
        <v>189</v>
      </c>
      <c r="C58" s="115">
        <v>38905</v>
      </c>
      <c r="D58" s="175" t="s">
        <v>23</v>
      </c>
      <c r="E58" s="175" t="s">
        <v>190</v>
      </c>
      <c r="F58" s="248">
        <v>1188</v>
      </c>
      <c r="G58" s="194">
        <v>297</v>
      </c>
    </row>
    <row r="59" spans="1:7" ht="15">
      <c r="A59" s="188">
        <v>56</v>
      </c>
      <c r="B59" s="246" t="s">
        <v>189</v>
      </c>
      <c r="C59" s="115">
        <v>38905</v>
      </c>
      <c r="D59" s="130" t="s">
        <v>23</v>
      </c>
      <c r="E59" s="129" t="s">
        <v>190</v>
      </c>
      <c r="F59" s="248">
        <v>262.4</v>
      </c>
      <c r="G59" s="194">
        <v>164</v>
      </c>
    </row>
    <row r="60" spans="1:7" ht="15">
      <c r="A60" s="191">
        <v>57</v>
      </c>
      <c r="B60" s="146" t="s">
        <v>80</v>
      </c>
      <c r="C60" s="149">
        <v>39052</v>
      </c>
      <c r="D60" s="144" t="s">
        <v>58</v>
      </c>
      <c r="E60" s="144" t="s">
        <v>59</v>
      </c>
      <c r="F60" s="254">
        <v>2938</v>
      </c>
      <c r="G60" s="155">
        <v>448</v>
      </c>
    </row>
    <row r="61" spans="1:7" ht="15">
      <c r="A61" s="191">
        <v>58</v>
      </c>
      <c r="B61" s="147" t="s">
        <v>80</v>
      </c>
      <c r="C61" s="115">
        <v>39052</v>
      </c>
      <c r="D61" s="126" t="s">
        <v>58</v>
      </c>
      <c r="E61" s="126" t="s">
        <v>59</v>
      </c>
      <c r="F61" s="248">
        <v>2306</v>
      </c>
      <c r="G61" s="194">
        <v>733</v>
      </c>
    </row>
    <row r="62" spans="1:7" ht="15">
      <c r="A62" s="188">
        <v>59</v>
      </c>
      <c r="B62" s="179" t="s">
        <v>80</v>
      </c>
      <c r="C62" s="115">
        <v>39052</v>
      </c>
      <c r="D62" s="175" t="s">
        <v>58</v>
      </c>
      <c r="E62" s="175" t="s">
        <v>59</v>
      </c>
      <c r="F62" s="248">
        <v>1587.5</v>
      </c>
      <c r="G62" s="194">
        <v>252</v>
      </c>
    </row>
    <row r="63" spans="1:7" ht="15">
      <c r="A63" s="191">
        <v>60</v>
      </c>
      <c r="B63" s="148" t="s">
        <v>117</v>
      </c>
      <c r="C63" s="115">
        <v>39073</v>
      </c>
      <c r="D63" s="130" t="s">
        <v>23</v>
      </c>
      <c r="E63" s="129" t="s">
        <v>98</v>
      </c>
      <c r="F63" s="252">
        <v>2937</v>
      </c>
      <c r="G63" s="157">
        <v>367</v>
      </c>
    </row>
    <row r="64" spans="1:7" ht="15">
      <c r="A64" s="191">
        <v>61</v>
      </c>
      <c r="B64" s="148" t="s">
        <v>117</v>
      </c>
      <c r="C64" s="115">
        <v>39073</v>
      </c>
      <c r="D64" s="274" t="s">
        <v>23</v>
      </c>
      <c r="E64" s="275" t="s">
        <v>98</v>
      </c>
      <c r="F64" s="248">
        <v>1780</v>
      </c>
      <c r="G64" s="194">
        <v>445</v>
      </c>
    </row>
    <row r="65" spans="1:7" ht="15">
      <c r="A65" s="188">
        <v>62</v>
      </c>
      <c r="B65" s="246" t="s">
        <v>117</v>
      </c>
      <c r="C65" s="115">
        <v>39073</v>
      </c>
      <c r="D65" s="274" t="s">
        <v>23</v>
      </c>
      <c r="E65" s="275" t="s">
        <v>98</v>
      </c>
      <c r="F65" s="252">
        <v>1780</v>
      </c>
      <c r="G65" s="157">
        <v>445</v>
      </c>
    </row>
    <row r="66" spans="1:7" ht="15">
      <c r="A66" s="191">
        <v>63</v>
      </c>
      <c r="B66" s="148" t="s">
        <v>117</v>
      </c>
      <c r="C66" s="115">
        <v>39073</v>
      </c>
      <c r="D66" s="274" t="s">
        <v>23</v>
      </c>
      <c r="E66" s="275" t="s">
        <v>98</v>
      </c>
      <c r="F66" s="252">
        <v>1015</v>
      </c>
      <c r="G66" s="157">
        <v>135</v>
      </c>
    </row>
    <row r="67" spans="1:7" ht="15">
      <c r="A67" s="191">
        <v>64</v>
      </c>
      <c r="B67" s="179" t="s">
        <v>117</v>
      </c>
      <c r="C67" s="115">
        <v>39073</v>
      </c>
      <c r="D67" s="175" t="s">
        <v>23</v>
      </c>
      <c r="E67" s="175" t="s">
        <v>98</v>
      </c>
      <c r="F67" s="248">
        <v>796</v>
      </c>
      <c r="G67" s="194">
        <v>81</v>
      </c>
    </row>
    <row r="68" spans="1:7" ht="15">
      <c r="A68" s="188">
        <v>65</v>
      </c>
      <c r="B68" s="246" t="s">
        <v>117</v>
      </c>
      <c r="C68" s="115">
        <v>39073</v>
      </c>
      <c r="D68" s="130" t="s">
        <v>23</v>
      </c>
      <c r="E68" s="129" t="s">
        <v>98</v>
      </c>
      <c r="F68" s="248">
        <v>464</v>
      </c>
      <c r="G68" s="194">
        <v>63</v>
      </c>
    </row>
    <row r="69" spans="1:7" ht="15">
      <c r="A69" s="191">
        <v>66</v>
      </c>
      <c r="B69" s="333" t="s">
        <v>117</v>
      </c>
      <c r="C69" s="115">
        <v>39073</v>
      </c>
      <c r="D69" s="175" t="s">
        <v>23</v>
      </c>
      <c r="E69" s="175" t="s">
        <v>98</v>
      </c>
      <c r="F69" s="248">
        <v>233</v>
      </c>
      <c r="G69" s="194">
        <v>49</v>
      </c>
    </row>
    <row r="70" spans="1:7" ht="15">
      <c r="A70" s="191">
        <v>67</v>
      </c>
      <c r="B70" s="148" t="s">
        <v>117</v>
      </c>
      <c r="C70" s="115">
        <v>39073</v>
      </c>
      <c r="D70" s="130" t="s">
        <v>23</v>
      </c>
      <c r="E70" s="129" t="s">
        <v>98</v>
      </c>
      <c r="F70" s="248">
        <v>64</v>
      </c>
      <c r="G70" s="194">
        <v>7</v>
      </c>
    </row>
    <row r="71" spans="1:7" ht="15">
      <c r="A71" s="188">
        <v>68</v>
      </c>
      <c r="B71" s="246" t="s">
        <v>117</v>
      </c>
      <c r="C71" s="115">
        <v>39073</v>
      </c>
      <c r="D71" s="130" t="s">
        <v>23</v>
      </c>
      <c r="E71" s="129" t="s">
        <v>98</v>
      </c>
      <c r="F71" s="252">
        <v>30</v>
      </c>
      <c r="G71" s="157">
        <v>12</v>
      </c>
    </row>
    <row r="72" spans="1:7" ht="15">
      <c r="A72" s="191">
        <v>69</v>
      </c>
      <c r="B72" s="333" t="s">
        <v>191</v>
      </c>
      <c r="C72" s="115">
        <v>38870</v>
      </c>
      <c r="D72" s="175" t="s">
        <v>23</v>
      </c>
      <c r="E72" s="175" t="s">
        <v>192</v>
      </c>
      <c r="F72" s="248">
        <v>538.5</v>
      </c>
      <c r="G72" s="194">
        <v>150</v>
      </c>
    </row>
    <row r="73" spans="1:7" ht="15">
      <c r="A73" s="191">
        <v>70</v>
      </c>
      <c r="B73" s="246" t="s">
        <v>191</v>
      </c>
      <c r="C73" s="115">
        <v>38870</v>
      </c>
      <c r="D73" s="130" t="s">
        <v>23</v>
      </c>
      <c r="E73" s="129" t="s">
        <v>192</v>
      </c>
      <c r="F73" s="248">
        <v>204</v>
      </c>
      <c r="G73" s="194">
        <v>40</v>
      </c>
    </row>
    <row r="74" spans="1:7" ht="15">
      <c r="A74" s="188">
        <v>71</v>
      </c>
      <c r="B74" s="333" t="s">
        <v>191</v>
      </c>
      <c r="C74" s="115">
        <v>38870</v>
      </c>
      <c r="D74" s="175" t="s">
        <v>23</v>
      </c>
      <c r="E74" s="175" t="s">
        <v>192</v>
      </c>
      <c r="F74" s="248">
        <v>41</v>
      </c>
      <c r="G74" s="194">
        <v>16</v>
      </c>
    </row>
    <row r="75" spans="1:7" ht="15">
      <c r="A75" s="191">
        <v>72</v>
      </c>
      <c r="B75" s="147" t="s">
        <v>26</v>
      </c>
      <c r="C75" s="115">
        <v>38975</v>
      </c>
      <c r="D75" s="126" t="s">
        <v>57</v>
      </c>
      <c r="E75" s="126" t="s">
        <v>60</v>
      </c>
      <c r="F75" s="248">
        <v>7149</v>
      </c>
      <c r="G75" s="194">
        <v>1229</v>
      </c>
    </row>
    <row r="76" spans="1:7" ht="15">
      <c r="A76" s="191">
        <v>73</v>
      </c>
      <c r="B76" s="245" t="s">
        <v>26</v>
      </c>
      <c r="C76" s="115">
        <v>38975</v>
      </c>
      <c r="D76" s="126" t="s">
        <v>57</v>
      </c>
      <c r="E76" s="126" t="s">
        <v>60</v>
      </c>
      <c r="F76" s="252">
        <v>2635</v>
      </c>
      <c r="G76" s="194">
        <v>667</v>
      </c>
    </row>
    <row r="77" spans="1:7" ht="15">
      <c r="A77" s="188">
        <v>74</v>
      </c>
      <c r="B77" s="146" t="s">
        <v>26</v>
      </c>
      <c r="C77" s="149">
        <v>38975</v>
      </c>
      <c r="D77" s="126" t="s">
        <v>57</v>
      </c>
      <c r="E77" s="144" t="s">
        <v>60</v>
      </c>
      <c r="F77" s="254">
        <v>2120</v>
      </c>
      <c r="G77" s="155">
        <v>369</v>
      </c>
    </row>
    <row r="78" spans="1:7" ht="15">
      <c r="A78" s="191">
        <v>75</v>
      </c>
      <c r="B78" s="146" t="s">
        <v>26</v>
      </c>
      <c r="C78" s="149">
        <v>38975</v>
      </c>
      <c r="D78" s="272" t="s">
        <v>57</v>
      </c>
      <c r="E78" s="272" t="s">
        <v>60</v>
      </c>
      <c r="F78" s="254">
        <v>2115</v>
      </c>
      <c r="G78" s="155">
        <v>582</v>
      </c>
    </row>
    <row r="79" spans="1:7" ht="15">
      <c r="A79" s="191">
        <v>76</v>
      </c>
      <c r="B79" s="179" t="s">
        <v>26</v>
      </c>
      <c r="C79" s="115">
        <v>38975</v>
      </c>
      <c r="D79" s="175" t="s">
        <v>57</v>
      </c>
      <c r="E79" s="175" t="s">
        <v>60</v>
      </c>
      <c r="F79" s="248">
        <v>887</v>
      </c>
      <c r="G79" s="194">
        <v>160</v>
      </c>
    </row>
    <row r="80" spans="1:7" ht="15">
      <c r="A80" s="188">
        <v>77</v>
      </c>
      <c r="B80" s="147" t="s">
        <v>26</v>
      </c>
      <c r="C80" s="115">
        <v>38975</v>
      </c>
      <c r="D80" s="126" t="s">
        <v>57</v>
      </c>
      <c r="E80" s="126" t="s">
        <v>60</v>
      </c>
      <c r="F80" s="248">
        <v>284</v>
      </c>
      <c r="G80" s="194">
        <v>47</v>
      </c>
    </row>
    <row r="81" spans="1:7" ht="15">
      <c r="A81" s="191">
        <v>78</v>
      </c>
      <c r="B81" s="245" t="s">
        <v>26</v>
      </c>
      <c r="C81" s="115">
        <v>38975</v>
      </c>
      <c r="D81" s="126" t="s">
        <v>57</v>
      </c>
      <c r="E81" s="126" t="s">
        <v>60</v>
      </c>
      <c r="F81" s="248">
        <v>247</v>
      </c>
      <c r="G81" s="194">
        <v>41</v>
      </c>
    </row>
    <row r="82" spans="1:7" ht="15">
      <c r="A82" s="191">
        <v>79</v>
      </c>
      <c r="B82" s="145" t="s">
        <v>41</v>
      </c>
      <c r="C82" s="114">
        <v>39038</v>
      </c>
      <c r="D82" s="125" t="s">
        <v>56</v>
      </c>
      <c r="E82" s="124" t="s">
        <v>61</v>
      </c>
      <c r="F82" s="253">
        <v>7970</v>
      </c>
      <c r="G82" s="154">
        <v>1455</v>
      </c>
    </row>
    <row r="83" spans="1:7" ht="15">
      <c r="A83" s="188">
        <v>80</v>
      </c>
      <c r="B83" s="244" t="s">
        <v>41</v>
      </c>
      <c r="C83" s="114">
        <v>39038</v>
      </c>
      <c r="D83" s="125" t="s">
        <v>56</v>
      </c>
      <c r="E83" s="124" t="s">
        <v>61</v>
      </c>
      <c r="F83" s="249">
        <v>6458</v>
      </c>
      <c r="G83" s="193">
        <v>1814</v>
      </c>
    </row>
    <row r="84" spans="1:7" ht="15">
      <c r="A84" s="191">
        <v>81</v>
      </c>
      <c r="B84" s="178" t="s">
        <v>41</v>
      </c>
      <c r="C84" s="114">
        <v>39038</v>
      </c>
      <c r="D84" s="176" t="s">
        <v>56</v>
      </c>
      <c r="E84" s="176" t="s">
        <v>61</v>
      </c>
      <c r="F84" s="249">
        <v>2372</v>
      </c>
      <c r="G84" s="193">
        <v>338</v>
      </c>
    </row>
    <row r="85" spans="1:7" ht="15">
      <c r="A85" s="191">
        <v>82</v>
      </c>
      <c r="B85" s="145" t="s">
        <v>41</v>
      </c>
      <c r="C85" s="114">
        <v>39038</v>
      </c>
      <c r="D85" s="125" t="s">
        <v>56</v>
      </c>
      <c r="E85" s="124" t="s">
        <v>61</v>
      </c>
      <c r="F85" s="249">
        <v>1812</v>
      </c>
      <c r="G85" s="193">
        <v>360</v>
      </c>
    </row>
    <row r="86" spans="1:7" ht="15">
      <c r="A86" s="188">
        <v>83</v>
      </c>
      <c r="B86" s="244" t="s">
        <v>41</v>
      </c>
      <c r="C86" s="114">
        <v>39038</v>
      </c>
      <c r="D86" s="125" t="s">
        <v>56</v>
      </c>
      <c r="E86" s="124" t="s">
        <v>61</v>
      </c>
      <c r="F86" s="249">
        <v>986</v>
      </c>
      <c r="G86" s="193">
        <v>181</v>
      </c>
    </row>
    <row r="87" spans="1:7" ht="15">
      <c r="A87" s="191">
        <v>84</v>
      </c>
      <c r="B87" s="244" t="s">
        <v>41</v>
      </c>
      <c r="C87" s="114">
        <v>39038</v>
      </c>
      <c r="D87" s="270" t="s">
        <v>56</v>
      </c>
      <c r="E87" s="271" t="s">
        <v>61</v>
      </c>
      <c r="F87" s="253">
        <v>523</v>
      </c>
      <c r="G87" s="154">
        <v>69</v>
      </c>
    </row>
    <row r="88" spans="1:7" ht="15">
      <c r="A88" s="191">
        <v>85</v>
      </c>
      <c r="B88" s="145" t="s">
        <v>41</v>
      </c>
      <c r="C88" s="114">
        <v>39038</v>
      </c>
      <c r="D88" s="125" t="s">
        <v>56</v>
      </c>
      <c r="E88" s="124" t="s">
        <v>61</v>
      </c>
      <c r="F88" s="249">
        <v>406</v>
      </c>
      <c r="G88" s="193">
        <v>59</v>
      </c>
    </row>
    <row r="89" spans="1:7" ht="15">
      <c r="A89" s="188">
        <v>86</v>
      </c>
      <c r="B89" s="244" t="s">
        <v>41</v>
      </c>
      <c r="C89" s="114">
        <v>39038</v>
      </c>
      <c r="D89" s="125" t="s">
        <v>56</v>
      </c>
      <c r="E89" s="124" t="s">
        <v>61</v>
      </c>
      <c r="F89" s="253">
        <v>362</v>
      </c>
      <c r="G89" s="193">
        <v>51</v>
      </c>
    </row>
    <row r="90" spans="1:7" ht="15">
      <c r="A90" s="191">
        <v>87</v>
      </c>
      <c r="B90" s="145" t="s">
        <v>41</v>
      </c>
      <c r="C90" s="114">
        <v>39038</v>
      </c>
      <c r="D90" s="270" t="s">
        <v>56</v>
      </c>
      <c r="E90" s="271" t="s">
        <v>61</v>
      </c>
      <c r="F90" s="249">
        <v>237</v>
      </c>
      <c r="G90" s="193">
        <v>32</v>
      </c>
    </row>
    <row r="91" spans="1:7" ht="15">
      <c r="A91" s="191">
        <v>88</v>
      </c>
      <c r="B91" s="145" t="s">
        <v>41</v>
      </c>
      <c r="C91" s="114">
        <v>39038</v>
      </c>
      <c r="D91" s="270" t="s">
        <v>56</v>
      </c>
      <c r="E91" s="271" t="s">
        <v>61</v>
      </c>
      <c r="F91" s="253">
        <v>171</v>
      </c>
      <c r="G91" s="154">
        <v>23</v>
      </c>
    </row>
    <row r="92" spans="1:7" ht="15">
      <c r="A92" s="188">
        <v>89</v>
      </c>
      <c r="B92" s="245" t="s">
        <v>127</v>
      </c>
      <c r="C92" s="115">
        <v>39066</v>
      </c>
      <c r="D92" s="126" t="s">
        <v>58</v>
      </c>
      <c r="E92" s="126" t="s">
        <v>114</v>
      </c>
      <c r="F92" s="248">
        <v>4531.5</v>
      </c>
      <c r="G92" s="194">
        <v>906</v>
      </c>
    </row>
    <row r="93" spans="1:7" ht="15">
      <c r="A93" s="191">
        <v>90</v>
      </c>
      <c r="B93" s="146" t="s">
        <v>127</v>
      </c>
      <c r="C93" s="149">
        <v>39066</v>
      </c>
      <c r="D93" s="144" t="s">
        <v>58</v>
      </c>
      <c r="E93" s="144" t="s">
        <v>114</v>
      </c>
      <c r="F93" s="254">
        <v>41050.5</v>
      </c>
      <c r="G93" s="155">
        <v>5261</v>
      </c>
    </row>
    <row r="94" spans="1:7" ht="15">
      <c r="A94" s="191">
        <v>91</v>
      </c>
      <c r="B94" s="179" t="s">
        <v>127</v>
      </c>
      <c r="C94" s="115">
        <v>39066</v>
      </c>
      <c r="D94" s="175" t="s">
        <v>58</v>
      </c>
      <c r="E94" s="175" t="s">
        <v>114</v>
      </c>
      <c r="F94" s="248">
        <v>19306.5</v>
      </c>
      <c r="G94" s="194">
        <v>3088</v>
      </c>
    </row>
    <row r="95" spans="1:7" ht="15">
      <c r="A95" s="188">
        <v>92</v>
      </c>
      <c r="B95" s="147" t="s">
        <v>127</v>
      </c>
      <c r="C95" s="115">
        <v>39066</v>
      </c>
      <c r="D95" s="126" t="s">
        <v>58</v>
      </c>
      <c r="E95" s="126" t="s">
        <v>114</v>
      </c>
      <c r="F95" s="248">
        <v>6896.5</v>
      </c>
      <c r="G95" s="194">
        <v>1472</v>
      </c>
    </row>
    <row r="96" spans="1:7" ht="15">
      <c r="A96" s="191">
        <v>93</v>
      </c>
      <c r="B96" s="146" t="s">
        <v>127</v>
      </c>
      <c r="C96" s="149">
        <v>39066</v>
      </c>
      <c r="D96" s="272" t="s">
        <v>58</v>
      </c>
      <c r="E96" s="271" t="s">
        <v>114</v>
      </c>
      <c r="F96" s="254">
        <v>5538.5</v>
      </c>
      <c r="G96" s="155">
        <v>1614</v>
      </c>
    </row>
    <row r="97" spans="1:7" ht="15">
      <c r="A97" s="191">
        <v>94</v>
      </c>
      <c r="B97" s="246" t="s">
        <v>127</v>
      </c>
      <c r="C97" s="115">
        <v>39066</v>
      </c>
      <c r="D97" s="318" t="s">
        <v>58</v>
      </c>
      <c r="E97" s="318" t="s">
        <v>114</v>
      </c>
      <c r="F97" s="248">
        <v>3021</v>
      </c>
      <c r="G97" s="194">
        <v>605</v>
      </c>
    </row>
    <row r="98" spans="1:7" ht="15">
      <c r="A98" s="188">
        <v>95</v>
      </c>
      <c r="B98" s="147" t="s">
        <v>127</v>
      </c>
      <c r="C98" s="115">
        <v>39066</v>
      </c>
      <c r="D98" s="126" t="s">
        <v>58</v>
      </c>
      <c r="E98" s="126" t="s">
        <v>114</v>
      </c>
      <c r="F98" s="248">
        <v>2843</v>
      </c>
      <c r="G98" s="194">
        <v>581</v>
      </c>
    </row>
    <row r="99" spans="1:7" ht="15">
      <c r="A99" s="191">
        <v>96</v>
      </c>
      <c r="B99" s="333" t="s">
        <v>127</v>
      </c>
      <c r="C99" s="115">
        <v>39066</v>
      </c>
      <c r="D99" s="175" t="s">
        <v>58</v>
      </c>
      <c r="E99" s="175" t="s">
        <v>114</v>
      </c>
      <c r="F99" s="248">
        <v>2376</v>
      </c>
      <c r="G99" s="194">
        <v>475</v>
      </c>
    </row>
    <row r="100" spans="1:7" ht="15">
      <c r="A100" s="191">
        <v>97</v>
      </c>
      <c r="B100" s="245" t="s">
        <v>127</v>
      </c>
      <c r="C100" s="115">
        <v>39066</v>
      </c>
      <c r="D100" s="126" t="s">
        <v>58</v>
      </c>
      <c r="E100" s="126" t="s">
        <v>114</v>
      </c>
      <c r="F100" s="252">
        <v>2025</v>
      </c>
      <c r="G100" s="194">
        <v>379</v>
      </c>
    </row>
    <row r="101" spans="1:7" ht="15">
      <c r="A101" s="188">
        <v>98</v>
      </c>
      <c r="B101" s="245" t="s">
        <v>127</v>
      </c>
      <c r="C101" s="115">
        <v>39066</v>
      </c>
      <c r="D101" s="126" t="s">
        <v>58</v>
      </c>
      <c r="E101" s="126" t="s">
        <v>114</v>
      </c>
      <c r="F101" s="248">
        <v>1781</v>
      </c>
      <c r="G101" s="194">
        <v>334</v>
      </c>
    </row>
    <row r="102" spans="1:7" ht="15">
      <c r="A102" s="191">
        <v>99</v>
      </c>
      <c r="B102" s="281" t="s">
        <v>127</v>
      </c>
      <c r="C102" s="149">
        <v>39066</v>
      </c>
      <c r="D102" s="272" t="s">
        <v>58</v>
      </c>
      <c r="E102" s="272" t="s">
        <v>114</v>
      </c>
      <c r="F102" s="254">
        <v>831</v>
      </c>
      <c r="G102" s="155">
        <v>256</v>
      </c>
    </row>
    <row r="103" spans="1:7" ht="15">
      <c r="A103" s="191">
        <v>100</v>
      </c>
      <c r="B103" s="147" t="s">
        <v>127</v>
      </c>
      <c r="C103" s="115">
        <v>39066</v>
      </c>
      <c r="D103" s="280" t="s">
        <v>58</v>
      </c>
      <c r="E103" s="280" t="s">
        <v>114</v>
      </c>
      <c r="F103" s="248">
        <v>533</v>
      </c>
      <c r="G103" s="194">
        <v>148</v>
      </c>
    </row>
    <row r="104" spans="1:7" ht="15">
      <c r="A104" s="188">
        <v>101</v>
      </c>
      <c r="B104" s="245" t="s">
        <v>127</v>
      </c>
      <c r="C104" s="115">
        <v>39066</v>
      </c>
      <c r="D104" s="126" t="s">
        <v>12</v>
      </c>
      <c r="E104" s="126" t="s">
        <v>114</v>
      </c>
      <c r="F104" s="248">
        <v>160</v>
      </c>
      <c r="G104" s="194">
        <v>32</v>
      </c>
    </row>
    <row r="105" spans="1:7" ht="15">
      <c r="A105" s="191">
        <v>102</v>
      </c>
      <c r="B105" s="146" t="s">
        <v>136</v>
      </c>
      <c r="C105" s="149">
        <v>38807</v>
      </c>
      <c r="D105" s="144" t="s">
        <v>73</v>
      </c>
      <c r="E105" s="144" t="s">
        <v>137</v>
      </c>
      <c r="F105" s="254">
        <v>1430</v>
      </c>
      <c r="G105" s="155">
        <v>286</v>
      </c>
    </row>
    <row r="106" spans="1:7" ht="15">
      <c r="A106" s="191">
        <v>103</v>
      </c>
      <c r="B106" s="147" t="s">
        <v>81</v>
      </c>
      <c r="C106" s="115">
        <v>39052</v>
      </c>
      <c r="D106" s="126" t="s">
        <v>55</v>
      </c>
      <c r="E106" s="126" t="s">
        <v>55</v>
      </c>
      <c r="F106" s="252">
        <v>6236</v>
      </c>
      <c r="G106" s="157">
        <v>855</v>
      </c>
    </row>
    <row r="107" spans="1:7" ht="15">
      <c r="A107" s="188">
        <v>104</v>
      </c>
      <c r="B107" s="147" t="s">
        <v>81</v>
      </c>
      <c r="C107" s="115">
        <v>39052</v>
      </c>
      <c r="D107" s="126" t="s">
        <v>55</v>
      </c>
      <c r="E107" s="126" t="s">
        <v>55</v>
      </c>
      <c r="F107" s="248">
        <v>2023</v>
      </c>
      <c r="G107" s="194">
        <v>433</v>
      </c>
    </row>
    <row r="108" spans="1:7" ht="15">
      <c r="A108" s="191">
        <v>105</v>
      </c>
      <c r="B108" s="179" t="s">
        <v>81</v>
      </c>
      <c r="C108" s="115">
        <v>39052</v>
      </c>
      <c r="D108" s="175" t="s">
        <v>55</v>
      </c>
      <c r="E108" s="175" t="s">
        <v>55</v>
      </c>
      <c r="F108" s="248">
        <v>1507</v>
      </c>
      <c r="G108" s="194">
        <v>276</v>
      </c>
    </row>
    <row r="109" spans="1:7" ht="15">
      <c r="A109" s="191">
        <v>106</v>
      </c>
      <c r="B109" s="333" t="s">
        <v>81</v>
      </c>
      <c r="C109" s="115">
        <v>39052</v>
      </c>
      <c r="D109" s="175" t="s">
        <v>55</v>
      </c>
      <c r="E109" s="175" t="s">
        <v>63</v>
      </c>
      <c r="F109" s="248">
        <v>1141</v>
      </c>
      <c r="G109" s="194">
        <v>202</v>
      </c>
    </row>
    <row r="110" spans="1:7" ht="15">
      <c r="A110" s="188">
        <v>107</v>
      </c>
      <c r="B110" s="245" t="s">
        <v>81</v>
      </c>
      <c r="C110" s="115">
        <v>39052</v>
      </c>
      <c r="D110" s="126" t="s">
        <v>55</v>
      </c>
      <c r="E110" s="126" t="s">
        <v>63</v>
      </c>
      <c r="F110" s="248">
        <v>287</v>
      </c>
      <c r="G110" s="194">
        <v>70</v>
      </c>
    </row>
    <row r="111" spans="1:7" ht="15">
      <c r="A111" s="191">
        <v>108</v>
      </c>
      <c r="B111" s="333" t="s">
        <v>81</v>
      </c>
      <c r="C111" s="115">
        <v>39052</v>
      </c>
      <c r="D111" s="175" t="s">
        <v>55</v>
      </c>
      <c r="E111" s="175" t="s">
        <v>63</v>
      </c>
      <c r="F111" s="248">
        <v>82</v>
      </c>
      <c r="G111" s="194">
        <v>20</v>
      </c>
    </row>
    <row r="112" spans="1:7" ht="15">
      <c r="A112" s="191">
        <v>109</v>
      </c>
      <c r="B112" s="145" t="s">
        <v>173</v>
      </c>
      <c r="C112" s="114">
        <v>38982</v>
      </c>
      <c r="D112" s="125" t="s">
        <v>56</v>
      </c>
      <c r="E112" s="124" t="s">
        <v>61</v>
      </c>
      <c r="F112" s="249">
        <v>880</v>
      </c>
      <c r="G112" s="193">
        <v>165</v>
      </c>
    </row>
    <row r="113" spans="1:7" ht="15">
      <c r="A113" s="188">
        <v>110</v>
      </c>
      <c r="B113" s="244" t="s">
        <v>173</v>
      </c>
      <c r="C113" s="114">
        <v>38982</v>
      </c>
      <c r="D113" s="125" t="s">
        <v>56</v>
      </c>
      <c r="E113" s="124" t="s">
        <v>61</v>
      </c>
      <c r="F113" s="249">
        <v>785</v>
      </c>
      <c r="G113" s="193">
        <v>151</v>
      </c>
    </row>
    <row r="114" spans="1:7" ht="15">
      <c r="A114" s="191">
        <v>111</v>
      </c>
      <c r="B114" s="143" t="s">
        <v>221</v>
      </c>
      <c r="C114" s="114">
        <v>38849</v>
      </c>
      <c r="D114" s="127" t="s">
        <v>184</v>
      </c>
      <c r="E114" s="127" t="s">
        <v>66</v>
      </c>
      <c r="F114" s="249">
        <v>354</v>
      </c>
      <c r="G114" s="193">
        <v>118</v>
      </c>
    </row>
    <row r="115" spans="1:7" ht="15">
      <c r="A115" s="191">
        <v>112</v>
      </c>
      <c r="B115" s="245" t="s">
        <v>278</v>
      </c>
      <c r="C115" s="117">
        <v>38982</v>
      </c>
      <c r="D115" s="126" t="s">
        <v>64</v>
      </c>
      <c r="E115" s="127" t="s">
        <v>279</v>
      </c>
      <c r="F115" s="256">
        <v>156</v>
      </c>
      <c r="G115" s="196">
        <v>52</v>
      </c>
    </row>
    <row r="116" spans="1:7" ht="15">
      <c r="A116" s="188">
        <v>113</v>
      </c>
      <c r="B116" s="246" t="s">
        <v>379</v>
      </c>
      <c r="C116" s="115">
        <v>38905</v>
      </c>
      <c r="D116" s="130" t="s">
        <v>23</v>
      </c>
      <c r="E116" s="129" t="s">
        <v>380</v>
      </c>
      <c r="F116" s="248">
        <v>1664</v>
      </c>
      <c r="G116" s="194">
        <v>416</v>
      </c>
    </row>
    <row r="117" spans="1:7" ht="15">
      <c r="A117" s="191">
        <v>114</v>
      </c>
      <c r="B117" s="333" t="s">
        <v>379</v>
      </c>
      <c r="C117" s="115">
        <v>38905</v>
      </c>
      <c r="D117" s="175" t="s">
        <v>23</v>
      </c>
      <c r="E117" s="175" t="s">
        <v>380</v>
      </c>
      <c r="F117" s="248">
        <v>1188</v>
      </c>
      <c r="G117" s="194">
        <v>297</v>
      </c>
    </row>
    <row r="118" spans="1:7" ht="15">
      <c r="A118" s="191">
        <v>115</v>
      </c>
      <c r="B118" s="145" t="s">
        <v>174</v>
      </c>
      <c r="C118" s="114">
        <v>38961</v>
      </c>
      <c r="D118" s="125" t="s">
        <v>56</v>
      </c>
      <c r="E118" s="124" t="s">
        <v>71</v>
      </c>
      <c r="F118" s="249">
        <v>349</v>
      </c>
      <c r="G118" s="193">
        <v>84</v>
      </c>
    </row>
    <row r="119" spans="1:7" ht="15">
      <c r="A119" s="188">
        <v>116</v>
      </c>
      <c r="B119" s="246" t="s">
        <v>332</v>
      </c>
      <c r="C119" s="115">
        <v>38359</v>
      </c>
      <c r="D119" s="318" t="s">
        <v>23</v>
      </c>
      <c r="E119" s="318" t="s">
        <v>333</v>
      </c>
      <c r="F119" s="248">
        <v>712</v>
      </c>
      <c r="G119" s="194">
        <v>178</v>
      </c>
    </row>
    <row r="120" spans="1:7" ht="15">
      <c r="A120" s="191">
        <v>117</v>
      </c>
      <c r="B120" s="146" t="s">
        <v>129</v>
      </c>
      <c r="C120" s="149">
        <v>39059</v>
      </c>
      <c r="D120" s="144" t="s">
        <v>58</v>
      </c>
      <c r="E120" s="144" t="s">
        <v>130</v>
      </c>
      <c r="F120" s="254">
        <v>10528</v>
      </c>
      <c r="G120" s="155">
        <v>2058</v>
      </c>
    </row>
    <row r="121" spans="1:7" ht="15">
      <c r="A121" s="191">
        <v>118</v>
      </c>
      <c r="B121" s="179" t="s">
        <v>129</v>
      </c>
      <c r="C121" s="115">
        <v>39059</v>
      </c>
      <c r="D121" s="175" t="s">
        <v>58</v>
      </c>
      <c r="E121" s="175" t="s">
        <v>130</v>
      </c>
      <c r="F121" s="248">
        <v>5718</v>
      </c>
      <c r="G121" s="194">
        <v>1187</v>
      </c>
    </row>
    <row r="122" spans="1:7" ht="15">
      <c r="A122" s="188">
        <v>119</v>
      </c>
      <c r="B122" s="147" t="s">
        <v>129</v>
      </c>
      <c r="C122" s="115">
        <v>39059</v>
      </c>
      <c r="D122" s="126" t="s">
        <v>58</v>
      </c>
      <c r="E122" s="126" t="s">
        <v>130</v>
      </c>
      <c r="F122" s="248">
        <v>2752.5</v>
      </c>
      <c r="G122" s="194">
        <v>997</v>
      </c>
    </row>
    <row r="123" spans="1:7" ht="15">
      <c r="A123" s="191">
        <v>120</v>
      </c>
      <c r="B123" s="147" t="s">
        <v>129</v>
      </c>
      <c r="C123" s="115">
        <v>39059</v>
      </c>
      <c r="D123" s="126" t="s">
        <v>58</v>
      </c>
      <c r="E123" s="126" t="s">
        <v>130</v>
      </c>
      <c r="F123" s="248">
        <v>2645</v>
      </c>
      <c r="G123" s="194">
        <v>552</v>
      </c>
    </row>
    <row r="124" spans="1:7" ht="15">
      <c r="A124" s="191">
        <v>121</v>
      </c>
      <c r="B124" s="281" t="s">
        <v>129</v>
      </c>
      <c r="C124" s="149">
        <v>39059</v>
      </c>
      <c r="D124" s="272" t="s">
        <v>58</v>
      </c>
      <c r="E124" s="272" t="s">
        <v>130</v>
      </c>
      <c r="F124" s="254">
        <v>299</v>
      </c>
      <c r="G124" s="155">
        <v>67</v>
      </c>
    </row>
    <row r="125" spans="1:7" ht="15">
      <c r="A125" s="188">
        <v>122</v>
      </c>
      <c r="B125" s="245" t="s">
        <v>129</v>
      </c>
      <c r="C125" s="115">
        <v>39059</v>
      </c>
      <c r="D125" s="126" t="s">
        <v>12</v>
      </c>
      <c r="E125" s="126" t="s">
        <v>130</v>
      </c>
      <c r="F125" s="248">
        <v>297</v>
      </c>
      <c r="G125" s="194">
        <v>64</v>
      </c>
    </row>
    <row r="126" spans="1:7" ht="15">
      <c r="A126" s="191">
        <v>123</v>
      </c>
      <c r="B126" s="244" t="s">
        <v>280</v>
      </c>
      <c r="C126" s="114">
        <v>39048</v>
      </c>
      <c r="D126" s="125" t="s">
        <v>56</v>
      </c>
      <c r="E126" s="124" t="s">
        <v>11</v>
      </c>
      <c r="F126" s="249">
        <v>191667</v>
      </c>
      <c r="G126" s="193">
        <v>20779</v>
      </c>
    </row>
    <row r="127" spans="1:7" ht="15">
      <c r="A127" s="191">
        <v>124</v>
      </c>
      <c r="B127" s="244" t="s">
        <v>280</v>
      </c>
      <c r="C127" s="114">
        <v>39048</v>
      </c>
      <c r="D127" s="125" t="s">
        <v>56</v>
      </c>
      <c r="E127" s="124" t="s">
        <v>11</v>
      </c>
      <c r="F127" s="249">
        <v>99293</v>
      </c>
      <c r="G127" s="193">
        <v>11789</v>
      </c>
    </row>
    <row r="128" spans="1:7" ht="15">
      <c r="A128" s="188">
        <v>125</v>
      </c>
      <c r="B128" s="244" t="s">
        <v>280</v>
      </c>
      <c r="C128" s="114">
        <v>39048</v>
      </c>
      <c r="D128" s="176" t="s">
        <v>56</v>
      </c>
      <c r="E128" s="176" t="s">
        <v>11</v>
      </c>
      <c r="F128" s="249">
        <v>24707</v>
      </c>
      <c r="G128" s="193">
        <v>4942</v>
      </c>
    </row>
    <row r="129" spans="1:7" ht="15">
      <c r="A129" s="191">
        <v>126</v>
      </c>
      <c r="B129" s="244" t="s">
        <v>280</v>
      </c>
      <c r="C129" s="114">
        <v>39048</v>
      </c>
      <c r="D129" s="125" t="s">
        <v>56</v>
      </c>
      <c r="E129" s="124" t="s">
        <v>11</v>
      </c>
      <c r="F129" s="253">
        <v>23989</v>
      </c>
      <c r="G129" s="154">
        <v>4418</v>
      </c>
    </row>
    <row r="130" spans="1:7" ht="15">
      <c r="A130" s="191">
        <v>127</v>
      </c>
      <c r="B130" s="244" t="s">
        <v>280</v>
      </c>
      <c r="C130" s="114">
        <v>39048</v>
      </c>
      <c r="D130" s="125" t="s">
        <v>56</v>
      </c>
      <c r="E130" s="124" t="s">
        <v>11</v>
      </c>
      <c r="F130" s="249">
        <v>13479</v>
      </c>
      <c r="G130" s="193">
        <v>2620</v>
      </c>
    </row>
    <row r="131" spans="1:7" ht="15">
      <c r="A131" s="188">
        <v>128</v>
      </c>
      <c r="B131" s="247" t="s">
        <v>280</v>
      </c>
      <c r="C131" s="114">
        <v>39048</v>
      </c>
      <c r="D131" s="316" t="s">
        <v>56</v>
      </c>
      <c r="E131" s="316" t="s">
        <v>11</v>
      </c>
      <c r="F131" s="249">
        <v>6621</v>
      </c>
      <c r="G131" s="193">
        <v>1562</v>
      </c>
    </row>
    <row r="132" spans="1:7" ht="15">
      <c r="A132" s="191">
        <v>129</v>
      </c>
      <c r="B132" s="244" t="s">
        <v>280</v>
      </c>
      <c r="C132" s="114">
        <v>39048</v>
      </c>
      <c r="D132" s="125" t="s">
        <v>56</v>
      </c>
      <c r="E132" s="124" t="s">
        <v>11</v>
      </c>
      <c r="F132" s="253">
        <v>3660</v>
      </c>
      <c r="G132" s="193">
        <v>633</v>
      </c>
    </row>
    <row r="133" spans="1:7" ht="15">
      <c r="A133" s="191">
        <v>130</v>
      </c>
      <c r="B133" s="329" t="s">
        <v>280</v>
      </c>
      <c r="C133" s="322">
        <v>39048</v>
      </c>
      <c r="D133" s="321" t="s">
        <v>56</v>
      </c>
      <c r="E133" s="321" t="s">
        <v>11</v>
      </c>
      <c r="F133" s="249">
        <v>3414</v>
      </c>
      <c r="G133" s="193">
        <v>960</v>
      </c>
    </row>
    <row r="134" spans="1:7" ht="15">
      <c r="A134" s="188">
        <v>131</v>
      </c>
      <c r="B134" s="244" t="s">
        <v>280</v>
      </c>
      <c r="C134" s="114">
        <v>39048</v>
      </c>
      <c r="D134" s="270" t="s">
        <v>56</v>
      </c>
      <c r="E134" s="271" t="s">
        <v>11</v>
      </c>
      <c r="F134" s="249">
        <v>2752</v>
      </c>
      <c r="G134" s="193">
        <v>553</v>
      </c>
    </row>
    <row r="135" spans="1:7" ht="15">
      <c r="A135" s="191">
        <v>132</v>
      </c>
      <c r="B135" s="332" t="s">
        <v>280</v>
      </c>
      <c r="C135" s="114">
        <v>39048</v>
      </c>
      <c r="D135" s="176" t="s">
        <v>56</v>
      </c>
      <c r="E135" s="176" t="s">
        <v>11</v>
      </c>
      <c r="F135" s="249">
        <v>1721</v>
      </c>
      <c r="G135" s="193">
        <v>460</v>
      </c>
    </row>
    <row r="136" spans="1:7" ht="15">
      <c r="A136" s="191">
        <v>133</v>
      </c>
      <c r="B136" s="244" t="s">
        <v>280</v>
      </c>
      <c r="C136" s="114">
        <v>39048</v>
      </c>
      <c r="D136" s="125" t="s">
        <v>56</v>
      </c>
      <c r="E136" s="124" t="s">
        <v>11</v>
      </c>
      <c r="F136" s="249">
        <v>875</v>
      </c>
      <c r="G136" s="193">
        <v>136</v>
      </c>
    </row>
    <row r="137" spans="1:7" ht="15">
      <c r="A137" s="188">
        <v>134</v>
      </c>
      <c r="B137" s="245" t="s">
        <v>440</v>
      </c>
      <c r="C137" s="115">
        <v>38828</v>
      </c>
      <c r="D137" s="126" t="s">
        <v>66</v>
      </c>
      <c r="E137" s="126" t="s">
        <v>66</v>
      </c>
      <c r="F137" s="248">
        <v>440</v>
      </c>
      <c r="G137" s="194">
        <v>110</v>
      </c>
    </row>
    <row r="138" spans="1:7" ht="15">
      <c r="A138" s="191">
        <v>135</v>
      </c>
      <c r="B138" s="245" t="s">
        <v>440</v>
      </c>
      <c r="C138" s="115">
        <v>38828</v>
      </c>
      <c r="D138" s="126" t="s">
        <v>58</v>
      </c>
      <c r="E138" s="126" t="s">
        <v>66</v>
      </c>
      <c r="F138" s="248">
        <v>718</v>
      </c>
      <c r="G138" s="194">
        <v>179</v>
      </c>
    </row>
    <row r="139" spans="1:7" ht="15">
      <c r="A139" s="191">
        <v>136</v>
      </c>
      <c r="B139" s="146" t="s">
        <v>21</v>
      </c>
      <c r="C139" s="149">
        <v>38996</v>
      </c>
      <c r="D139" s="144" t="s">
        <v>58</v>
      </c>
      <c r="E139" s="144" t="s">
        <v>59</v>
      </c>
      <c r="F139" s="254">
        <v>3021</v>
      </c>
      <c r="G139" s="155">
        <v>605</v>
      </c>
    </row>
    <row r="140" spans="1:7" ht="15">
      <c r="A140" s="188">
        <v>137</v>
      </c>
      <c r="B140" s="246" t="s">
        <v>335</v>
      </c>
      <c r="C140" s="115">
        <v>37771</v>
      </c>
      <c r="D140" s="318" t="s">
        <v>23</v>
      </c>
      <c r="E140" s="318" t="s">
        <v>25</v>
      </c>
      <c r="F140" s="248">
        <v>476</v>
      </c>
      <c r="G140" s="194">
        <v>119</v>
      </c>
    </row>
    <row r="141" spans="1:7" ht="15">
      <c r="A141" s="191">
        <v>138</v>
      </c>
      <c r="B141" s="245" t="s">
        <v>75</v>
      </c>
      <c r="C141" s="115">
        <v>39045</v>
      </c>
      <c r="D141" s="126" t="s">
        <v>58</v>
      </c>
      <c r="E141" s="126" t="s">
        <v>76</v>
      </c>
      <c r="F141" s="248">
        <v>20659.5</v>
      </c>
      <c r="G141" s="194">
        <v>4132</v>
      </c>
    </row>
    <row r="142" spans="1:7" ht="15">
      <c r="A142" s="191">
        <v>139</v>
      </c>
      <c r="B142" s="146" t="s">
        <v>75</v>
      </c>
      <c r="C142" s="149">
        <v>39045</v>
      </c>
      <c r="D142" s="144" t="s">
        <v>58</v>
      </c>
      <c r="E142" s="144" t="s">
        <v>76</v>
      </c>
      <c r="F142" s="254">
        <v>386155</v>
      </c>
      <c r="G142" s="155">
        <v>61261</v>
      </c>
    </row>
    <row r="143" spans="1:7" ht="15">
      <c r="A143" s="188">
        <v>140</v>
      </c>
      <c r="B143" s="179" t="s">
        <v>75</v>
      </c>
      <c r="C143" s="115">
        <v>39045</v>
      </c>
      <c r="D143" s="175" t="s">
        <v>58</v>
      </c>
      <c r="E143" s="175" t="s">
        <v>76</v>
      </c>
      <c r="F143" s="248">
        <v>185586</v>
      </c>
      <c r="G143" s="194">
        <v>32646</v>
      </c>
    </row>
    <row r="144" spans="1:7" ht="15">
      <c r="A144" s="191">
        <v>141</v>
      </c>
      <c r="B144" s="147" t="s">
        <v>75</v>
      </c>
      <c r="C144" s="115">
        <v>39045</v>
      </c>
      <c r="D144" s="126" t="s">
        <v>58</v>
      </c>
      <c r="E144" s="126" t="s">
        <v>76</v>
      </c>
      <c r="F144" s="248">
        <v>78557</v>
      </c>
      <c r="G144" s="194">
        <v>14471</v>
      </c>
    </row>
    <row r="145" spans="1:7" ht="15">
      <c r="A145" s="191">
        <v>142</v>
      </c>
      <c r="B145" s="245" t="s">
        <v>75</v>
      </c>
      <c r="C145" s="115">
        <v>39045</v>
      </c>
      <c r="D145" s="126" t="s">
        <v>58</v>
      </c>
      <c r="E145" s="126" t="s">
        <v>76</v>
      </c>
      <c r="F145" s="248">
        <v>38487.5</v>
      </c>
      <c r="G145" s="194">
        <v>9345</v>
      </c>
    </row>
    <row r="146" spans="1:7" ht="15">
      <c r="A146" s="188">
        <v>143</v>
      </c>
      <c r="B146" s="147" t="s">
        <v>75</v>
      </c>
      <c r="C146" s="115">
        <v>39045</v>
      </c>
      <c r="D146" s="126" t="s">
        <v>58</v>
      </c>
      <c r="E146" s="126" t="s">
        <v>76</v>
      </c>
      <c r="F146" s="248">
        <v>19951.5</v>
      </c>
      <c r="G146" s="194">
        <v>4644</v>
      </c>
    </row>
    <row r="147" spans="1:7" ht="15">
      <c r="A147" s="191">
        <v>144</v>
      </c>
      <c r="B147" s="146" t="s">
        <v>75</v>
      </c>
      <c r="C147" s="149">
        <v>39045</v>
      </c>
      <c r="D147" s="272" t="s">
        <v>58</v>
      </c>
      <c r="E147" s="271" t="s">
        <v>76</v>
      </c>
      <c r="F147" s="254">
        <v>9203</v>
      </c>
      <c r="G147" s="155">
        <v>1591</v>
      </c>
    </row>
    <row r="148" spans="1:7" ht="15">
      <c r="A148" s="191">
        <v>145</v>
      </c>
      <c r="B148" s="245" t="s">
        <v>75</v>
      </c>
      <c r="C148" s="115">
        <v>39045</v>
      </c>
      <c r="D148" s="126" t="s">
        <v>58</v>
      </c>
      <c r="E148" s="126" t="s">
        <v>76</v>
      </c>
      <c r="F148" s="252">
        <v>3795.5</v>
      </c>
      <c r="G148" s="194">
        <v>1018</v>
      </c>
    </row>
    <row r="149" spans="1:7" ht="15">
      <c r="A149" s="188">
        <v>146</v>
      </c>
      <c r="B149" s="147" t="s">
        <v>75</v>
      </c>
      <c r="C149" s="115">
        <v>39045</v>
      </c>
      <c r="D149" s="280" t="s">
        <v>58</v>
      </c>
      <c r="E149" s="280" t="s">
        <v>76</v>
      </c>
      <c r="F149" s="248">
        <v>2435</v>
      </c>
      <c r="G149" s="194">
        <v>487</v>
      </c>
    </row>
    <row r="150" spans="1:7" ht="15">
      <c r="A150" s="191">
        <v>147</v>
      </c>
      <c r="B150" s="333" t="s">
        <v>75</v>
      </c>
      <c r="C150" s="115">
        <v>39045</v>
      </c>
      <c r="D150" s="175" t="s">
        <v>58</v>
      </c>
      <c r="E150" s="175" t="s">
        <v>76</v>
      </c>
      <c r="F150" s="248">
        <v>2376</v>
      </c>
      <c r="G150" s="194">
        <v>475</v>
      </c>
    </row>
    <row r="151" spans="1:7" ht="15">
      <c r="A151" s="191">
        <v>148</v>
      </c>
      <c r="B151" s="245" t="s">
        <v>75</v>
      </c>
      <c r="C151" s="115">
        <v>39045</v>
      </c>
      <c r="D151" s="126" t="s">
        <v>58</v>
      </c>
      <c r="E151" s="126" t="s">
        <v>76</v>
      </c>
      <c r="F151" s="252">
        <v>2267.5</v>
      </c>
      <c r="G151" s="194">
        <v>561</v>
      </c>
    </row>
    <row r="152" spans="1:7" ht="15">
      <c r="A152" s="188">
        <v>149</v>
      </c>
      <c r="B152" s="420" t="s">
        <v>75</v>
      </c>
      <c r="C152" s="402">
        <v>39045</v>
      </c>
      <c r="D152" s="421" t="s">
        <v>58</v>
      </c>
      <c r="E152" s="421" t="s">
        <v>76</v>
      </c>
      <c r="F152" s="403">
        <v>1284</v>
      </c>
      <c r="G152" s="404">
        <v>303</v>
      </c>
    </row>
    <row r="153" spans="1:7" ht="15">
      <c r="A153" s="191">
        <v>150</v>
      </c>
      <c r="B153" s="281" t="s">
        <v>75</v>
      </c>
      <c r="C153" s="149">
        <v>39045</v>
      </c>
      <c r="D153" s="272" t="s">
        <v>58</v>
      </c>
      <c r="E153" s="272" t="s">
        <v>76</v>
      </c>
      <c r="F153" s="254">
        <v>1210</v>
      </c>
      <c r="G153" s="155">
        <v>300</v>
      </c>
    </row>
    <row r="154" spans="1:7" ht="15">
      <c r="A154" s="191">
        <v>151</v>
      </c>
      <c r="B154" s="333" t="s">
        <v>75</v>
      </c>
      <c r="C154" s="115">
        <v>39045</v>
      </c>
      <c r="D154" s="175" t="s">
        <v>58</v>
      </c>
      <c r="E154" s="175" t="s">
        <v>76</v>
      </c>
      <c r="F154" s="248">
        <v>1033</v>
      </c>
      <c r="G154" s="194">
        <v>241</v>
      </c>
    </row>
    <row r="155" spans="1:7" ht="15">
      <c r="A155" s="188">
        <v>152</v>
      </c>
      <c r="B155" s="245" t="s">
        <v>75</v>
      </c>
      <c r="C155" s="115">
        <v>39045</v>
      </c>
      <c r="D155" s="126" t="s">
        <v>12</v>
      </c>
      <c r="E155" s="126" t="s">
        <v>76</v>
      </c>
      <c r="F155" s="248">
        <v>836</v>
      </c>
      <c r="G155" s="194">
        <v>161</v>
      </c>
    </row>
    <row r="156" spans="1:7" ht="15">
      <c r="A156" s="191">
        <v>153</v>
      </c>
      <c r="B156" s="246" t="s">
        <v>321</v>
      </c>
      <c r="C156" s="115">
        <v>37785</v>
      </c>
      <c r="D156" s="130" t="s">
        <v>23</v>
      </c>
      <c r="E156" s="129" t="s">
        <v>322</v>
      </c>
      <c r="F156" s="252">
        <v>592</v>
      </c>
      <c r="G156" s="194">
        <v>148</v>
      </c>
    </row>
    <row r="157" spans="1:7" ht="15">
      <c r="A157" s="191">
        <v>154</v>
      </c>
      <c r="B157" s="245" t="s">
        <v>438</v>
      </c>
      <c r="C157" s="115">
        <v>38436</v>
      </c>
      <c r="D157" s="126" t="s">
        <v>58</v>
      </c>
      <c r="E157" s="126" t="s">
        <v>66</v>
      </c>
      <c r="F157" s="248">
        <v>4533</v>
      </c>
      <c r="G157" s="194">
        <v>906</v>
      </c>
    </row>
    <row r="158" spans="1:7" ht="15">
      <c r="A158" s="188">
        <v>155</v>
      </c>
      <c r="B158" s="147" t="s">
        <v>213</v>
      </c>
      <c r="C158" s="115">
        <v>38072</v>
      </c>
      <c r="D158" s="127" t="s">
        <v>214</v>
      </c>
      <c r="E158" s="127" t="s">
        <v>215</v>
      </c>
      <c r="F158" s="248">
        <v>354</v>
      </c>
      <c r="G158" s="194">
        <v>118</v>
      </c>
    </row>
    <row r="159" spans="1:7" ht="15">
      <c r="A159" s="191">
        <v>156</v>
      </c>
      <c r="B159" s="178" t="s">
        <v>122</v>
      </c>
      <c r="C159" s="114">
        <v>39066</v>
      </c>
      <c r="D159" s="125" t="s">
        <v>56</v>
      </c>
      <c r="E159" s="124" t="s">
        <v>69</v>
      </c>
      <c r="F159" s="253">
        <v>1057112</v>
      </c>
      <c r="G159" s="154">
        <v>151061</v>
      </c>
    </row>
    <row r="160" spans="1:7" ht="15">
      <c r="A160" s="191">
        <v>157</v>
      </c>
      <c r="B160" s="178" t="s">
        <v>122</v>
      </c>
      <c r="C160" s="114">
        <v>39066</v>
      </c>
      <c r="D160" s="176" t="s">
        <v>56</v>
      </c>
      <c r="E160" s="176" t="s">
        <v>69</v>
      </c>
      <c r="F160" s="249">
        <f>222438-23</f>
        <v>222415</v>
      </c>
      <c r="G160" s="193">
        <v>33037</v>
      </c>
    </row>
    <row r="161" spans="1:7" ht="15">
      <c r="A161" s="188">
        <v>158</v>
      </c>
      <c r="B161" s="145" t="s">
        <v>122</v>
      </c>
      <c r="C161" s="114">
        <v>39066</v>
      </c>
      <c r="D161" s="125" t="s">
        <v>56</v>
      </c>
      <c r="E161" s="124" t="s">
        <v>69</v>
      </c>
      <c r="F161" s="249">
        <v>32518</v>
      </c>
      <c r="G161" s="193">
        <v>6240</v>
      </c>
    </row>
    <row r="162" spans="1:7" ht="15">
      <c r="A162" s="191">
        <v>159</v>
      </c>
      <c r="B162" s="178" t="s">
        <v>122</v>
      </c>
      <c r="C162" s="114">
        <v>39066</v>
      </c>
      <c r="D162" s="125" t="s">
        <v>56</v>
      </c>
      <c r="E162" s="124" t="s">
        <v>69</v>
      </c>
      <c r="F162" s="249">
        <v>14705</v>
      </c>
      <c r="G162" s="193">
        <v>4042</v>
      </c>
    </row>
    <row r="163" spans="1:7" ht="15">
      <c r="A163" s="191">
        <v>160</v>
      </c>
      <c r="B163" s="145" t="s">
        <v>122</v>
      </c>
      <c r="C163" s="114">
        <v>39066</v>
      </c>
      <c r="D163" s="125" t="s">
        <v>56</v>
      </c>
      <c r="E163" s="124" t="s">
        <v>69</v>
      </c>
      <c r="F163" s="249">
        <v>6718</v>
      </c>
      <c r="G163" s="193">
        <v>1655</v>
      </c>
    </row>
    <row r="164" spans="1:7" ht="15">
      <c r="A164" s="188">
        <v>161</v>
      </c>
      <c r="B164" s="244" t="s">
        <v>122</v>
      </c>
      <c r="C164" s="114">
        <v>39066</v>
      </c>
      <c r="D164" s="125" t="s">
        <v>56</v>
      </c>
      <c r="E164" s="124" t="s">
        <v>69</v>
      </c>
      <c r="F164" s="253">
        <v>2937</v>
      </c>
      <c r="G164" s="193">
        <v>674</v>
      </c>
    </row>
    <row r="165" spans="1:7" ht="15">
      <c r="A165" s="191">
        <v>162</v>
      </c>
      <c r="B165" s="145" t="s">
        <v>122</v>
      </c>
      <c r="C165" s="114">
        <v>39066</v>
      </c>
      <c r="D165" s="270" t="s">
        <v>56</v>
      </c>
      <c r="E165" s="271" t="s">
        <v>69</v>
      </c>
      <c r="F165" s="249">
        <v>2701</v>
      </c>
      <c r="G165" s="193">
        <v>740</v>
      </c>
    </row>
    <row r="166" spans="1:7" ht="15">
      <c r="A166" s="191">
        <v>163</v>
      </c>
      <c r="B166" s="244" t="s">
        <v>122</v>
      </c>
      <c r="C166" s="114">
        <v>39066</v>
      </c>
      <c r="D166" s="270" t="s">
        <v>56</v>
      </c>
      <c r="E166" s="271" t="s">
        <v>69</v>
      </c>
      <c r="F166" s="253">
        <v>2526</v>
      </c>
      <c r="G166" s="154">
        <v>706</v>
      </c>
    </row>
    <row r="167" spans="1:7" ht="15">
      <c r="A167" s="188">
        <v>164</v>
      </c>
      <c r="B167" s="145" t="s">
        <v>122</v>
      </c>
      <c r="C167" s="114">
        <v>39066</v>
      </c>
      <c r="D167" s="270" t="s">
        <v>56</v>
      </c>
      <c r="E167" s="271" t="s">
        <v>69</v>
      </c>
      <c r="F167" s="253">
        <v>500</v>
      </c>
      <c r="G167" s="154">
        <v>92</v>
      </c>
    </row>
    <row r="168" spans="1:7" ht="15">
      <c r="A168" s="191">
        <v>165</v>
      </c>
      <c r="B168" s="244" t="s">
        <v>122</v>
      </c>
      <c r="C168" s="114">
        <v>39066</v>
      </c>
      <c r="D168" s="125" t="s">
        <v>56</v>
      </c>
      <c r="E168" s="124" t="s">
        <v>69</v>
      </c>
      <c r="F168" s="249">
        <v>346</v>
      </c>
      <c r="G168" s="193">
        <v>65</v>
      </c>
    </row>
    <row r="169" spans="1:7" ht="15">
      <c r="A169" s="191">
        <v>166</v>
      </c>
      <c r="B169" s="244" t="s">
        <v>122</v>
      </c>
      <c r="C169" s="114">
        <v>39066</v>
      </c>
      <c r="D169" s="125" t="s">
        <v>56</v>
      </c>
      <c r="E169" s="124" t="s">
        <v>69</v>
      </c>
      <c r="F169" s="249">
        <v>252</v>
      </c>
      <c r="G169" s="193">
        <v>36</v>
      </c>
    </row>
    <row r="170" spans="1:7" ht="15">
      <c r="A170" s="188">
        <v>167</v>
      </c>
      <c r="B170" s="247" t="s">
        <v>122</v>
      </c>
      <c r="C170" s="114">
        <v>39066</v>
      </c>
      <c r="D170" s="316" t="s">
        <v>56</v>
      </c>
      <c r="E170" s="316" t="s">
        <v>69</v>
      </c>
      <c r="F170" s="249">
        <v>231</v>
      </c>
      <c r="G170" s="193">
        <v>33</v>
      </c>
    </row>
    <row r="171" spans="1:7" ht="15">
      <c r="A171" s="191">
        <v>168</v>
      </c>
      <c r="B171" s="332" t="s">
        <v>122</v>
      </c>
      <c r="C171" s="114">
        <v>39066</v>
      </c>
      <c r="D171" s="176" t="s">
        <v>56</v>
      </c>
      <c r="E171" s="176" t="s">
        <v>69</v>
      </c>
      <c r="F171" s="249">
        <v>168</v>
      </c>
      <c r="G171" s="193">
        <v>24</v>
      </c>
    </row>
    <row r="172" spans="1:7" ht="15">
      <c r="A172" s="191">
        <v>169</v>
      </c>
      <c r="B172" s="329" t="s">
        <v>122</v>
      </c>
      <c r="C172" s="322">
        <v>39066</v>
      </c>
      <c r="D172" s="321" t="s">
        <v>56</v>
      </c>
      <c r="E172" s="321" t="s">
        <v>69</v>
      </c>
      <c r="F172" s="249">
        <v>168</v>
      </c>
      <c r="G172" s="193">
        <v>24</v>
      </c>
    </row>
    <row r="173" spans="1:7" ht="15">
      <c r="A173" s="188">
        <v>170</v>
      </c>
      <c r="B173" s="244" t="s">
        <v>122</v>
      </c>
      <c r="C173" s="114">
        <v>39066</v>
      </c>
      <c r="D173" s="125" t="s">
        <v>56</v>
      </c>
      <c r="E173" s="124" t="s">
        <v>69</v>
      </c>
      <c r="F173" s="253">
        <v>140</v>
      </c>
      <c r="G173" s="193">
        <v>20</v>
      </c>
    </row>
    <row r="174" spans="1:7" ht="15">
      <c r="A174" s="191">
        <v>171</v>
      </c>
      <c r="B174" s="332" t="s">
        <v>122</v>
      </c>
      <c r="C174" s="114">
        <v>39066</v>
      </c>
      <c r="D174" s="176" t="s">
        <v>56</v>
      </c>
      <c r="E174" s="176" t="s">
        <v>69</v>
      </c>
      <c r="F174" s="249">
        <v>126</v>
      </c>
      <c r="G174" s="193">
        <v>18</v>
      </c>
    </row>
    <row r="175" spans="1:7" ht="15">
      <c r="A175" s="191">
        <v>172</v>
      </c>
      <c r="B175" s="244" t="s">
        <v>122</v>
      </c>
      <c r="C175" s="114">
        <v>39066</v>
      </c>
      <c r="D175" s="125" t="s">
        <v>56</v>
      </c>
      <c r="E175" s="124" t="s">
        <v>69</v>
      </c>
      <c r="F175" s="253">
        <v>112</v>
      </c>
      <c r="G175" s="154">
        <v>16</v>
      </c>
    </row>
    <row r="176" spans="1:7" ht="15">
      <c r="A176" s="188">
        <v>173</v>
      </c>
      <c r="B176" s="332" t="s">
        <v>122</v>
      </c>
      <c r="C176" s="114">
        <v>39066</v>
      </c>
      <c r="D176" s="176" t="s">
        <v>56</v>
      </c>
      <c r="E176" s="176" t="s">
        <v>69</v>
      </c>
      <c r="F176" s="249">
        <v>84</v>
      </c>
      <c r="G176" s="193">
        <v>12</v>
      </c>
    </row>
    <row r="177" spans="1:7" ht="15">
      <c r="A177" s="191">
        <v>174</v>
      </c>
      <c r="B177" s="146" t="s">
        <v>112</v>
      </c>
      <c r="C177" s="149">
        <v>39066</v>
      </c>
      <c r="D177" s="144" t="s">
        <v>58</v>
      </c>
      <c r="E177" s="144" t="s">
        <v>59</v>
      </c>
      <c r="F177" s="254">
        <v>144826</v>
      </c>
      <c r="G177" s="155">
        <v>18766</v>
      </c>
    </row>
    <row r="178" spans="1:7" ht="15">
      <c r="A178" s="191">
        <v>175</v>
      </c>
      <c r="B178" s="179" t="s">
        <v>112</v>
      </c>
      <c r="C178" s="115">
        <v>39066</v>
      </c>
      <c r="D178" s="175" t="s">
        <v>58</v>
      </c>
      <c r="E178" s="175" t="s">
        <v>59</v>
      </c>
      <c r="F178" s="248">
        <v>34457</v>
      </c>
      <c r="G178" s="194">
        <v>4967</v>
      </c>
    </row>
    <row r="179" spans="1:7" ht="15">
      <c r="A179" s="188">
        <v>176</v>
      </c>
      <c r="B179" s="147" t="s">
        <v>112</v>
      </c>
      <c r="C179" s="115">
        <v>39066</v>
      </c>
      <c r="D179" s="126" t="s">
        <v>58</v>
      </c>
      <c r="E179" s="126" t="s">
        <v>59</v>
      </c>
      <c r="F179" s="248">
        <v>11124</v>
      </c>
      <c r="G179" s="194">
        <v>1852</v>
      </c>
    </row>
    <row r="180" spans="1:7" ht="15">
      <c r="A180" s="191">
        <v>177</v>
      </c>
      <c r="B180" s="147" t="s">
        <v>112</v>
      </c>
      <c r="C180" s="115">
        <v>39066</v>
      </c>
      <c r="D180" s="126" t="s">
        <v>58</v>
      </c>
      <c r="E180" s="126" t="s">
        <v>59</v>
      </c>
      <c r="F180" s="248">
        <v>6963</v>
      </c>
      <c r="G180" s="194">
        <v>1244</v>
      </c>
    </row>
    <row r="181" spans="1:7" ht="15">
      <c r="A181" s="191">
        <v>178</v>
      </c>
      <c r="B181" s="245" t="s">
        <v>112</v>
      </c>
      <c r="C181" s="115">
        <v>39066</v>
      </c>
      <c r="D181" s="126" t="s">
        <v>58</v>
      </c>
      <c r="E181" s="126" t="s">
        <v>59</v>
      </c>
      <c r="F181" s="248">
        <v>4855</v>
      </c>
      <c r="G181" s="194">
        <v>788</v>
      </c>
    </row>
    <row r="182" spans="1:7" ht="15">
      <c r="A182" s="188">
        <v>179</v>
      </c>
      <c r="B182" s="146" t="s">
        <v>112</v>
      </c>
      <c r="C182" s="149">
        <v>39066</v>
      </c>
      <c r="D182" s="272" t="s">
        <v>58</v>
      </c>
      <c r="E182" s="271" t="s">
        <v>59</v>
      </c>
      <c r="F182" s="254">
        <v>4250</v>
      </c>
      <c r="G182" s="155">
        <v>551</v>
      </c>
    </row>
    <row r="183" spans="1:7" ht="15">
      <c r="A183" s="191">
        <v>180</v>
      </c>
      <c r="B183" s="147" t="s">
        <v>112</v>
      </c>
      <c r="C183" s="115">
        <v>39066</v>
      </c>
      <c r="D183" s="280" t="s">
        <v>58</v>
      </c>
      <c r="E183" s="280" t="s">
        <v>59</v>
      </c>
      <c r="F183" s="248">
        <v>4097</v>
      </c>
      <c r="G183" s="194">
        <v>838</v>
      </c>
    </row>
    <row r="184" spans="1:7" ht="15">
      <c r="A184" s="191">
        <v>181</v>
      </c>
      <c r="B184" s="281" t="s">
        <v>112</v>
      </c>
      <c r="C184" s="149">
        <v>39066</v>
      </c>
      <c r="D184" s="272" t="s">
        <v>58</v>
      </c>
      <c r="E184" s="272" t="s">
        <v>59</v>
      </c>
      <c r="F184" s="254">
        <v>1477</v>
      </c>
      <c r="G184" s="155">
        <v>305</v>
      </c>
    </row>
    <row r="185" spans="1:7" ht="15">
      <c r="A185" s="188">
        <v>182</v>
      </c>
      <c r="B185" s="245" t="s">
        <v>112</v>
      </c>
      <c r="C185" s="115">
        <v>39066</v>
      </c>
      <c r="D185" s="126" t="s">
        <v>58</v>
      </c>
      <c r="E185" s="126" t="s">
        <v>59</v>
      </c>
      <c r="F185" s="252">
        <v>1425</v>
      </c>
      <c r="G185" s="194">
        <v>168</v>
      </c>
    </row>
    <row r="186" spans="1:7" ht="15">
      <c r="A186" s="191">
        <v>183</v>
      </c>
      <c r="B186" s="245" t="s">
        <v>112</v>
      </c>
      <c r="C186" s="115">
        <v>39066</v>
      </c>
      <c r="D186" s="126" t="s">
        <v>12</v>
      </c>
      <c r="E186" s="126" t="s">
        <v>59</v>
      </c>
      <c r="F186" s="248">
        <v>76</v>
      </c>
      <c r="G186" s="194">
        <v>19</v>
      </c>
    </row>
    <row r="187" spans="1:7" ht="15">
      <c r="A187" s="191">
        <v>184</v>
      </c>
      <c r="B187" s="246" t="s">
        <v>193</v>
      </c>
      <c r="C187" s="115">
        <v>38863</v>
      </c>
      <c r="D187" s="318" t="s">
        <v>23</v>
      </c>
      <c r="E187" s="318" t="s">
        <v>13</v>
      </c>
      <c r="F187" s="248">
        <v>1780</v>
      </c>
      <c r="G187" s="194">
        <v>445</v>
      </c>
    </row>
    <row r="188" spans="1:7" ht="15">
      <c r="A188" s="188">
        <v>185</v>
      </c>
      <c r="B188" s="246" t="s">
        <v>193</v>
      </c>
      <c r="C188" s="115">
        <v>38863</v>
      </c>
      <c r="D188" s="130" t="s">
        <v>23</v>
      </c>
      <c r="E188" s="129" t="s">
        <v>13</v>
      </c>
      <c r="F188" s="248">
        <v>952</v>
      </c>
      <c r="G188" s="194">
        <v>238</v>
      </c>
    </row>
    <row r="189" spans="1:7" ht="15">
      <c r="A189" s="191">
        <v>186</v>
      </c>
      <c r="B189" s="246" t="s">
        <v>193</v>
      </c>
      <c r="C189" s="115">
        <v>38863</v>
      </c>
      <c r="D189" s="130" t="s">
        <v>23</v>
      </c>
      <c r="E189" s="129" t="s">
        <v>13</v>
      </c>
      <c r="F189" s="252">
        <v>353.6</v>
      </c>
      <c r="G189" s="194">
        <v>221</v>
      </c>
    </row>
    <row r="190" spans="1:7" ht="15">
      <c r="A190" s="191">
        <v>187</v>
      </c>
      <c r="B190" s="245" t="s">
        <v>131</v>
      </c>
      <c r="C190" s="115">
        <v>39024</v>
      </c>
      <c r="D190" s="126" t="s">
        <v>58</v>
      </c>
      <c r="E190" s="126" t="s">
        <v>33</v>
      </c>
      <c r="F190" s="252">
        <v>5313</v>
      </c>
      <c r="G190" s="194">
        <v>1142</v>
      </c>
    </row>
    <row r="191" spans="1:7" ht="15">
      <c r="A191" s="188">
        <v>188</v>
      </c>
      <c r="B191" s="179" t="s">
        <v>131</v>
      </c>
      <c r="C191" s="115">
        <v>39024</v>
      </c>
      <c r="D191" s="175" t="s">
        <v>58</v>
      </c>
      <c r="E191" s="175" t="s">
        <v>33</v>
      </c>
      <c r="F191" s="248">
        <v>2927</v>
      </c>
      <c r="G191" s="194">
        <v>723</v>
      </c>
    </row>
    <row r="192" spans="1:7" ht="15">
      <c r="A192" s="191">
        <v>189</v>
      </c>
      <c r="B192" s="333" t="s">
        <v>131</v>
      </c>
      <c r="C192" s="115">
        <v>39024</v>
      </c>
      <c r="D192" s="175" t="s">
        <v>58</v>
      </c>
      <c r="E192" s="175" t="s">
        <v>33</v>
      </c>
      <c r="F192" s="248">
        <v>2376</v>
      </c>
      <c r="G192" s="194">
        <v>475</v>
      </c>
    </row>
    <row r="193" spans="1:7" ht="15">
      <c r="A193" s="191">
        <v>190</v>
      </c>
      <c r="B193" s="146" t="s">
        <v>131</v>
      </c>
      <c r="C193" s="149">
        <v>39024</v>
      </c>
      <c r="D193" s="272" t="s">
        <v>58</v>
      </c>
      <c r="E193" s="271" t="s">
        <v>33</v>
      </c>
      <c r="F193" s="254">
        <v>1928</v>
      </c>
      <c r="G193" s="155">
        <v>386</v>
      </c>
    </row>
    <row r="194" spans="1:7" ht="15">
      <c r="A194" s="188">
        <v>191</v>
      </c>
      <c r="B194" s="333" t="s">
        <v>131</v>
      </c>
      <c r="C194" s="115">
        <v>39024</v>
      </c>
      <c r="D194" s="175" t="s">
        <v>58</v>
      </c>
      <c r="E194" s="175" t="s">
        <v>33</v>
      </c>
      <c r="F194" s="248">
        <v>1782</v>
      </c>
      <c r="G194" s="194">
        <v>446</v>
      </c>
    </row>
    <row r="195" spans="1:7" ht="15">
      <c r="A195" s="191">
        <v>192</v>
      </c>
      <c r="B195" s="146" t="s">
        <v>131</v>
      </c>
      <c r="C195" s="149">
        <v>39024</v>
      </c>
      <c r="D195" s="144" t="s">
        <v>58</v>
      </c>
      <c r="E195" s="144" t="s">
        <v>33</v>
      </c>
      <c r="F195" s="254">
        <v>1598</v>
      </c>
      <c r="G195" s="155">
        <v>301</v>
      </c>
    </row>
    <row r="196" spans="1:7" ht="15">
      <c r="A196" s="191">
        <v>193</v>
      </c>
      <c r="B196" s="147" t="s">
        <v>131</v>
      </c>
      <c r="C196" s="115">
        <v>39024</v>
      </c>
      <c r="D196" s="126" t="s">
        <v>58</v>
      </c>
      <c r="E196" s="126" t="s">
        <v>33</v>
      </c>
      <c r="F196" s="248">
        <v>1432</v>
      </c>
      <c r="G196" s="194">
        <v>434</v>
      </c>
    </row>
    <row r="197" spans="1:7" ht="15">
      <c r="A197" s="188">
        <v>194</v>
      </c>
      <c r="B197" s="245" t="s">
        <v>131</v>
      </c>
      <c r="C197" s="115">
        <v>39024</v>
      </c>
      <c r="D197" s="126" t="s">
        <v>58</v>
      </c>
      <c r="E197" s="126" t="s">
        <v>33</v>
      </c>
      <c r="F197" s="248">
        <v>1198</v>
      </c>
      <c r="G197" s="194">
        <v>255</v>
      </c>
    </row>
    <row r="198" spans="1:7" ht="15">
      <c r="A198" s="191">
        <v>195</v>
      </c>
      <c r="B198" s="147" t="s">
        <v>131</v>
      </c>
      <c r="C198" s="115">
        <v>39024</v>
      </c>
      <c r="D198" s="126" t="s">
        <v>58</v>
      </c>
      <c r="E198" s="126" t="s">
        <v>33</v>
      </c>
      <c r="F198" s="248">
        <v>1126</v>
      </c>
      <c r="G198" s="194">
        <v>363</v>
      </c>
    </row>
    <row r="199" spans="1:7" ht="15">
      <c r="A199" s="191">
        <v>196</v>
      </c>
      <c r="B199" s="333" t="s">
        <v>131</v>
      </c>
      <c r="C199" s="115">
        <v>39024</v>
      </c>
      <c r="D199" s="175" t="s">
        <v>58</v>
      </c>
      <c r="E199" s="175" t="s">
        <v>33</v>
      </c>
      <c r="F199" s="248">
        <v>213</v>
      </c>
      <c r="G199" s="194">
        <v>48</v>
      </c>
    </row>
    <row r="200" spans="1:7" ht="15">
      <c r="A200" s="188">
        <v>197</v>
      </c>
      <c r="B200" s="146" t="s">
        <v>125</v>
      </c>
      <c r="C200" s="149">
        <v>39073</v>
      </c>
      <c r="D200" s="144" t="s">
        <v>58</v>
      </c>
      <c r="E200" s="144" t="s">
        <v>58</v>
      </c>
      <c r="F200" s="254">
        <v>996891</v>
      </c>
      <c r="G200" s="155">
        <v>140459</v>
      </c>
    </row>
    <row r="201" spans="1:7" ht="15">
      <c r="A201" s="191">
        <v>198</v>
      </c>
      <c r="B201" s="179" t="s">
        <v>125</v>
      </c>
      <c r="C201" s="115">
        <v>39073</v>
      </c>
      <c r="D201" s="175" t="s">
        <v>58</v>
      </c>
      <c r="E201" s="175" t="s">
        <v>58</v>
      </c>
      <c r="F201" s="248">
        <v>491242.5</v>
      </c>
      <c r="G201" s="194">
        <v>66355</v>
      </c>
    </row>
    <row r="202" spans="1:7" ht="15">
      <c r="A202" s="191">
        <v>199</v>
      </c>
      <c r="B202" s="147" t="s">
        <v>125</v>
      </c>
      <c r="C202" s="115">
        <v>39073</v>
      </c>
      <c r="D202" s="126" t="s">
        <v>58</v>
      </c>
      <c r="E202" s="126" t="s">
        <v>58</v>
      </c>
      <c r="F202" s="248">
        <v>184490.5</v>
      </c>
      <c r="G202" s="194">
        <v>26647</v>
      </c>
    </row>
    <row r="203" spans="1:7" ht="15">
      <c r="A203" s="188">
        <v>200</v>
      </c>
      <c r="B203" s="245" t="s">
        <v>125</v>
      </c>
      <c r="C203" s="115">
        <v>39073</v>
      </c>
      <c r="D203" s="126" t="s">
        <v>58</v>
      </c>
      <c r="E203" s="126" t="s">
        <v>58</v>
      </c>
      <c r="F203" s="248">
        <v>82961.5</v>
      </c>
      <c r="G203" s="194">
        <v>26647</v>
      </c>
    </row>
    <row r="204" spans="1:7" ht="15">
      <c r="A204" s="191">
        <v>201</v>
      </c>
      <c r="B204" s="146" t="s">
        <v>125</v>
      </c>
      <c r="C204" s="149">
        <v>39073</v>
      </c>
      <c r="D204" s="272" t="s">
        <v>58</v>
      </c>
      <c r="E204" s="271" t="s">
        <v>58</v>
      </c>
      <c r="F204" s="254">
        <v>24501.5</v>
      </c>
      <c r="G204" s="155">
        <v>4854</v>
      </c>
    </row>
    <row r="205" spans="1:7" ht="15">
      <c r="A205" s="191">
        <v>202</v>
      </c>
      <c r="B205" s="147" t="s">
        <v>125</v>
      </c>
      <c r="C205" s="115">
        <v>39073</v>
      </c>
      <c r="D205" s="126" t="s">
        <v>58</v>
      </c>
      <c r="E205" s="126" t="s">
        <v>58</v>
      </c>
      <c r="F205" s="248">
        <v>17956.5</v>
      </c>
      <c r="G205" s="194">
        <v>3232</v>
      </c>
    </row>
    <row r="206" spans="1:7" ht="15">
      <c r="A206" s="188">
        <v>203</v>
      </c>
      <c r="B206" s="147" t="s">
        <v>125</v>
      </c>
      <c r="C206" s="115">
        <v>39073</v>
      </c>
      <c r="D206" s="280" t="s">
        <v>58</v>
      </c>
      <c r="E206" s="280" t="s">
        <v>58</v>
      </c>
      <c r="F206" s="248">
        <v>8405</v>
      </c>
      <c r="G206" s="194">
        <v>1984</v>
      </c>
    </row>
    <row r="207" spans="1:7" ht="15">
      <c r="A207" s="191">
        <v>204</v>
      </c>
      <c r="B207" s="245" t="s">
        <v>125</v>
      </c>
      <c r="C207" s="115">
        <v>39073</v>
      </c>
      <c r="D207" s="126" t="s">
        <v>58</v>
      </c>
      <c r="E207" s="126" t="s">
        <v>58</v>
      </c>
      <c r="F207" s="248">
        <v>3378.5</v>
      </c>
      <c r="G207" s="194">
        <v>1198</v>
      </c>
    </row>
    <row r="208" spans="1:7" ht="15">
      <c r="A208" s="191">
        <v>205</v>
      </c>
      <c r="B208" s="245" t="s">
        <v>125</v>
      </c>
      <c r="C208" s="115">
        <v>39073</v>
      </c>
      <c r="D208" s="126" t="s">
        <v>58</v>
      </c>
      <c r="E208" s="126" t="s">
        <v>58</v>
      </c>
      <c r="F208" s="252">
        <v>2380</v>
      </c>
      <c r="G208" s="194">
        <v>430</v>
      </c>
    </row>
    <row r="209" spans="1:7" ht="15">
      <c r="A209" s="188">
        <v>206</v>
      </c>
      <c r="B209" s="245" t="s">
        <v>125</v>
      </c>
      <c r="C209" s="115">
        <v>39073</v>
      </c>
      <c r="D209" s="126" t="s">
        <v>12</v>
      </c>
      <c r="E209" s="126" t="s">
        <v>58</v>
      </c>
      <c r="F209" s="248">
        <v>848</v>
      </c>
      <c r="G209" s="194">
        <v>350</v>
      </c>
    </row>
    <row r="210" spans="1:7" ht="15">
      <c r="A210" s="191">
        <v>207</v>
      </c>
      <c r="B210" s="245" t="s">
        <v>125</v>
      </c>
      <c r="C210" s="115">
        <v>39073</v>
      </c>
      <c r="D210" s="126" t="s">
        <v>58</v>
      </c>
      <c r="E210" s="126" t="s">
        <v>58</v>
      </c>
      <c r="F210" s="248">
        <v>497.5</v>
      </c>
      <c r="G210" s="194">
        <v>100</v>
      </c>
    </row>
    <row r="211" spans="1:7" ht="15">
      <c r="A211" s="191">
        <v>208</v>
      </c>
      <c r="B211" s="330" t="s">
        <v>125</v>
      </c>
      <c r="C211" s="324">
        <v>39073</v>
      </c>
      <c r="D211" s="323" t="s">
        <v>58</v>
      </c>
      <c r="E211" s="323" t="s">
        <v>58</v>
      </c>
      <c r="F211" s="335">
        <v>140</v>
      </c>
      <c r="G211" s="337">
        <v>35</v>
      </c>
    </row>
    <row r="212" spans="1:7" ht="15">
      <c r="A212" s="188">
        <v>209</v>
      </c>
      <c r="B212" s="148" t="s">
        <v>219</v>
      </c>
      <c r="C212" s="115">
        <v>38779</v>
      </c>
      <c r="D212" s="130" t="s">
        <v>23</v>
      </c>
      <c r="E212" s="129" t="s">
        <v>220</v>
      </c>
      <c r="F212" s="248">
        <v>952</v>
      </c>
      <c r="G212" s="194">
        <v>238</v>
      </c>
    </row>
    <row r="213" spans="1:7" ht="15">
      <c r="A213" s="191">
        <v>210</v>
      </c>
      <c r="B213" s="145" t="s">
        <v>159</v>
      </c>
      <c r="C213" s="114">
        <v>38933</v>
      </c>
      <c r="D213" s="124" t="s">
        <v>48</v>
      </c>
      <c r="E213" s="124" t="s">
        <v>62</v>
      </c>
      <c r="F213" s="250">
        <v>1785</v>
      </c>
      <c r="G213" s="195">
        <v>255</v>
      </c>
    </row>
    <row r="214" spans="1:7" ht="15">
      <c r="A214" s="191">
        <v>211</v>
      </c>
      <c r="B214" s="178" t="s">
        <v>159</v>
      </c>
      <c r="C214" s="114">
        <v>38933</v>
      </c>
      <c r="D214" s="176" t="s">
        <v>48</v>
      </c>
      <c r="E214" s="176" t="s">
        <v>62</v>
      </c>
      <c r="F214" s="250">
        <v>598</v>
      </c>
      <c r="G214" s="195">
        <v>119</v>
      </c>
    </row>
    <row r="215" spans="1:7" ht="15">
      <c r="A215" s="188">
        <v>212</v>
      </c>
      <c r="B215" s="145" t="s">
        <v>78</v>
      </c>
      <c r="C215" s="114">
        <v>39059</v>
      </c>
      <c r="D215" s="125" t="s">
        <v>56</v>
      </c>
      <c r="E215" s="124" t="s">
        <v>11</v>
      </c>
      <c r="F215" s="249">
        <v>1910</v>
      </c>
      <c r="G215" s="193">
        <v>284</v>
      </c>
    </row>
    <row r="216" spans="1:7" ht="15">
      <c r="A216" s="191">
        <v>213</v>
      </c>
      <c r="B216" s="145" t="s">
        <v>78</v>
      </c>
      <c r="C216" s="114">
        <v>39059</v>
      </c>
      <c r="D216" s="125" t="s">
        <v>56</v>
      </c>
      <c r="E216" s="124" t="s">
        <v>11</v>
      </c>
      <c r="F216" s="253">
        <v>1109</v>
      </c>
      <c r="G216" s="154">
        <v>168</v>
      </c>
    </row>
    <row r="217" spans="1:7" ht="15">
      <c r="A217" s="191">
        <v>214</v>
      </c>
      <c r="B217" s="178" t="s">
        <v>78</v>
      </c>
      <c r="C217" s="114">
        <v>39059</v>
      </c>
      <c r="D217" s="176" t="s">
        <v>56</v>
      </c>
      <c r="E217" s="176" t="s">
        <v>11</v>
      </c>
      <c r="F217" s="249">
        <v>911</v>
      </c>
      <c r="G217" s="193">
        <v>163</v>
      </c>
    </row>
    <row r="218" spans="1:7" ht="15">
      <c r="A218" s="188">
        <v>215</v>
      </c>
      <c r="B218" s="244" t="s">
        <v>78</v>
      </c>
      <c r="C218" s="114">
        <v>39059</v>
      </c>
      <c r="D218" s="125" t="s">
        <v>56</v>
      </c>
      <c r="E218" s="124" t="s">
        <v>11</v>
      </c>
      <c r="F218" s="249">
        <v>492</v>
      </c>
      <c r="G218" s="193">
        <v>70</v>
      </c>
    </row>
    <row r="219" spans="1:7" ht="15">
      <c r="A219" s="191">
        <v>216</v>
      </c>
      <c r="B219" s="244" t="s">
        <v>78</v>
      </c>
      <c r="C219" s="114">
        <v>39059</v>
      </c>
      <c r="D219" s="125" t="s">
        <v>56</v>
      </c>
      <c r="E219" s="124" t="s">
        <v>11</v>
      </c>
      <c r="F219" s="253">
        <v>452</v>
      </c>
      <c r="G219" s="193">
        <v>72</v>
      </c>
    </row>
    <row r="220" spans="1:7" ht="15">
      <c r="A220" s="191">
        <v>217</v>
      </c>
      <c r="B220" s="244" t="s">
        <v>78</v>
      </c>
      <c r="C220" s="114">
        <v>39059</v>
      </c>
      <c r="D220" s="125" t="s">
        <v>56</v>
      </c>
      <c r="E220" s="124" t="s">
        <v>11</v>
      </c>
      <c r="F220" s="253">
        <v>190</v>
      </c>
      <c r="G220" s="193">
        <v>38</v>
      </c>
    </row>
    <row r="221" spans="1:7" ht="15">
      <c r="A221" s="188">
        <v>218</v>
      </c>
      <c r="B221" s="247" t="s">
        <v>78</v>
      </c>
      <c r="C221" s="114">
        <v>39059</v>
      </c>
      <c r="D221" s="316" t="s">
        <v>56</v>
      </c>
      <c r="E221" s="316" t="s">
        <v>11</v>
      </c>
      <c r="F221" s="249">
        <v>76</v>
      </c>
      <c r="G221" s="193">
        <v>12</v>
      </c>
    </row>
    <row r="222" spans="1:7" ht="15">
      <c r="A222" s="191">
        <v>219</v>
      </c>
      <c r="B222" s="332" t="s">
        <v>78</v>
      </c>
      <c r="C222" s="114">
        <v>39059</v>
      </c>
      <c r="D222" s="176" t="s">
        <v>56</v>
      </c>
      <c r="E222" s="176" t="s">
        <v>11</v>
      </c>
      <c r="F222" s="249">
        <v>71</v>
      </c>
      <c r="G222" s="193">
        <v>12</v>
      </c>
    </row>
    <row r="223" spans="1:7" ht="15">
      <c r="A223" s="191">
        <v>220</v>
      </c>
      <c r="B223" s="146" t="s">
        <v>111</v>
      </c>
      <c r="C223" s="149">
        <v>39066</v>
      </c>
      <c r="D223" s="126" t="s">
        <v>57</v>
      </c>
      <c r="E223" s="144" t="s">
        <v>65</v>
      </c>
      <c r="F223" s="254">
        <v>464996</v>
      </c>
      <c r="G223" s="155">
        <v>59280</v>
      </c>
    </row>
    <row r="224" spans="1:7" ht="15">
      <c r="A224" s="188">
        <v>221</v>
      </c>
      <c r="B224" s="179" t="s">
        <v>111</v>
      </c>
      <c r="C224" s="115">
        <v>39066</v>
      </c>
      <c r="D224" s="175" t="s">
        <v>57</v>
      </c>
      <c r="E224" s="175" t="s">
        <v>65</v>
      </c>
      <c r="F224" s="248">
        <v>113805</v>
      </c>
      <c r="G224" s="194">
        <v>17354</v>
      </c>
    </row>
    <row r="225" spans="1:7" ht="15">
      <c r="A225" s="191">
        <v>222</v>
      </c>
      <c r="B225" s="147" t="s">
        <v>111</v>
      </c>
      <c r="C225" s="115">
        <v>39066</v>
      </c>
      <c r="D225" s="126" t="s">
        <v>57</v>
      </c>
      <c r="E225" s="126" t="s">
        <v>65</v>
      </c>
      <c r="F225" s="248">
        <v>53915</v>
      </c>
      <c r="G225" s="194">
        <v>10777</v>
      </c>
    </row>
    <row r="226" spans="1:7" ht="15">
      <c r="A226" s="191">
        <v>223</v>
      </c>
      <c r="B226" s="245" t="s">
        <v>111</v>
      </c>
      <c r="C226" s="115">
        <v>39066</v>
      </c>
      <c r="D226" s="126" t="s">
        <v>57</v>
      </c>
      <c r="E226" s="126" t="s">
        <v>65</v>
      </c>
      <c r="F226" s="248">
        <v>25324</v>
      </c>
      <c r="G226" s="194">
        <v>4706</v>
      </c>
    </row>
    <row r="227" spans="1:7" ht="15">
      <c r="A227" s="188">
        <v>224</v>
      </c>
      <c r="B227" s="245" t="s">
        <v>111</v>
      </c>
      <c r="C227" s="115">
        <v>39066</v>
      </c>
      <c r="D227" s="126" t="s">
        <v>57</v>
      </c>
      <c r="E227" s="126" t="s">
        <v>65</v>
      </c>
      <c r="F227" s="252">
        <v>18828</v>
      </c>
      <c r="G227" s="194">
        <v>3600</v>
      </c>
    </row>
    <row r="228" spans="1:7" ht="15">
      <c r="A228" s="191">
        <v>225</v>
      </c>
      <c r="B228" s="147" t="s">
        <v>111</v>
      </c>
      <c r="C228" s="115">
        <v>39066</v>
      </c>
      <c r="D228" s="126" t="s">
        <v>57</v>
      </c>
      <c r="E228" s="126" t="s">
        <v>65</v>
      </c>
      <c r="F228" s="248">
        <v>13632</v>
      </c>
      <c r="G228" s="194">
        <v>2800</v>
      </c>
    </row>
    <row r="229" spans="1:7" ht="15">
      <c r="A229" s="191">
        <v>226</v>
      </c>
      <c r="B229" s="146" t="s">
        <v>111</v>
      </c>
      <c r="C229" s="149">
        <v>39066</v>
      </c>
      <c r="D229" s="272" t="s">
        <v>57</v>
      </c>
      <c r="E229" s="272" t="s">
        <v>65</v>
      </c>
      <c r="F229" s="254">
        <v>7655</v>
      </c>
      <c r="G229" s="155">
        <v>1253</v>
      </c>
    </row>
    <row r="230" spans="1:7" ht="15">
      <c r="A230" s="188">
        <v>227</v>
      </c>
      <c r="B230" s="147" t="s">
        <v>111</v>
      </c>
      <c r="C230" s="115">
        <v>39066</v>
      </c>
      <c r="D230" s="280" t="s">
        <v>57</v>
      </c>
      <c r="E230" s="280" t="s">
        <v>65</v>
      </c>
      <c r="F230" s="248">
        <v>1899</v>
      </c>
      <c r="G230" s="194">
        <v>287</v>
      </c>
    </row>
    <row r="231" spans="1:7" ht="15">
      <c r="A231" s="191">
        <v>228</v>
      </c>
      <c r="B231" s="246" t="s">
        <v>111</v>
      </c>
      <c r="C231" s="115">
        <v>39073</v>
      </c>
      <c r="D231" s="318" t="s">
        <v>57</v>
      </c>
      <c r="E231" s="318" t="s">
        <v>65</v>
      </c>
      <c r="F231" s="248">
        <v>1750</v>
      </c>
      <c r="G231" s="194">
        <v>525</v>
      </c>
    </row>
    <row r="232" spans="1:7" ht="15">
      <c r="A232" s="191">
        <v>229</v>
      </c>
      <c r="B232" s="245" t="s">
        <v>111</v>
      </c>
      <c r="C232" s="115">
        <v>39073</v>
      </c>
      <c r="D232" s="126" t="s">
        <v>57</v>
      </c>
      <c r="E232" s="126" t="s">
        <v>63</v>
      </c>
      <c r="F232" s="252">
        <v>1214</v>
      </c>
      <c r="G232" s="194">
        <v>237</v>
      </c>
    </row>
    <row r="233" spans="1:7" ht="15">
      <c r="A233" s="188">
        <v>230</v>
      </c>
      <c r="B233" s="245" t="s">
        <v>111</v>
      </c>
      <c r="C233" s="115">
        <v>39073</v>
      </c>
      <c r="D233" s="126" t="s">
        <v>57</v>
      </c>
      <c r="E233" s="126" t="s">
        <v>63</v>
      </c>
      <c r="F233" s="248">
        <v>1004</v>
      </c>
      <c r="G233" s="194">
        <v>160</v>
      </c>
    </row>
    <row r="234" spans="1:7" ht="15">
      <c r="A234" s="191">
        <v>231</v>
      </c>
      <c r="B234" s="281" t="s">
        <v>111</v>
      </c>
      <c r="C234" s="149">
        <v>39066</v>
      </c>
      <c r="D234" s="272" t="s">
        <v>57</v>
      </c>
      <c r="E234" s="272" t="s">
        <v>65</v>
      </c>
      <c r="F234" s="254">
        <v>482</v>
      </c>
      <c r="G234" s="155">
        <v>91</v>
      </c>
    </row>
    <row r="235" spans="1:7" ht="15">
      <c r="A235" s="191">
        <v>232</v>
      </c>
      <c r="B235" s="245" t="s">
        <v>111</v>
      </c>
      <c r="C235" s="115">
        <v>39073</v>
      </c>
      <c r="D235" s="126" t="s">
        <v>57</v>
      </c>
      <c r="E235" s="126" t="s">
        <v>63</v>
      </c>
      <c r="F235" s="248">
        <v>74</v>
      </c>
      <c r="G235" s="194">
        <v>11</v>
      </c>
    </row>
    <row r="236" spans="1:7" ht="15">
      <c r="A236" s="188">
        <v>233</v>
      </c>
      <c r="B236" s="148" t="s">
        <v>87</v>
      </c>
      <c r="C236" s="115">
        <v>38898</v>
      </c>
      <c r="D236" s="130" t="s">
        <v>23</v>
      </c>
      <c r="E236" s="129" t="s">
        <v>162</v>
      </c>
      <c r="F236" s="252">
        <v>1068</v>
      </c>
      <c r="G236" s="157">
        <v>356</v>
      </c>
    </row>
    <row r="237" spans="1:7" ht="15">
      <c r="A237" s="191">
        <v>234</v>
      </c>
      <c r="B237" s="148" t="s">
        <v>87</v>
      </c>
      <c r="C237" s="115">
        <v>38898</v>
      </c>
      <c r="D237" s="130" t="s">
        <v>23</v>
      </c>
      <c r="E237" s="129" t="s">
        <v>162</v>
      </c>
      <c r="F237" s="248">
        <v>454.3</v>
      </c>
      <c r="G237" s="194">
        <v>278</v>
      </c>
    </row>
    <row r="238" spans="1:7" ht="15">
      <c r="A238" s="191">
        <v>235</v>
      </c>
      <c r="B238" s="148" t="s">
        <v>87</v>
      </c>
      <c r="C238" s="115">
        <v>38898</v>
      </c>
      <c r="D238" s="130" t="s">
        <v>23</v>
      </c>
      <c r="E238" s="129" t="s">
        <v>162</v>
      </c>
      <c r="F238" s="248">
        <v>400</v>
      </c>
      <c r="G238" s="194">
        <v>80</v>
      </c>
    </row>
    <row r="239" spans="1:7" ht="15">
      <c r="A239" s="188">
        <v>236</v>
      </c>
      <c r="B239" s="179" t="s">
        <v>87</v>
      </c>
      <c r="C239" s="115">
        <v>38898</v>
      </c>
      <c r="D239" s="175" t="s">
        <v>23</v>
      </c>
      <c r="E239" s="175" t="s">
        <v>162</v>
      </c>
      <c r="F239" s="248">
        <v>30.5</v>
      </c>
      <c r="G239" s="194">
        <v>12</v>
      </c>
    </row>
    <row r="240" spans="1:7" ht="15">
      <c r="A240" s="191">
        <v>237</v>
      </c>
      <c r="B240" s="281" t="s">
        <v>15</v>
      </c>
      <c r="C240" s="149">
        <v>38947</v>
      </c>
      <c r="D240" s="272" t="s">
        <v>58</v>
      </c>
      <c r="E240" s="272" t="s">
        <v>59</v>
      </c>
      <c r="F240" s="254">
        <v>28400</v>
      </c>
      <c r="G240" s="155">
        <v>5667</v>
      </c>
    </row>
    <row r="241" spans="1:7" ht="15">
      <c r="A241" s="191">
        <v>238</v>
      </c>
      <c r="B241" s="245" t="s">
        <v>15</v>
      </c>
      <c r="C241" s="115">
        <v>38947</v>
      </c>
      <c r="D241" s="126" t="s">
        <v>58</v>
      </c>
      <c r="E241" s="126" t="s">
        <v>59</v>
      </c>
      <c r="F241" s="252">
        <v>4027.5</v>
      </c>
      <c r="G241" s="157">
        <v>806</v>
      </c>
    </row>
    <row r="242" spans="1:7" ht="15">
      <c r="A242" s="188">
        <v>239</v>
      </c>
      <c r="B242" s="146" t="s">
        <v>15</v>
      </c>
      <c r="C242" s="149">
        <v>38947</v>
      </c>
      <c r="D242" s="144" t="s">
        <v>58</v>
      </c>
      <c r="E242" s="144" t="s">
        <v>59</v>
      </c>
      <c r="F242" s="254">
        <v>1386</v>
      </c>
      <c r="G242" s="155">
        <v>318</v>
      </c>
    </row>
    <row r="243" spans="1:7" ht="15">
      <c r="A243" s="191">
        <v>240</v>
      </c>
      <c r="B243" s="179" t="s">
        <v>15</v>
      </c>
      <c r="C243" s="115">
        <v>38947</v>
      </c>
      <c r="D243" s="175" t="s">
        <v>58</v>
      </c>
      <c r="E243" s="175" t="s">
        <v>59</v>
      </c>
      <c r="F243" s="248">
        <v>611</v>
      </c>
      <c r="G243" s="194">
        <v>132</v>
      </c>
    </row>
    <row r="244" spans="1:7" ht="15">
      <c r="A244" s="191">
        <v>241</v>
      </c>
      <c r="B244" s="147" t="s">
        <v>15</v>
      </c>
      <c r="C244" s="115">
        <v>38947</v>
      </c>
      <c r="D244" s="280" t="s">
        <v>58</v>
      </c>
      <c r="E244" s="280" t="s">
        <v>59</v>
      </c>
      <c r="F244" s="248">
        <v>530</v>
      </c>
      <c r="G244" s="194">
        <v>105</v>
      </c>
    </row>
    <row r="245" spans="1:7" ht="15">
      <c r="A245" s="188">
        <v>242</v>
      </c>
      <c r="B245" s="245" t="s">
        <v>15</v>
      </c>
      <c r="C245" s="115">
        <v>38947</v>
      </c>
      <c r="D245" s="126" t="s">
        <v>12</v>
      </c>
      <c r="E245" s="126" t="s">
        <v>59</v>
      </c>
      <c r="F245" s="248">
        <v>130</v>
      </c>
      <c r="G245" s="194">
        <v>18</v>
      </c>
    </row>
    <row r="246" spans="1:7" ht="15">
      <c r="A246" s="191">
        <v>243</v>
      </c>
      <c r="B246" s="247" t="s">
        <v>276</v>
      </c>
      <c r="C246" s="114">
        <v>38464</v>
      </c>
      <c r="D246" s="127" t="s">
        <v>46</v>
      </c>
      <c r="E246" s="127" t="s">
        <v>277</v>
      </c>
      <c r="F246" s="249">
        <v>5346</v>
      </c>
      <c r="G246" s="193">
        <v>1782</v>
      </c>
    </row>
    <row r="247" spans="1:7" ht="15">
      <c r="A247" s="191">
        <v>244</v>
      </c>
      <c r="B247" s="146" t="s">
        <v>36</v>
      </c>
      <c r="C247" s="149">
        <v>39031</v>
      </c>
      <c r="D247" s="144" t="s">
        <v>58</v>
      </c>
      <c r="E247" s="144" t="s">
        <v>59</v>
      </c>
      <c r="F247" s="254">
        <v>3021</v>
      </c>
      <c r="G247" s="155">
        <v>605</v>
      </c>
    </row>
    <row r="248" spans="1:7" ht="15">
      <c r="A248" s="188">
        <v>245</v>
      </c>
      <c r="B248" s="147" t="s">
        <v>36</v>
      </c>
      <c r="C248" s="115">
        <v>39031</v>
      </c>
      <c r="D248" s="126" t="s">
        <v>58</v>
      </c>
      <c r="E248" s="126" t="s">
        <v>59</v>
      </c>
      <c r="F248" s="248">
        <v>858</v>
      </c>
      <c r="G248" s="194">
        <v>170</v>
      </c>
    </row>
    <row r="249" spans="1:7" ht="15">
      <c r="A249" s="191">
        <v>246</v>
      </c>
      <c r="B249" s="246" t="s">
        <v>194</v>
      </c>
      <c r="C249" s="115">
        <v>38779</v>
      </c>
      <c r="D249" s="130" t="s">
        <v>23</v>
      </c>
      <c r="E249" s="129" t="s">
        <v>195</v>
      </c>
      <c r="F249" s="248">
        <v>952</v>
      </c>
      <c r="G249" s="194">
        <v>238</v>
      </c>
    </row>
    <row r="250" spans="1:7" ht="15">
      <c r="A250" s="191">
        <v>247</v>
      </c>
      <c r="B250" s="145" t="s">
        <v>91</v>
      </c>
      <c r="C250" s="114">
        <v>39010</v>
      </c>
      <c r="D250" s="125" t="s">
        <v>56</v>
      </c>
      <c r="E250" s="124" t="s">
        <v>71</v>
      </c>
      <c r="F250" s="253">
        <v>1876</v>
      </c>
      <c r="G250" s="154">
        <v>410</v>
      </c>
    </row>
    <row r="251" spans="1:7" ht="15">
      <c r="A251" s="188">
        <v>248</v>
      </c>
      <c r="B251" s="178" t="s">
        <v>91</v>
      </c>
      <c r="C251" s="114">
        <v>39010</v>
      </c>
      <c r="D251" s="176" t="s">
        <v>56</v>
      </c>
      <c r="E251" s="176" t="s">
        <v>71</v>
      </c>
      <c r="F251" s="249">
        <v>582</v>
      </c>
      <c r="G251" s="193">
        <v>86</v>
      </c>
    </row>
    <row r="252" spans="1:7" ht="15">
      <c r="A252" s="191">
        <v>249</v>
      </c>
      <c r="B252" s="145" t="s">
        <v>91</v>
      </c>
      <c r="C252" s="114">
        <v>39010</v>
      </c>
      <c r="D252" s="125" t="s">
        <v>56</v>
      </c>
      <c r="E252" s="124" t="s">
        <v>71</v>
      </c>
      <c r="F252" s="249">
        <v>267</v>
      </c>
      <c r="G252" s="193">
        <v>37</v>
      </c>
    </row>
    <row r="253" spans="1:7" ht="15">
      <c r="A253" s="191">
        <v>250</v>
      </c>
      <c r="B253" s="179" t="s">
        <v>43</v>
      </c>
      <c r="C253" s="115">
        <v>39038</v>
      </c>
      <c r="D253" s="175" t="s">
        <v>57</v>
      </c>
      <c r="E253" s="175" t="s">
        <v>71</v>
      </c>
      <c r="F253" s="248">
        <v>2705</v>
      </c>
      <c r="G253" s="194">
        <v>636</v>
      </c>
    </row>
    <row r="254" spans="1:7" ht="15">
      <c r="A254" s="188">
        <v>251</v>
      </c>
      <c r="B254" s="147" t="s">
        <v>43</v>
      </c>
      <c r="C254" s="115">
        <v>39038</v>
      </c>
      <c r="D254" s="126" t="s">
        <v>57</v>
      </c>
      <c r="E254" s="126" t="s">
        <v>71</v>
      </c>
      <c r="F254" s="248">
        <v>746</v>
      </c>
      <c r="G254" s="194">
        <v>319</v>
      </c>
    </row>
    <row r="255" spans="1:7" ht="15">
      <c r="A255" s="191">
        <v>252</v>
      </c>
      <c r="B255" s="146" t="s">
        <v>43</v>
      </c>
      <c r="C255" s="149">
        <v>39038</v>
      </c>
      <c r="D255" s="126" t="s">
        <v>57</v>
      </c>
      <c r="E255" s="144" t="s">
        <v>71</v>
      </c>
      <c r="F255" s="254">
        <v>197</v>
      </c>
      <c r="G255" s="155">
        <v>24</v>
      </c>
    </row>
    <row r="256" spans="1:7" ht="15">
      <c r="A256" s="191">
        <v>253</v>
      </c>
      <c r="B256" s="245" t="s">
        <v>77</v>
      </c>
      <c r="C256" s="115">
        <v>39045</v>
      </c>
      <c r="D256" s="126" t="s">
        <v>58</v>
      </c>
      <c r="E256" s="126" t="s">
        <v>39</v>
      </c>
      <c r="F256" s="248">
        <v>20659.5</v>
      </c>
      <c r="G256" s="194">
        <v>4132</v>
      </c>
    </row>
    <row r="257" spans="1:7" ht="15">
      <c r="A257" s="188">
        <v>254</v>
      </c>
      <c r="B257" s="245" t="s">
        <v>77</v>
      </c>
      <c r="C257" s="115">
        <v>39045</v>
      </c>
      <c r="D257" s="126" t="s">
        <v>58</v>
      </c>
      <c r="E257" s="126" t="s">
        <v>39</v>
      </c>
      <c r="F257" s="248">
        <v>29071.5</v>
      </c>
      <c r="G257" s="194">
        <v>5809</v>
      </c>
    </row>
    <row r="258" spans="1:7" ht="15">
      <c r="A258" s="191">
        <v>255</v>
      </c>
      <c r="B258" s="146" t="s">
        <v>77</v>
      </c>
      <c r="C258" s="149">
        <v>39045</v>
      </c>
      <c r="D258" s="144" t="s">
        <v>58</v>
      </c>
      <c r="E258" s="144" t="s">
        <v>39</v>
      </c>
      <c r="F258" s="254">
        <v>17062</v>
      </c>
      <c r="G258" s="155">
        <v>3367</v>
      </c>
    </row>
    <row r="259" spans="1:7" ht="15">
      <c r="A259" s="191">
        <v>256</v>
      </c>
      <c r="B259" s="179" t="s">
        <v>77</v>
      </c>
      <c r="C259" s="115">
        <v>39045</v>
      </c>
      <c r="D259" s="175" t="s">
        <v>58</v>
      </c>
      <c r="E259" s="175" t="s">
        <v>39</v>
      </c>
      <c r="F259" s="248">
        <v>5450</v>
      </c>
      <c r="G259" s="194">
        <v>985</v>
      </c>
    </row>
    <row r="260" spans="1:7" ht="15">
      <c r="A260" s="188">
        <v>257</v>
      </c>
      <c r="B260" s="147" t="s">
        <v>77</v>
      </c>
      <c r="C260" s="115">
        <v>39045</v>
      </c>
      <c r="D260" s="126" t="s">
        <v>58</v>
      </c>
      <c r="E260" s="126" t="s">
        <v>39</v>
      </c>
      <c r="F260" s="248">
        <v>5150</v>
      </c>
      <c r="G260" s="194">
        <v>717</v>
      </c>
    </row>
    <row r="261" spans="1:7" ht="15">
      <c r="A261" s="191">
        <v>258</v>
      </c>
      <c r="B261" s="146" t="s">
        <v>77</v>
      </c>
      <c r="C261" s="149">
        <v>39045</v>
      </c>
      <c r="D261" s="272" t="s">
        <v>58</v>
      </c>
      <c r="E261" s="271" t="s">
        <v>39</v>
      </c>
      <c r="F261" s="254">
        <v>2038</v>
      </c>
      <c r="G261" s="155">
        <v>401</v>
      </c>
    </row>
    <row r="262" spans="1:7" ht="15">
      <c r="A262" s="191">
        <v>259</v>
      </c>
      <c r="B262" s="147" t="s">
        <v>77</v>
      </c>
      <c r="C262" s="115">
        <v>39045</v>
      </c>
      <c r="D262" s="126" t="s">
        <v>58</v>
      </c>
      <c r="E262" s="126" t="s">
        <v>39</v>
      </c>
      <c r="F262" s="248">
        <v>960</v>
      </c>
      <c r="G262" s="194">
        <v>240</v>
      </c>
    </row>
    <row r="263" spans="1:7" ht="15">
      <c r="A263" s="188">
        <v>260</v>
      </c>
      <c r="B263" s="147" t="s">
        <v>77</v>
      </c>
      <c r="C263" s="115">
        <v>39045</v>
      </c>
      <c r="D263" s="280" t="s">
        <v>58</v>
      </c>
      <c r="E263" s="280" t="s">
        <v>39</v>
      </c>
      <c r="F263" s="248">
        <v>657</v>
      </c>
      <c r="G263" s="194">
        <v>144</v>
      </c>
    </row>
    <row r="264" spans="1:7" ht="15">
      <c r="A264" s="191">
        <v>261</v>
      </c>
      <c r="B264" s="247" t="s">
        <v>96</v>
      </c>
      <c r="C264" s="114">
        <v>39010</v>
      </c>
      <c r="D264" s="127" t="s">
        <v>45</v>
      </c>
      <c r="E264" s="127" t="s">
        <v>97</v>
      </c>
      <c r="F264" s="253">
        <v>37033.5</v>
      </c>
      <c r="G264" s="193">
        <v>5902</v>
      </c>
    </row>
    <row r="265" spans="1:7" ht="15">
      <c r="A265" s="191">
        <v>262</v>
      </c>
      <c r="B265" s="143" t="s">
        <v>96</v>
      </c>
      <c r="C265" s="114">
        <v>39010</v>
      </c>
      <c r="D265" s="127" t="s">
        <v>45</v>
      </c>
      <c r="E265" s="127" t="s">
        <v>97</v>
      </c>
      <c r="F265" s="249">
        <v>2834</v>
      </c>
      <c r="G265" s="193">
        <v>949</v>
      </c>
    </row>
    <row r="266" spans="1:7" ht="15">
      <c r="A266" s="188">
        <v>263</v>
      </c>
      <c r="B266" s="143" t="s">
        <v>96</v>
      </c>
      <c r="C266" s="114">
        <v>39010</v>
      </c>
      <c r="D266" s="127" t="s">
        <v>45</v>
      </c>
      <c r="E266" s="127" t="s">
        <v>97</v>
      </c>
      <c r="F266" s="253">
        <v>2245.5</v>
      </c>
      <c r="G266" s="154">
        <v>312</v>
      </c>
    </row>
    <row r="267" spans="1:7" ht="15">
      <c r="A267" s="191">
        <v>264</v>
      </c>
      <c r="B267" s="178" t="s">
        <v>96</v>
      </c>
      <c r="C267" s="114">
        <v>39010</v>
      </c>
      <c r="D267" s="176" t="s">
        <v>45</v>
      </c>
      <c r="E267" s="176" t="s">
        <v>97</v>
      </c>
      <c r="F267" s="249">
        <v>1320</v>
      </c>
      <c r="G267" s="193">
        <v>175</v>
      </c>
    </row>
    <row r="268" spans="1:7" ht="15">
      <c r="A268" s="191">
        <v>265</v>
      </c>
      <c r="B268" s="143" t="s">
        <v>96</v>
      </c>
      <c r="C268" s="114">
        <v>39010</v>
      </c>
      <c r="D268" s="127" t="s">
        <v>45</v>
      </c>
      <c r="E268" s="127" t="s">
        <v>97</v>
      </c>
      <c r="F268" s="249">
        <v>528</v>
      </c>
      <c r="G268" s="193">
        <v>80</v>
      </c>
    </row>
    <row r="269" spans="1:7" ht="15">
      <c r="A269" s="188">
        <v>266</v>
      </c>
      <c r="B269" s="247" t="s">
        <v>96</v>
      </c>
      <c r="C269" s="114">
        <v>39010</v>
      </c>
      <c r="D269" s="127" t="s">
        <v>45</v>
      </c>
      <c r="E269" s="127" t="s">
        <v>97</v>
      </c>
      <c r="F269" s="249">
        <v>224</v>
      </c>
      <c r="G269" s="193">
        <v>30</v>
      </c>
    </row>
    <row r="270" spans="1:7" ht="15">
      <c r="A270" s="191">
        <v>267</v>
      </c>
      <c r="B270" s="145" t="s">
        <v>52</v>
      </c>
      <c r="C270" s="114">
        <v>38800</v>
      </c>
      <c r="D270" s="124" t="s">
        <v>48</v>
      </c>
      <c r="E270" s="124" t="s">
        <v>70</v>
      </c>
      <c r="F270" s="255">
        <v>551</v>
      </c>
      <c r="G270" s="156">
        <v>90</v>
      </c>
    </row>
    <row r="271" spans="1:7" ht="15">
      <c r="A271" s="191">
        <v>268</v>
      </c>
      <c r="B271" s="244" t="s">
        <v>196</v>
      </c>
      <c r="C271" s="114">
        <v>38618</v>
      </c>
      <c r="D271" s="124" t="s">
        <v>48</v>
      </c>
      <c r="E271" s="124" t="s">
        <v>197</v>
      </c>
      <c r="F271" s="250">
        <v>1188</v>
      </c>
      <c r="G271" s="195">
        <v>396</v>
      </c>
    </row>
    <row r="272" spans="1:7" ht="15">
      <c r="A272" s="188">
        <v>269</v>
      </c>
      <c r="B272" s="246" t="s">
        <v>83</v>
      </c>
      <c r="C272" s="115">
        <v>38877</v>
      </c>
      <c r="D272" s="130" t="s">
        <v>23</v>
      </c>
      <c r="E272" s="129" t="s">
        <v>27</v>
      </c>
      <c r="F272" s="248">
        <v>81</v>
      </c>
      <c r="G272" s="194">
        <v>18</v>
      </c>
    </row>
    <row r="273" spans="1:7" ht="15">
      <c r="A273" s="191">
        <v>270</v>
      </c>
      <c r="B273" s="333" t="s">
        <v>83</v>
      </c>
      <c r="C273" s="115">
        <v>38877</v>
      </c>
      <c r="D273" s="175" t="s">
        <v>23</v>
      </c>
      <c r="E273" s="175" t="s">
        <v>27</v>
      </c>
      <c r="F273" s="248">
        <v>6416</v>
      </c>
      <c r="G273" s="194">
        <v>1604</v>
      </c>
    </row>
    <row r="274" spans="1:7" ht="15">
      <c r="A274" s="191">
        <v>271</v>
      </c>
      <c r="B274" s="246" t="s">
        <v>83</v>
      </c>
      <c r="C274" s="115">
        <v>38877</v>
      </c>
      <c r="D274" s="130" t="s">
        <v>23</v>
      </c>
      <c r="E274" s="129" t="s">
        <v>27</v>
      </c>
      <c r="F274" s="248">
        <v>5364.5</v>
      </c>
      <c r="G274" s="194">
        <v>1324</v>
      </c>
    </row>
    <row r="275" spans="1:7" ht="15">
      <c r="A275" s="188">
        <v>272</v>
      </c>
      <c r="B275" s="246" t="s">
        <v>83</v>
      </c>
      <c r="C275" s="115">
        <v>38877</v>
      </c>
      <c r="D275" s="130" t="s">
        <v>23</v>
      </c>
      <c r="E275" s="129" t="s">
        <v>27</v>
      </c>
      <c r="F275" s="252">
        <v>3636.5</v>
      </c>
      <c r="G275" s="157">
        <v>885</v>
      </c>
    </row>
    <row r="276" spans="1:7" ht="15">
      <c r="A276" s="191">
        <v>273</v>
      </c>
      <c r="B276" s="246" t="s">
        <v>83</v>
      </c>
      <c r="C276" s="115">
        <v>38877</v>
      </c>
      <c r="D276" s="318" t="s">
        <v>23</v>
      </c>
      <c r="E276" s="318" t="s">
        <v>27</v>
      </c>
      <c r="F276" s="248">
        <v>1580.5</v>
      </c>
      <c r="G276" s="194">
        <v>370</v>
      </c>
    </row>
    <row r="277" spans="1:7" ht="15">
      <c r="A277" s="191">
        <v>274</v>
      </c>
      <c r="B277" s="148" t="s">
        <v>83</v>
      </c>
      <c r="C277" s="115">
        <v>38877</v>
      </c>
      <c r="D277" s="130" t="s">
        <v>23</v>
      </c>
      <c r="E277" s="129" t="s">
        <v>27</v>
      </c>
      <c r="F277" s="248">
        <v>1105</v>
      </c>
      <c r="G277" s="194">
        <v>285</v>
      </c>
    </row>
    <row r="278" spans="1:7" ht="15">
      <c r="A278" s="188">
        <v>275</v>
      </c>
      <c r="B278" s="246" t="s">
        <v>83</v>
      </c>
      <c r="C278" s="115">
        <v>38877</v>
      </c>
      <c r="D278" s="130" t="s">
        <v>23</v>
      </c>
      <c r="E278" s="129" t="s">
        <v>27</v>
      </c>
      <c r="F278" s="248">
        <v>1086</v>
      </c>
      <c r="G278" s="194">
        <v>267</v>
      </c>
    </row>
    <row r="279" spans="1:7" ht="15">
      <c r="A279" s="191">
        <v>276</v>
      </c>
      <c r="B279" s="246" t="s">
        <v>83</v>
      </c>
      <c r="C279" s="115">
        <v>38877</v>
      </c>
      <c r="D279" s="130" t="s">
        <v>23</v>
      </c>
      <c r="E279" s="129" t="s">
        <v>27</v>
      </c>
      <c r="F279" s="248">
        <v>914</v>
      </c>
      <c r="G279" s="194">
        <v>239</v>
      </c>
    </row>
    <row r="280" spans="1:7" ht="15">
      <c r="A280" s="191">
        <v>277</v>
      </c>
      <c r="B280" s="246" t="s">
        <v>83</v>
      </c>
      <c r="C280" s="115">
        <v>38877</v>
      </c>
      <c r="D280" s="130" t="s">
        <v>23</v>
      </c>
      <c r="E280" s="129" t="s">
        <v>27</v>
      </c>
      <c r="F280" s="252">
        <v>789.5</v>
      </c>
      <c r="G280" s="194">
        <v>177</v>
      </c>
    </row>
    <row r="281" spans="1:7" ht="15">
      <c r="A281" s="188">
        <v>278</v>
      </c>
      <c r="B281" s="179" t="s">
        <v>83</v>
      </c>
      <c r="C281" s="115">
        <v>38877</v>
      </c>
      <c r="D281" s="175" t="s">
        <v>23</v>
      </c>
      <c r="E281" s="175" t="s">
        <v>27</v>
      </c>
      <c r="F281" s="248">
        <v>755</v>
      </c>
      <c r="G281" s="194">
        <v>140</v>
      </c>
    </row>
    <row r="282" spans="1:7" ht="15">
      <c r="A282" s="191">
        <v>279</v>
      </c>
      <c r="B282" s="246" t="s">
        <v>83</v>
      </c>
      <c r="C282" s="115">
        <v>38877</v>
      </c>
      <c r="D282" s="130" t="s">
        <v>23</v>
      </c>
      <c r="E282" s="129" t="s">
        <v>27</v>
      </c>
      <c r="F282" s="248">
        <v>725</v>
      </c>
      <c r="G282" s="194">
        <v>145</v>
      </c>
    </row>
    <row r="283" spans="1:7" ht="15">
      <c r="A283" s="191">
        <v>280</v>
      </c>
      <c r="B283" s="148" t="s">
        <v>83</v>
      </c>
      <c r="C283" s="115">
        <v>38877</v>
      </c>
      <c r="D283" s="130" t="s">
        <v>23</v>
      </c>
      <c r="E283" s="129" t="s">
        <v>27</v>
      </c>
      <c r="F283" s="252">
        <v>160</v>
      </c>
      <c r="G283" s="157">
        <v>16</v>
      </c>
    </row>
    <row r="284" spans="1:7" ht="15">
      <c r="A284" s="188">
        <v>281</v>
      </c>
      <c r="B284" s="246" t="s">
        <v>83</v>
      </c>
      <c r="C284" s="115">
        <v>38877</v>
      </c>
      <c r="D284" s="130" t="s">
        <v>23</v>
      </c>
      <c r="E284" s="129" t="s">
        <v>27</v>
      </c>
      <c r="F284" s="252">
        <v>158</v>
      </c>
      <c r="G284" s="157">
        <v>37</v>
      </c>
    </row>
    <row r="285" spans="1:7" ht="15">
      <c r="A285" s="191">
        <v>282</v>
      </c>
      <c r="B285" s="245" t="s">
        <v>252</v>
      </c>
      <c r="C285" s="115">
        <v>38821</v>
      </c>
      <c r="D285" s="126" t="s">
        <v>58</v>
      </c>
      <c r="E285" s="126" t="s">
        <v>59</v>
      </c>
      <c r="F285" s="252">
        <v>5035</v>
      </c>
      <c r="G285" s="194">
        <v>1007</v>
      </c>
    </row>
    <row r="286" spans="1:7" ht="15">
      <c r="A286" s="191">
        <v>283</v>
      </c>
      <c r="B286" s="245" t="s">
        <v>252</v>
      </c>
      <c r="C286" s="115">
        <v>38821</v>
      </c>
      <c r="D286" s="126" t="s">
        <v>58</v>
      </c>
      <c r="E286" s="126" t="s">
        <v>59</v>
      </c>
      <c r="F286" s="252">
        <v>4651.5</v>
      </c>
      <c r="G286" s="157">
        <v>884</v>
      </c>
    </row>
    <row r="287" spans="1:7" ht="15">
      <c r="A287" s="188">
        <v>284</v>
      </c>
      <c r="B287" s="333" t="s">
        <v>252</v>
      </c>
      <c r="C287" s="115">
        <v>38821</v>
      </c>
      <c r="D287" s="175" t="s">
        <v>58</v>
      </c>
      <c r="E287" s="175" t="s">
        <v>59</v>
      </c>
      <c r="F287" s="248">
        <v>3349</v>
      </c>
      <c r="G287" s="194">
        <v>645</v>
      </c>
    </row>
    <row r="288" spans="1:7" ht="15">
      <c r="A288" s="191">
        <v>285</v>
      </c>
      <c r="B288" s="147" t="s">
        <v>252</v>
      </c>
      <c r="C288" s="115">
        <v>38821</v>
      </c>
      <c r="D288" s="280" t="s">
        <v>58</v>
      </c>
      <c r="E288" s="280" t="s">
        <v>59</v>
      </c>
      <c r="F288" s="248">
        <v>610</v>
      </c>
      <c r="G288" s="194">
        <v>116</v>
      </c>
    </row>
    <row r="289" spans="1:7" ht="15">
      <c r="A289" s="191">
        <v>286</v>
      </c>
      <c r="B289" s="147" t="s">
        <v>209</v>
      </c>
      <c r="C289" s="115">
        <v>37589</v>
      </c>
      <c r="D289" s="127" t="s">
        <v>46</v>
      </c>
      <c r="E289" s="127" t="s">
        <v>210</v>
      </c>
      <c r="F289" s="248">
        <v>354</v>
      </c>
      <c r="G289" s="194">
        <v>118</v>
      </c>
    </row>
    <row r="290" spans="1:7" ht="15">
      <c r="A290" s="188">
        <v>287</v>
      </c>
      <c r="B290" s="245" t="s">
        <v>198</v>
      </c>
      <c r="C290" s="115">
        <v>38982</v>
      </c>
      <c r="D290" s="126" t="s">
        <v>58</v>
      </c>
      <c r="E290" s="126" t="s">
        <v>199</v>
      </c>
      <c r="F290" s="248">
        <v>1510.5</v>
      </c>
      <c r="G290" s="194">
        <v>302</v>
      </c>
    </row>
    <row r="291" spans="1:7" ht="15">
      <c r="A291" s="191">
        <v>288</v>
      </c>
      <c r="B291" s="333" t="s">
        <v>198</v>
      </c>
      <c r="C291" s="115">
        <v>38982</v>
      </c>
      <c r="D291" s="175" t="s">
        <v>58</v>
      </c>
      <c r="E291" s="175" t="s">
        <v>199</v>
      </c>
      <c r="F291" s="248">
        <v>2376</v>
      </c>
      <c r="G291" s="194">
        <v>475</v>
      </c>
    </row>
    <row r="292" spans="1:7" ht="15">
      <c r="A292" s="191">
        <v>289</v>
      </c>
      <c r="B292" s="333" t="s">
        <v>198</v>
      </c>
      <c r="C292" s="115">
        <v>38982</v>
      </c>
      <c r="D292" s="175" t="s">
        <v>58</v>
      </c>
      <c r="E292" s="175" t="s">
        <v>199</v>
      </c>
      <c r="F292" s="248">
        <v>1782</v>
      </c>
      <c r="G292" s="194">
        <v>446</v>
      </c>
    </row>
    <row r="293" spans="1:7" ht="15">
      <c r="A293" s="188">
        <v>290</v>
      </c>
      <c r="B293" s="245" t="s">
        <v>198</v>
      </c>
      <c r="C293" s="115">
        <v>38982</v>
      </c>
      <c r="D293" s="126" t="s">
        <v>58</v>
      </c>
      <c r="E293" s="126" t="s">
        <v>199</v>
      </c>
      <c r="F293" s="248">
        <v>330</v>
      </c>
      <c r="G293" s="194">
        <v>66</v>
      </c>
    </row>
    <row r="294" spans="1:7" ht="15">
      <c r="A294" s="191">
        <v>291</v>
      </c>
      <c r="B294" s="145" t="s">
        <v>128</v>
      </c>
      <c r="C294" s="114">
        <v>39038</v>
      </c>
      <c r="D294" s="124" t="s">
        <v>48</v>
      </c>
      <c r="E294" s="124" t="s">
        <v>42</v>
      </c>
      <c r="F294" s="255">
        <v>19312</v>
      </c>
      <c r="G294" s="156">
        <v>3691</v>
      </c>
    </row>
    <row r="295" spans="1:7" ht="15">
      <c r="A295" s="191">
        <v>292</v>
      </c>
      <c r="B295" s="178" t="s">
        <v>128</v>
      </c>
      <c r="C295" s="114">
        <v>39038</v>
      </c>
      <c r="D295" s="176" t="s">
        <v>48</v>
      </c>
      <c r="E295" s="176" t="s">
        <v>42</v>
      </c>
      <c r="F295" s="250">
        <v>9417</v>
      </c>
      <c r="G295" s="195">
        <v>2021</v>
      </c>
    </row>
    <row r="296" spans="1:7" ht="15">
      <c r="A296" s="188">
        <v>293</v>
      </c>
      <c r="B296" s="145" t="s">
        <v>128</v>
      </c>
      <c r="C296" s="114">
        <v>39038</v>
      </c>
      <c r="D296" s="124" t="s">
        <v>48</v>
      </c>
      <c r="E296" s="124" t="s">
        <v>42</v>
      </c>
      <c r="F296" s="250">
        <v>8894</v>
      </c>
      <c r="G296" s="195">
        <v>1715</v>
      </c>
    </row>
    <row r="297" spans="1:7" ht="15">
      <c r="A297" s="191">
        <v>294</v>
      </c>
      <c r="B297" s="332" t="s">
        <v>128</v>
      </c>
      <c r="C297" s="114">
        <v>39038</v>
      </c>
      <c r="D297" s="176" t="s">
        <v>48</v>
      </c>
      <c r="E297" s="176" t="s">
        <v>42</v>
      </c>
      <c r="F297" s="250">
        <v>3292</v>
      </c>
      <c r="G297" s="195">
        <v>658</v>
      </c>
    </row>
    <row r="298" spans="1:7" ht="15">
      <c r="A298" s="191">
        <v>295</v>
      </c>
      <c r="B298" s="244" t="s">
        <v>128</v>
      </c>
      <c r="C298" s="114">
        <v>39038</v>
      </c>
      <c r="D298" s="124" t="s">
        <v>48</v>
      </c>
      <c r="E298" s="124" t="s">
        <v>42</v>
      </c>
      <c r="F298" s="250">
        <v>3218.5</v>
      </c>
      <c r="G298" s="195">
        <v>562</v>
      </c>
    </row>
    <row r="299" spans="1:7" ht="15">
      <c r="A299" s="188">
        <v>296</v>
      </c>
      <c r="B299" s="145" t="s">
        <v>128</v>
      </c>
      <c r="C299" s="114">
        <v>39038</v>
      </c>
      <c r="D299" s="124" t="s">
        <v>48</v>
      </c>
      <c r="E299" s="124" t="s">
        <v>42</v>
      </c>
      <c r="F299" s="250">
        <v>825</v>
      </c>
      <c r="G299" s="195">
        <v>165</v>
      </c>
    </row>
    <row r="300" spans="1:7" ht="15">
      <c r="A300" s="191">
        <v>297</v>
      </c>
      <c r="B300" s="332" t="s">
        <v>128</v>
      </c>
      <c r="C300" s="114">
        <v>39038</v>
      </c>
      <c r="D300" s="176" t="s">
        <v>48</v>
      </c>
      <c r="E300" s="176" t="s">
        <v>42</v>
      </c>
      <c r="F300" s="250">
        <v>210</v>
      </c>
      <c r="G300" s="195">
        <v>35</v>
      </c>
    </row>
    <row r="301" spans="1:7" ht="15">
      <c r="A301" s="191">
        <v>298</v>
      </c>
      <c r="B301" s="332" t="s">
        <v>128</v>
      </c>
      <c r="C301" s="114">
        <v>39038</v>
      </c>
      <c r="D301" s="176" t="s">
        <v>48</v>
      </c>
      <c r="E301" s="176" t="s">
        <v>42</v>
      </c>
      <c r="F301" s="250">
        <v>102</v>
      </c>
      <c r="G301" s="195">
        <v>17</v>
      </c>
    </row>
    <row r="302" spans="1:7" ht="15">
      <c r="A302" s="188">
        <v>299</v>
      </c>
      <c r="B302" s="245" t="s">
        <v>303</v>
      </c>
      <c r="C302" s="117">
        <v>38828</v>
      </c>
      <c r="D302" s="126" t="s">
        <v>64</v>
      </c>
      <c r="E302" s="127" t="s">
        <v>304</v>
      </c>
      <c r="F302" s="256">
        <v>949</v>
      </c>
      <c r="G302" s="196">
        <v>190</v>
      </c>
    </row>
    <row r="303" spans="1:7" ht="15">
      <c r="A303" s="191">
        <v>300</v>
      </c>
      <c r="B303" s="246" t="s">
        <v>228</v>
      </c>
      <c r="C303" s="115">
        <v>38814</v>
      </c>
      <c r="D303" s="130" t="s">
        <v>23</v>
      </c>
      <c r="E303" s="129" t="s">
        <v>192</v>
      </c>
      <c r="F303" s="252">
        <v>4276</v>
      </c>
      <c r="G303" s="194">
        <v>1069</v>
      </c>
    </row>
    <row r="304" spans="1:7" ht="15">
      <c r="A304" s="191">
        <v>301</v>
      </c>
      <c r="B304" s="179" t="s">
        <v>153</v>
      </c>
      <c r="C304" s="115">
        <v>39038</v>
      </c>
      <c r="D304" s="175" t="s">
        <v>58</v>
      </c>
      <c r="E304" s="175" t="s">
        <v>154</v>
      </c>
      <c r="F304" s="248">
        <v>2427</v>
      </c>
      <c r="G304" s="194">
        <v>457</v>
      </c>
    </row>
    <row r="305" spans="1:7" ht="15">
      <c r="A305" s="188">
        <v>302</v>
      </c>
      <c r="B305" s="333" t="s">
        <v>153</v>
      </c>
      <c r="C305" s="115">
        <v>39038</v>
      </c>
      <c r="D305" s="175" t="s">
        <v>58</v>
      </c>
      <c r="E305" s="175" t="s">
        <v>154</v>
      </c>
      <c r="F305" s="248">
        <v>2376</v>
      </c>
      <c r="G305" s="194">
        <v>475</v>
      </c>
    </row>
    <row r="306" spans="1:7" ht="15">
      <c r="A306" s="191">
        <v>303</v>
      </c>
      <c r="B306" s="245" t="s">
        <v>153</v>
      </c>
      <c r="C306" s="115">
        <v>39038</v>
      </c>
      <c r="D306" s="126" t="s">
        <v>58</v>
      </c>
      <c r="E306" s="126" t="s">
        <v>154</v>
      </c>
      <c r="F306" s="252">
        <v>2230</v>
      </c>
      <c r="G306" s="157">
        <v>446</v>
      </c>
    </row>
    <row r="307" spans="1:7" ht="15">
      <c r="A307" s="191">
        <v>304</v>
      </c>
      <c r="B307" s="245" t="s">
        <v>153</v>
      </c>
      <c r="C307" s="115">
        <v>39038</v>
      </c>
      <c r="D307" s="126" t="s">
        <v>58</v>
      </c>
      <c r="E307" s="126" t="s">
        <v>154</v>
      </c>
      <c r="F307" s="248">
        <v>1880</v>
      </c>
      <c r="G307" s="194">
        <v>376</v>
      </c>
    </row>
    <row r="308" spans="1:7" ht="15">
      <c r="A308" s="188">
        <v>305</v>
      </c>
      <c r="B308" s="147" t="s">
        <v>153</v>
      </c>
      <c r="C308" s="115">
        <v>39038</v>
      </c>
      <c r="D308" s="280" t="s">
        <v>58</v>
      </c>
      <c r="E308" s="280" t="s">
        <v>246</v>
      </c>
      <c r="F308" s="248">
        <v>1802</v>
      </c>
      <c r="G308" s="194">
        <v>212</v>
      </c>
    </row>
    <row r="309" spans="1:7" ht="15">
      <c r="A309" s="191">
        <v>306</v>
      </c>
      <c r="B309" s="333" t="s">
        <v>153</v>
      </c>
      <c r="C309" s="115">
        <v>39038</v>
      </c>
      <c r="D309" s="175" t="s">
        <v>58</v>
      </c>
      <c r="E309" s="175" t="s">
        <v>154</v>
      </c>
      <c r="F309" s="248">
        <v>1782</v>
      </c>
      <c r="G309" s="194">
        <v>446</v>
      </c>
    </row>
    <row r="310" spans="1:7" ht="15">
      <c r="A310" s="191">
        <v>307</v>
      </c>
      <c r="B310" s="147" t="s">
        <v>153</v>
      </c>
      <c r="C310" s="115">
        <v>39038</v>
      </c>
      <c r="D310" s="126" t="s">
        <v>58</v>
      </c>
      <c r="E310" s="126" t="s">
        <v>154</v>
      </c>
      <c r="F310" s="248">
        <v>1511</v>
      </c>
      <c r="G310" s="194">
        <v>303</v>
      </c>
    </row>
    <row r="311" spans="1:7" ht="15">
      <c r="A311" s="188">
        <v>308</v>
      </c>
      <c r="B311" s="245" t="s">
        <v>153</v>
      </c>
      <c r="C311" s="115">
        <v>39038</v>
      </c>
      <c r="D311" s="126" t="s">
        <v>58</v>
      </c>
      <c r="E311" s="126" t="s">
        <v>154</v>
      </c>
      <c r="F311" s="248">
        <v>1432</v>
      </c>
      <c r="G311" s="194">
        <v>205</v>
      </c>
    </row>
    <row r="312" spans="1:7" ht="15">
      <c r="A312" s="191">
        <v>309</v>
      </c>
      <c r="B312" s="146" t="s">
        <v>153</v>
      </c>
      <c r="C312" s="149">
        <v>39038</v>
      </c>
      <c r="D312" s="272" t="s">
        <v>58</v>
      </c>
      <c r="E312" s="271" t="s">
        <v>246</v>
      </c>
      <c r="F312" s="254">
        <v>1189</v>
      </c>
      <c r="G312" s="155">
        <v>238</v>
      </c>
    </row>
    <row r="313" spans="1:7" ht="15">
      <c r="A313" s="191">
        <v>310</v>
      </c>
      <c r="B313" s="147" t="s">
        <v>153</v>
      </c>
      <c r="C313" s="115">
        <v>39038</v>
      </c>
      <c r="D313" s="126" t="s">
        <v>58</v>
      </c>
      <c r="E313" s="126" t="s">
        <v>154</v>
      </c>
      <c r="F313" s="248">
        <v>460</v>
      </c>
      <c r="G313" s="194">
        <v>92</v>
      </c>
    </row>
    <row r="314" spans="1:7" ht="15">
      <c r="A314" s="188">
        <v>311</v>
      </c>
      <c r="B314" s="246" t="s">
        <v>153</v>
      </c>
      <c r="C314" s="115">
        <v>39038</v>
      </c>
      <c r="D314" s="318" t="s">
        <v>58</v>
      </c>
      <c r="E314" s="318" t="s">
        <v>154</v>
      </c>
      <c r="F314" s="248">
        <v>286</v>
      </c>
      <c r="G314" s="194">
        <v>63</v>
      </c>
    </row>
    <row r="315" spans="1:7" ht="15">
      <c r="A315" s="191">
        <v>312</v>
      </c>
      <c r="B315" s="330" t="s">
        <v>153</v>
      </c>
      <c r="C315" s="324">
        <v>39038</v>
      </c>
      <c r="D315" s="323" t="s">
        <v>58</v>
      </c>
      <c r="E315" s="323" t="s">
        <v>154</v>
      </c>
      <c r="F315" s="335">
        <v>188</v>
      </c>
      <c r="G315" s="337">
        <v>42</v>
      </c>
    </row>
    <row r="316" spans="1:7" ht="15">
      <c r="A316" s="191">
        <v>313</v>
      </c>
      <c r="B316" s="246" t="s">
        <v>200</v>
      </c>
      <c r="C316" s="115">
        <v>38982</v>
      </c>
      <c r="D316" s="130" t="s">
        <v>23</v>
      </c>
      <c r="E316" s="129" t="s">
        <v>201</v>
      </c>
      <c r="F316" s="248">
        <v>3560</v>
      </c>
      <c r="G316" s="194">
        <v>890</v>
      </c>
    </row>
    <row r="317" spans="1:7" ht="15">
      <c r="A317" s="188">
        <v>314</v>
      </c>
      <c r="B317" s="148" t="s">
        <v>200</v>
      </c>
      <c r="C317" s="115">
        <v>38982</v>
      </c>
      <c r="D317" s="130" t="s">
        <v>23</v>
      </c>
      <c r="E317" s="129" t="s">
        <v>201</v>
      </c>
      <c r="F317" s="248">
        <v>1780</v>
      </c>
      <c r="G317" s="194">
        <v>445</v>
      </c>
    </row>
    <row r="318" spans="1:7" ht="15">
      <c r="A318" s="191">
        <v>315</v>
      </c>
      <c r="B318" s="245" t="s">
        <v>410</v>
      </c>
      <c r="C318" s="115">
        <v>38478</v>
      </c>
      <c r="D318" s="126" t="s">
        <v>58</v>
      </c>
      <c r="E318" s="126" t="s">
        <v>59</v>
      </c>
      <c r="F318" s="252">
        <v>8367</v>
      </c>
      <c r="G318" s="157">
        <v>1675</v>
      </c>
    </row>
    <row r="319" spans="1:7" ht="15">
      <c r="A319" s="191">
        <v>316</v>
      </c>
      <c r="B319" s="246" t="s">
        <v>157</v>
      </c>
      <c r="C319" s="115">
        <v>39045</v>
      </c>
      <c r="D319" s="130" t="s">
        <v>23</v>
      </c>
      <c r="E319" s="129" t="s">
        <v>158</v>
      </c>
      <c r="F319" s="252">
        <v>1068</v>
      </c>
      <c r="G319" s="194">
        <v>267</v>
      </c>
    </row>
    <row r="320" spans="1:7" ht="15">
      <c r="A320" s="188">
        <v>317</v>
      </c>
      <c r="B320" s="179" t="s">
        <v>157</v>
      </c>
      <c r="C320" s="115">
        <v>39045</v>
      </c>
      <c r="D320" s="175" t="s">
        <v>23</v>
      </c>
      <c r="E320" s="175" t="s">
        <v>158</v>
      </c>
      <c r="F320" s="248">
        <v>851.5</v>
      </c>
      <c r="G320" s="194">
        <v>142</v>
      </c>
    </row>
    <row r="321" spans="1:7" ht="15">
      <c r="A321" s="191">
        <v>318</v>
      </c>
      <c r="B321" s="148" t="s">
        <v>157</v>
      </c>
      <c r="C321" s="115">
        <v>39045</v>
      </c>
      <c r="D321" s="130" t="s">
        <v>23</v>
      </c>
      <c r="E321" s="129" t="s">
        <v>158</v>
      </c>
      <c r="F321" s="248">
        <v>290.5</v>
      </c>
      <c r="G321" s="194">
        <v>39</v>
      </c>
    </row>
    <row r="322" spans="1:7" ht="15">
      <c r="A322" s="191">
        <v>319</v>
      </c>
      <c r="B322" s="246" t="s">
        <v>157</v>
      </c>
      <c r="C322" s="115">
        <v>39045</v>
      </c>
      <c r="D322" s="130" t="s">
        <v>23</v>
      </c>
      <c r="E322" s="129" t="s">
        <v>158</v>
      </c>
      <c r="F322" s="248">
        <v>259</v>
      </c>
      <c r="G322" s="194">
        <v>55</v>
      </c>
    </row>
    <row r="323" spans="1:7" ht="15">
      <c r="A323" s="188">
        <v>320</v>
      </c>
      <c r="B323" s="246" t="s">
        <v>157</v>
      </c>
      <c r="C323" s="115">
        <v>39045</v>
      </c>
      <c r="D323" s="130" t="s">
        <v>23</v>
      </c>
      <c r="E323" s="129" t="s">
        <v>158</v>
      </c>
      <c r="F323" s="248">
        <v>236</v>
      </c>
      <c r="G323" s="194">
        <v>97</v>
      </c>
    </row>
    <row r="324" spans="1:7" ht="15">
      <c r="A324" s="191">
        <v>321</v>
      </c>
      <c r="B324" s="148" t="s">
        <v>157</v>
      </c>
      <c r="C324" s="115">
        <v>39045</v>
      </c>
      <c r="D324" s="130" t="s">
        <v>23</v>
      </c>
      <c r="E324" s="129" t="s">
        <v>158</v>
      </c>
      <c r="F324" s="248">
        <v>176</v>
      </c>
      <c r="G324" s="194">
        <v>68</v>
      </c>
    </row>
    <row r="325" spans="1:7" ht="15">
      <c r="A325" s="191">
        <v>322</v>
      </c>
      <c r="B325" s="246" t="s">
        <v>157</v>
      </c>
      <c r="C325" s="115">
        <v>39045</v>
      </c>
      <c r="D325" s="130" t="s">
        <v>23</v>
      </c>
      <c r="E325" s="129" t="s">
        <v>158</v>
      </c>
      <c r="F325" s="248">
        <v>74</v>
      </c>
      <c r="G325" s="194">
        <v>14</v>
      </c>
    </row>
    <row r="326" spans="1:7" ht="15">
      <c r="A326" s="188">
        <v>323</v>
      </c>
      <c r="B326" s="148" t="s">
        <v>272</v>
      </c>
      <c r="C326" s="115">
        <v>39045</v>
      </c>
      <c r="D326" s="274" t="s">
        <v>23</v>
      </c>
      <c r="E326" s="275" t="s">
        <v>158</v>
      </c>
      <c r="F326" s="252">
        <v>372</v>
      </c>
      <c r="G326" s="157">
        <v>124</v>
      </c>
    </row>
    <row r="327" spans="1:7" ht="15">
      <c r="A327" s="191">
        <v>324</v>
      </c>
      <c r="B327" s="145" t="s">
        <v>121</v>
      </c>
      <c r="C327" s="114">
        <v>39073</v>
      </c>
      <c r="D327" s="124" t="s">
        <v>48</v>
      </c>
      <c r="E327" s="124" t="s">
        <v>33</v>
      </c>
      <c r="F327" s="255">
        <v>1289903.5</v>
      </c>
      <c r="G327" s="156">
        <v>169709</v>
      </c>
    </row>
    <row r="328" spans="1:7" ht="15">
      <c r="A328" s="191">
        <v>325</v>
      </c>
      <c r="B328" s="178" t="s">
        <v>121</v>
      </c>
      <c r="C328" s="114">
        <v>39073</v>
      </c>
      <c r="D328" s="176" t="s">
        <v>48</v>
      </c>
      <c r="E328" s="176" t="s">
        <v>33</v>
      </c>
      <c r="F328" s="250">
        <v>386658</v>
      </c>
      <c r="G328" s="195">
        <v>52723</v>
      </c>
    </row>
    <row r="329" spans="1:7" ht="15">
      <c r="A329" s="188">
        <v>326</v>
      </c>
      <c r="B329" s="145" t="s">
        <v>121</v>
      </c>
      <c r="C329" s="114">
        <v>39073</v>
      </c>
      <c r="D329" s="124" t="s">
        <v>48</v>
      </c>
      <c r="E329" s="124" t="s">
        <v>33</v>
      </c>
      <c r="F329" s="250">
        <v>174047.5</v>
      </c>
      <c r="G329" s="195">
        <v>26534</v>
      </c>
    </row>
    <row r="330" spans="1:7" ht="15">
      <c r="A330" s="191">
        <v>327</v>
      </c>
      <c r="B330" s="244" t="s">
        <v>121</v>
      </c>
      <c r="C330" s="114">
        <v>39073</v>
      </c>
      <c r="D330" s="124" t="s">
        <v>48</v>
      </c>
      <c r="E330" s="124" t="s">
        <v>33</v>
      </c>
      <c r="F330" s="250">
        <v>53640.5</v>
      </c>
      <c r="G330" s="195">
        <v>10972</v>
      </c>
    </row>
    <row r="331" spans="1:7" ht="15">
      <c r="A331" s="191">
        <v>328</v>
      </c>
      <c r="B331" s="145" t="s">
        <v>121</v>
      </c>
      <c r="C331" s="114">
        <v>39073</v>
      </c>
      <c r="D331" s="271" t="s">
        <v>48</v>
      </c>
      <c r="E331" s="271" t="s">
        <v>33</v>
      </c>
      <c r="F331" s="250">
        <v>19067</v>
      </c>
      <c r="G331" s="195">
        <v>3834</v>
      </c>
    </row>
    <row r="332" spans="1:7" ht="15">
      <c r="A332" s="188">
        <v>329</v>
      </c>
      <c r="B332" s="244" t="s">
        <v>121</v>
      </c>
      <c r="C332" s="114">
        <v>39073</v>
      </c>
      <c r="D332" s="271" t="s">
        <v>48</v>
      </c>
      <c r="E332" s="271" t="s">
        <v>33</v>
      </c>
      <c r="F332" s="255">
        <v>16336.5</v>
      </c>
      <c r="G332" s="156">
        <v>3779</v>
      </c>
    </row>
    <row r="333" spans="1:7" ht="15">
      <c r="A333" s="191">
        <v>330</v>
      </c>
      <c r="B333" s="244" t="s">
        <v>121</v>
      </c>
      <c r="C333" s="114">
        <v>39073</v>
      </c>
      <c r="D333" s="124" t="s">
        <v>48</v>
      </c>
      <c r="E333" s="124" t="s">
        <v>33</v>
      </c>
      <c r="F333" s="255">
        <v>13202</v>
      </c>
      <c r="G333" s="195">
        <v>2814</v>
      </c>
    </row>
    <row r="334" spans="1:7" ht="15">
      <c r="A334" s="191">
        <v>331</v>
      </c>
      <c r="B334" s="145" t="s">
        <v>121</v>
      </c>
      <c r="C334" s="114">
        <v>39073</v>
      </c>
      <c r="D334" s="124" t="s">
        <v>48</v>
      </c>
      <c r="E334" s="124" t="s">
        <v>33</v>
      </c>
      <c r="F334" s="250">
        <v>11222</v>
      </c>
      <c r="G334" s="195">
        <v>2184</v>
      </c>
    </row>
    <row r="335" spans="1:7" ht="15">
      <c r="A335" s="188">
        <v>332</v>
      </c>
      <c r="B335" s="145" t="s">
        <v>121</v>
      </c>
      <c r="C335" s="114">
        <v>39073</v>
      </c>
      <c r="D335" s="271" t="s">
        <v>48</v>
      </c>
      <c r="E335" s="271" t="s">
        <v>33</v>
      </c>
      <c r="F335" s="255">
        <v>4695</v>
      </c>
      <c r="G335" s="156">
        <v>945</v>
      </c>
    </row>
    <row r="336" spans="1:7" ht="15">
      <c r="A336" s="191">
        <v>333</v>
      </c>
      <c r="B336" s="244" t="s">
        <v>121</v>
      </c>
      <c r="C336" s="114">
        <v>39073</v>
      </c>
      <c r="D336" s="124" t="s">
        <v>48</v>
      </c>
      <c r="E336" s="124" t="s">
        <v>33</v>
      </c>
      <c r="F336" s="250">
        <v>4541</v>
      </c>
      <c r="G336" s="195">
        <v>777</v>
      </c>
    </row>
    <row r="337" spans="1:7" ht="15">
      <c r="A337" s="191">
        <v>334</v>
      </c>
      <c r="B337" s="329" t="s">
        <v>121</v>
      </c>
      <c r="C337" s="322">
        <v>39073</v>
      </c>
      <c r="D337" s="321" t="s">
        <v>48</v>
      </c>
      <c r="E337" s="321" t="s">
        <v>33</v>
      </c>
      <c r="F337" s="250">
        <v>3319</v>
      </c>
      <c r="G337" s="195">
        <v>761</v>
      </c>
    </row>
    <row r="338" spans="1:7" ht="15">
      <c r="A338" s="188">
        <v>335</v>
      </c>
      <c r="B338" s="332" t="s">
        <v>121</v>
      </c>
      <c r="C338" s="114">
        <v>39073</v>
      </c>
      <c r="D338" s="176" t="s">
        <v>48</v>
      </c>
      <c r="E338" s="176" t="s">
        <v>33</v>
      </c>
      <c r="F338" s="250">
        <v>1437</v>
      </c>
      <c r="G338" s="195">
        <v>298</v>
      </c>
    </row>
    <row r="339" spans="1:7" ht="15">
      <c r="A339" s="191">
        <v>336</v>
      </c>
      <c r="B339" s="244" t="s">
        <v>121</v>
      </c>
      <c r="C339" s="114">
        <v>39073</v>
      </c>
      <c r="D339" s="124" t="s">
        <v>48</v>
      </c>
      <c r="E339" s="124" t="s">
        <v>33</v>
      </c>
      <c r="F339" s="250">
        <v>1360</v>
      </c>
      <c r="G339" s="195">
        <v>312</v>
      </c>
    </row>
    <row r="340" spans="1:7" ht="15">
      <c r="A340" s="191">
        <v>337</v>
      </c>
      <c r="B340" s="332" t="s">
        <v>121</v>
      </c>
      <c r="C340" s="114">
        <v>39073</v>
      </c>
      <c r="D340" s="176" t="s">
        <v>48</v>
      </c>
      <c r="E340" s="176" t="s">
        <v>33</v>
      </c>
      <c r="F340" s="250">
        <v>554</v>
      </c>
      <c r="G340" s="195">
        <v>128</v>
      </c>
    </row>
    <row r="341" spans="1:7" ht="15">
      <c r="A341" s="188">
        <v>338</v>
      </c>
      <c r="B341" s="247" t="s">
        <v>121</v>
      </c>
      <c r="C341" s="114">
        <v>39073</v>
      </c>
      <c r="D341" s="316" t="s">
        <v>48</v>
      </c>
      <c r="E341" s="316" t="s">
        <v>336</v>
      </c>
      <c r="F341" s="250">
        <v>400</v>
      </c>
      <c r="G341" s="195">
        <v>80</v>
      </c>
    </row>
    <row r="342" spans="1:7" ht="15">
      <c r="A342" s="191">
        <v>339</v>
      </c>
      <c r="B342" s="244" t="s">
        <v>121</v>
      </c>
      <c r="C342" s="114">
        <v>39073</v>
      </c>
      <c r="D342" s="124" t="s">
        <v>48</v>
      </c>
      <c r="E342" s="124" t="s">
        <v>33</v>
      </c>
      <c r="F342" s="250">
        <v>295</v>
      </c>
      <c r="G342" s="195">
        <v>59</v>
      </c>
    </row>
    <row r="343" spans="1:7" ht="15">
      <c r="A343" s="191">
        <v>340</v>
      </c>
      <c r="B343" s="244" t="s">
        <v>121</v>
      </c>
      <c r="C343" s="114">
        <v>39073</v>
      </c>
      <c r="D343" s="124" t="s">
        <v>48</v>
      </c>
      <c r="E343" s="124" t="s">
        <v>336</v>
      </c>
      <c r="F343" s="250">
        <v>272</v>
      </c>
      <c r="G343" s="195">
        <v>68</v>
      </c>
    </row>
    <row r="344" spans="1:7" ht="15">
      <c r="A344" s="188">
        <v>341</v>
      </c>
      <c r="B344" s="244" t="s">
        <v>121</v>
      </c>
      <c r="C344" s="114">
        <v>39073</v>
      </c>
      <c r="D344" s="124" t="s">
        <v>48</v>
      </c>
      <c r="E344" s="124" t="s">
        <v>33</v>
      </c>
      <c r="F344" s="255">
        <v>145</v>
      </c>
      <c r="G344" s="195">
        <v>29</v>
      </c>
    </row>
    <row r="345" spans="1:7" ht="15">
      <c r="A345" s="191">
        <v>342</v>
      </c>
      <c r="B345" s="246" t="s">
        <v>245</v>
      </c>
      <c r="C345" s="115">
        <v>38779</v>
      </c>
      <c r="D345" s="274" t="s">
        <v>23</v>
      </c>
      <c r="E345" s="275" t="s">
        <v>195</v>
      </c>
      <c r="F345" s="252">
        <v>3560</v>
      </c>
      <c r="G345" s="157">
        <v>890</v>
      </c>
    </row>
    <row r="346" spans="1:7" ht="15">
      <c r="A346" s="191">
        <v>343</v>
      </c>
      <c r="B346" s="246" t="s">
        <v>245</v>
      </c>
      <c r="C346" s="115">
        <v>38779</v>
      </c>
      <c r="D346" s="130" t="s">
        <v>23</v>
      </c>
      <c r="E346" s="129" t="s">
        <v>416</v>
      </c>
      <c r="F346" s="248">
        <v>1780</v>
      </c>
      <c r="G346" s="194">
        <v>445</v>
      </c>
    </row>
    <row r="347" spans="1:7" ht="15">
      <c r="A347" s="188">
        <v>344</v>
      </c>
      <c r="B347" s="246" t="s">
        <v>319</v>
      </c>
      <c r="C347" s="115">
        <v>38856</v>
      </c>
      <c r="D347" s="130" t="s">
        <v>23</v>
      </c>
      <c r="E347" s="129" t="s">
        <v>320</v>
      </c>
      <c r="F347" s="252">
        <v>1664</v>
      </c>
      <c r="G347" s="194">
        <v>416</v>
      </c>
    </row>
    <row r="348" spans="1:7" ht="15">
      <c r="A348" s="191">
        <v>345</v>
      </c>
      <c r="B348" s="246" t="s">
        <v>319</v>
      </c>
      <c r="C348" s="115">
        <v>38856</v>
      </c>
      <c r="D348" s="130" t="s">
        <v>23</v>
      </c>
      <c r="E348" s="129" t="s">
        <v>25</v>
      </c>
      <c r="F348" s="252">
        <v>1664</v>
      </c>
      <c r="G348" s="157">
        <v>416</v>
      </c>
    </row>
    <row r="349" spans="1:7" ht="15">
      <c r="A349" s="191">
        <v>346</v>
      </c>
      <c r="B349" s="246" t="s">
        <v>229</v>
      </c>
      <c r="C349" s="115">
        <v>38548</v>
      </c>
      <c r="D349" s="130" t="s">
        <v>23</v>
      </c>
      <c r="E349" s="129" t="s">
        <v>204</v>
      </c>
      <c r="F349" s="252">
        <v>236</v>
      </c>
      <c r="G349" s="194">
        <v>59</v>
      </c>
    </row>
    <row r="350" spans="1:7" ht="15">
      <c r="A350" s="188">
        <v>347</v>
      </c>
      <c r="B350" s="179" t="s">
        <v>152</v>
      </c>
      <c r="C350" s="115">
        <v>37246</v>
      </c>
      <c r="D350" s="176" t="s">
        <v>46</v>
      </c>
      <c r="E350" s="176" t="s">
        <v>150</v>
      </c>
      <c r="F350" s="249">
        <v>6255</v>
      </c>
      <c r="G350" s="193">
        <v>2085</v>
      </c>
    </row>
    <row r="351" spans="1:7" ht="15">
      <c r="A351" s="191">
        <v>348</v>
      </c>
      <c r="B351" s="179" t="s">
        <v>151</v>
      </c>
      <c r="C351" s="115">
        <v>37610</v>
      </c>
      <c r="D351" s="176" t="s">
        <v>46</v>
      </c>
      <c r="E351" s="176" t="s">
        <v>150</v>
      </c>
      <c r="F351" s="248">
        <v>6255</v>
      </c>
      <c r="G351" s="194">
        <v>2085</v>
      </c>
    </row>
    <row r="352" spans="1:7" ht="15">
      <c r="A352" s="191">
        <v>349</v>
      </c>
      <c r="B352" s="178" t="s">
        <v>149</v>
      </c>
      <c r="C352" s="114">
        <v>37974</v>
      </c>
      <c r="D352" s="176" t="s">
        <v>46</v>
      </c>
      <c r="E352" s="176" t="s">
        <v>150</v>
      </c>
      <c r="F352" s="249">
        <v>6255</v>
      </c>
      <c r="G352" s="193">
        <v>2085</v>
      </c>
    </row>
    <row r="353" spans="1:7" ht="15">
      <c r="A353" s="188">
        <v>350</v>
      </c>
      <c r="B353" s="333" t="s">
        <v>361</v>
      </c>
      <c r="C353" s="115">
        <v>38660</v>
      </c>
      <c r="D353" s="175" t="s">
        <v>23</v>
      </c>
      <c r="E353" s="175" t="s">
        <v>204</v>
      </c>
      <c r="F353" s="248">
        <v>4276</v>
      </c>
      <c r="G353" s="194">
        <v>1069</v>
      </c>
    </row>
    <row r="354" spans="1:7" ht="15">
      <c r="A354" s="191">
        <v>351</v>
      </c>
      <c r="B354" s="246" t="s">
        <v>268</v>
      </c>
      <c r="C354" s="115">
        <v>38688</v>
      </c>
      <c r="D354" s="130" t="s">
        <v>23</v>
      </c>
      <c r="E354" s="129" t="s">
        <v>85</v>
      </c>
      <c r="F354" s="248">
        <v>1188</v>
      </c>
      <c r="G354" s="194">
        <v>297</v>
      </c>
    </row>
    <row r="355" spans="1:7" ht="15">
      <c r="A355" s="191">
        <v>352</v>
      </c>
      <c r="B355" s="148" t="s">
        <v>268</v>
      </c>
      <c r="C355" s="115">
        <v>38688</v>
      </c>
      <c r="D355" s="274" t="s">
        <v>23</v>
      </c>
      <c r="E355" s="275" t="s">
        <v>85</v>
      </c>
      <c r="F355" s="252">
        <v>1664</v>
      </c>
      <c r="G355" s="157">
        <v>416</v>
      </c>
    </row>
    <row r="356" spans="1:7" ht="15">
      <c r="A356" s="188">
        <v>353</v>
      </c>
      <c r="B356" s="179" t="s">
        <v>156</v>
      </c>
      <c r="C356" s="115">
        <v>38842</v>
      </c>
      <c r="D356" s="175" t="s">
        <v>57</v>
      </c>
      <c r="E356" s="175" t="s">
        <v>60</v>
      </c>
      <c r="F356" s="248">
        <v>1155</v>
      </c>
      <c r="G356" s="194">
        <v>350</v>
      </c>
    </row>
    <row r="357" spans="1:7" ht="15">
      <c r="A357" s="191">
        <v>354</v>
      </c>
      <c r="B357" s="247" t="s">
        <v>298</v>
      </c>
      <c r="C357" s="114">
        <v>38296</v>
      </c>
      <c r="D357" s="127" t="s">
        <v>46</v>
      </c>
      <c r="E357" s="127" t="s">
        <v>184</v>
      </c>
      <c r="F357" s="249">
        <v>5346</v>
      </c>
      <c r="G357" s="193">
        <v>1782</v>
      </c>
    </row>
    <row r="358" spans="1:7" ht="15">
      <c r="A358" s="191">
        <v>355</v>
      </c>
      <c r="B358" s="245" t="s">
        <v>302</v>
      </c>
      <c r="C358" s="115">
        <v>39038</v>
      </c>
      <c r="D358" s="126" t="s">
        <v>58</v>
      </c>
      <c r="E358" s="126" t="s">
        <v>66</v>
      </c>
      <c r="F358" s="248">
        <v>2376</v>
      </c>
      <c r="G358" s="194">
        <v>475</v>
      </c>
    </row>
    <row r="359" spans="1:7" ht="15">
      <c r="A359" s="188">
        <v>356</v>
      </c>
      <c r="B359" s="143" t="s">
        <v>253</v>
      </c>
      <c r="C359" s="114">
        <v>38996</v>
      </c>
      <c r="D359" s="273" t="s">
        <v>73</v>
      </c>
      <c r="E359" s="273" t="s">
        <v>135</v>
      </c>
      <c r="F359" s="249">
        <v>1737</v>
      </c>
      <c r="G359" s="193">
        <v>255</v>
      </c>
    </row>
    <row r="360" spans="1:7" ht="15">
      <c r="A360" s="191">
        <v>357</v>
      </c>
      <c r="B360" s="147" t="s">
        <v>105</v>
      </c>
      <c r="C360" s="115">
        <v>38954</v>
      </c>
      <c r="D360" s="126" t="s">
        <v>57</v>
      </c>
      <c r="E360" s="126" t="s">
        <v>65</v>
      </c>
      <c r="F360" s="248">
        <v>1156</v>
      </c>
      <c r="G360" s="194">
        <v>350</v>
      </c>
    </row>
    <row r="361" spans="1:7" ht="15">
      <c r="A361" s="191">
        <v>358</v>
      </c>
      <c r="B361" s="146" t="s">
        <v>105</v>
      </c>
      <c r="C361" s="149">
        <v>38954</v>
      </c>
      <c r="D361" s="126" t="s">
        <v>57</v>
      </c>
      <c r="E361" s="144" t="s">
        <v>65</v>
      </c>
      <c r="F361" s="254">
        <v>413</v>
      </c>
      <c r="G361" s="155">
        <v>100</v>
      </c>
    </row>
    <row r="362" spans="1:7" ht="15">
      <c r="A362" s="188">
        <v>359</v>
      </c>
      <c r="B362" s="244" t="s">
        <v>442</v>
      </c>
      <c r="C362" s="114">
        <v>38786</v>
      </c>
      <c r="D362" s="124" t="s">
        <v>46</v>
      </c>
      <c r="E362" s="124" t="s">
        <v>443</v>
      </c>
      <c r="F362" s="258">
        <v>144</v>
      </c>
      <c r="G362" s="197">
        <v>36</v>
      </c>
    </row>
    <row r="363" spans="1:7" ht="15">
      <c r="A363" s="191">
        <v>360</v>
      </c>
      <c r="B363" s="145" t="s">
        <v>167</v>
      </c>
      <c r="C363" s="114">
        <v>38639</v>
      </c>
      <c r="D363" s="124" t="s">
        <v>48</v>
      </c>
      <c r="E363" s="124" t="s">
        <v>25</v>
      </c>
      <c r="F363" s="250">
        <v>1946</v>
      </c>
      <c r="G363" s="195">
        <v>278</v>
      </c>
    </row>
    <row r="364" spans="1:7" ht="15">
      <c r="A364" s="191">
        <v>361</v>
      </c>
      <c r="B364" s="245" t="s">
        <v>169</v>
      </c>
      <c r="C364" s="115">
        <v>38800</v>
      </c>
      <c r="D364" s="126" t="s">
        <v>58</v>
      </c>
      <c r="E364" s="126" t="s">
        <v>59</v>
      </c>
      <c r="F364" s="252">
        <v>3021</v>
      </c>
      <c r="G364" s="157">
        <v>604</v>
      </c>
    </row>
    <row r="365" spans="1:7" ht="15">
      <c r="A365" s="188">
        <v>362</v>
      </c>
      <c r="B365" s="147" t="s">
        <v>169</v>
      </c>
      <c r="C365" s="115">
        <v>38800</v>
      </c>
      <c r="D365" s="126" t="s">
        <v>58</v>
      </c>
      <c r="E365" s="126" t="s">
        <v>59</v>
      </c>
      <c r="F365" s="248">
        <v>1510</v>
      </c>
      <c r="G365" s="194">
        <v>302</v>
      </c>
    </row>
    <row r="366" spans="1:7" ht="15">
      <c r="A366" s="191">
        <v>363</v>
      </c>
      <c r="B366" s="247" t="s">
        <v>305</v>
      </c>
      <c r="C366" s="114">
        <v>39073</v>
      </c>
      <c r="D366" s="125" t="s">
        <v>56</v>
      </c>
      <c r="E366" s="124" t="s">
        <v>11</v>
      </c>
      <c r="F366" s="253">
        <v>736993</v>
      </c>
      <c r="G366" s="154">
        <v>80041</v>
      </c>
    </row>
    <row r="367" spans="1:7" ht="15">
      <c r="A367" s="191">
        <v>364</v>
      </c>
      <c r="B367" s="247" t="s">
        <v>305</v>
      </c>
      <c r="C367" s="114">
        <v>39073</v>
      </c>
      <c r="D367" s="176" t="s">
        <v>56</v>
      </c>
      <c r="E367" s="176" t="s">
        <v>11</v>
      </c>
      <c r="F367" s="249">
        <v>318216</v>
      </c>
      <c r="G367" s="193">
        <v>36145</v>
      </c>
    </row>
    <row r="368" spans="1:7" ht="15">
      <c r="A368" s="188">
        <v>365</v>
      </c>
      <c r="B368" s="247" t="s">
        <v>305</v>
      </c>
      <c r="C368" s="114">
        <v>39073</v>
      </c>
      <c r="D368" s="125" t="s">
        <v>56</v>
      </c>
      <c r="E368" s="124" t="s">
        <v>11</v>
      </c>
      <c r="F368" s="249">
        <v>148350</v>
      </c>
      <c r="G368" s="193">
        <v>17661</v>
      </c>
    </row>
    <row r="369" spans="1:7" ht="15">
      <c r="A369" s="191">
        <v>366</v>
      </c>
      <c r="B369" s="247" t="s">
        <v>305</v>
      </c>
      <c r="C369" s="114">
        <v>39073</v>
      </c>
      <c r="D369" s="125" t="s">
        <v>56</v>
      </c>
      <c r="E369" s="124" t="s">
        <v>11</v>
      </c>
      <c r="F369" s="249">
        <v>83269</v>
      </c>
      <c r="G369" s="193">
        <v>10172</v>
      </c>
    </row>
    <row r="370" spans="1:7" ht="15">
      <c r="A370" s="191">
        <v>367</v>
      </c>
      <c r="B370" s="247" t="s">
        <v>305</v>
      </c>
      <c r="C370" s="114">
        <v>39073</v>
      </c>
      <c r="D370" s="125" t="s">
        <v>56</v>
      </c>
      <c r="E370" s="124" t="s">
        <v>11</v>
      </c>
      <c r="F370" s="249">
        <v>13464</v>
      </c>
      <c r="G370" s="193">
        <v>1277</v>
      </c>
    </row>
    <row r="371" spans="1:7" ht="15">
      <c r="A371" s="188">
        <v>368</v>
      </c>
      <c r="B371" s="247" t="s">
        <v>305</v>
      </c>
      <c r="C371" s="114">
        <v>39073</v>
      </c>
      <c r="D371" s="270" t="s">
        <v>56</v>
      </c>
      <c r="E371" s="271" t="s">
        <v>11</v>
      </c>
      <c r="F371" s="253">
        <v>3459</v>
      </c>
      <c r="G371" s="154">
        <v>1543</v>
      </c>
    </row>
    <row r="372" spans="1:7" ht="15">
      <c r="A372" s="191">
        <v>369</v>
      </c>
      <c r="B372" s="247" t="s">
        <v>305</v>
      </c>
      <c r="C372" s="114">
        <v>39073</v>
      </c>
      <c r="D372" s="270" t="s">
        <v>56</v>
      </c>
      <c r="E372" s="271" t="s">
        <v>11</v>
      </c>
      <c r="F372" s="253">
        <v>2344</v>
      </c>
      <c r="G372" s="154">
        <v>389</v>
      </c>
    </row>
    <row r="373" spans="1:7" ht="15">
      <c r="A373" s="191">
        <v>370</v>
      </c>
      <c r="B373" s="247" t="s">
        <v>305</v>
      </c>
      <c r="C373" s="114">
        <v>39073</v>
      </c>
      <c r="D373" s="270" t="s">
        <v>56</v>
      </c>
      <c r="E373" s="271" t="s">
        <v>11</v>
      </c>
      <c r="F373" s="249">
        <v>2218</v>
      </c>
      <c r="G373" s="193">
        <v>444</v>
      </c>
    </row>
    <row r="374" spans="1:7" ht="15">
      <c r="A374" s="188">
        <v>371</v>
      </c>
      <c r="B374" s="247" t="s">
        <v>305</v>
      </c>
      <c r="C374" s="114">
        <v>39073</v>
      </c>
      <c r="D374" s="125" t="s">
        <v>56</v>
      </c>
      <c r="E374" s="124" t="s">
        <v>11</v>
      </c>
      <c r="F374" s="249">
        <v>2077</v>
      </c>
      <c r="G374" s="193">
        <v>644</v>
      </c>
    </row>
    <row r="375" spans="1:7" ht="15">
      <c r="A375" s="191">
        <v>372</v>
      </c>
      <c r="B375" s="247" t="s">
        <v>305</v>
      </c>
      <c r="C375" s="114">
        <v>39073</v>
      </c>
      <c r="D375" s="316" t="s">
        <v>56</v>
      </c>
      <c r="E375" s="316" t="s">
        <v>11</v>
      </c>
      <c r="F375" s="249">
        <v>1365</v>
      </c>
      <c r="G375" s="193">
        <v>228</v>
      </c>
    </row>
    <row r="376" spans="1:7" ht="15">
      <c r="A376" s="191">
        <v>373</v>
      </c>
      <c r="B376" s="244" t="s">
        <v>305</v>
      </c>
      <c r="C376" s="114">
        <v>39073</v>
      </c>
      <c r="D376" s="125" t="s">
        <v>56</v>
      </c>
      <c r="E376" s="124" t="s">
        <v>11</v>
      </c>
      <c r="F376" s="253">
        <v>1317</v>
      </c>
      <c r="G376" s="193">
        <v>223</v>
      </c>
    </row>
    <row r="377" spans="1:7" ht="15">
      <c r="A377" s="188">
        <v>374</v>
      </c>
      <c r="B377" s="247" t="s">
        <v>305</v>
      </c>
      <c r="C377" s="114">
        <v>39073</v>
      </c>
      <c r="D377" s="125" t="s">
        <v>56</v>
      </c>
      <c r="E377" s="124" t="s">
        <v>11</v>
      </c>
      <c r="F377" s="253">
        <v>1073</v>
      </c>
      <c r="G377" s="193">
        <v>200</v>
      </c>
    </row>
    <row r="378" spans="1:7" ht="15">
      <c r="A378" s="191">
        <v>375</v>
      </c>
      <c r="B378" s="244" t="s">
        <v>305</v>
      </c>
      <c r="C378" s="114">
        <v>39073</v>
      </c>
      <c r="D378" s="125" t="s">
        <v>56</v>
      </c>
      <c r="E378" s="124" t="s">
        <v>11</v>
      </c>
      <c r="F378" s="249">
        <v>628</v>
      </c>
      <c r="G378" s="193">
        <v>89</v>
      </c>
    </row>
    <row r="379" spans="1:7" ht="15">
      <c r="A379" s="191">
        <v>376</v>
      </c>
      <c r="B379" s="247" t="s">
        <v>329</v>
      </c>
      <c r="C379" s="114">
        <v>38968</v>
      </c>
      <c r="D379" s="316" t="s">
        <v>48</v>
      </c>
      <c r="E379" s="316" t="s">
        <v>70</v>
      </c>
      <c r="F379" s="250">
        <v>996</v>
      </c>
      <c r="G379" s="195">
        <v>166</v>
      </c>
    </row>
    <row r="380" spans="1:7" ht="15">
      <c r="A380" s="188">
        <v>377</v>
      </c>
      <c r="B380" s="148" t="s">
        <v>115</v>
      </c>
      <c r="C380" s="115">
        <v>39066</v>
      </c>
      <c r="D380" s="274" t="s">
        <v>23</v>
      </c>
      <c r="E380" s="275" t="s">
        <v>25</v>
      </c>
      <c r="F380" s="248">
        <v>1068</v>
      </c>
      <c r="G380" s="194">
        <v>267</v>
      </c>
    </row>
    <row r="381" spans="1:7" ht="15">
      <c r="A381" s="191">
        <v>378</v>
      </c>
      <c r="B381" s="246" t="s">
        <v>115</v>
      </c>
      <c r="C381" s="115">
        <v>39066</v>
      </c>
      <c r="D381" s="318" t="s">
        <v>23</v>
      </c>
      <c r="E381" s="318" t="s">
        <v>25</v>
      </c>
      <c r="F381" s="248">
        <v>793</v>
      </c>
      <c r="G381" s="194">
        <v>109</v>
      </c>
    </row>
    <row r="382" spans="1:7" ht="15">
      <c r="A382" s="191">
        <v>379</v>
      </c>
      <c r="B382" s="246" t="s">
        <v>115</v>
      </c>
      <c r="C382" s="115">
        <v>39066</v>
      </c>
      <c r="D382" s="130" t="s">
        <v>23</v>
      </c>
      <c r="E382" s="129" t="s">
        <v>202</v>
      </c>
      <c r="F382" s="248">
        <v>420</v>
      </c>
      <c r="G382" s="194">
        <v>84</v>
      </c>
    </row>
    <row r="383" spans="1:7" ht="15">
      <c r="A383" s="188">
        <v>380</v>
      </c>
      <c r="B383" s="179" t="s">
        <v>115</v>
      </c>
      <c r="C383" s="115">
        <v>39066</v>
      </c>
      <c r="D383" s="175" t="s">
        <v>23</v>
      </c>
      <c r="E383" s="175" t="s">
        <v>25</v>
      </c>
      <c r="F383" s="248">
        <v>268</v>
      </c>
      <c r="G383" s="194">
        <v>28</v>
      </c>
    </row>
    <row r="384" spans="1:7" ht="15">
      <c r="A384" s="191">
        <v>381</v>
      </c>
      <c r="B384" s="148" t="s">
        <v>115</v>
      </c>
      <c r="C384" s="115">
        <v>39066</v>
      </c>
      <c r="D384" s="130" t="s">
        <v>23</v>
      </c>
      <c r="E384" s="129" t="s">
        <v>25</v>
      </c>
      <c r="F384" s="252">
        <v>212</v>
      </c>
      <c r="G384" s="157">
        <v>23</v>
      </c>
    </row>
    <row r="385" spans="1:7" ht="15">
      <c r="A385" s="191">
        <v>382</v>
      </c>
      <c r="B385" s="333" t="s">
        <v>115</v>
      </c>
      <c r="C385" s="115">
        <v>39066</v>
      </c>
      <c r="D385" s="175" t="s">
        <v>23</v>
      </c>
      <c r="E385" s="175" t="s">
        <v>202</v>
      </c>
      <c r="F385" s="248">
        <v>147</v>
      </c>
      <c r="G385" s="194">
        <v>36</v>
      </c>
    </row>
    <row r="386" spans="1:7" ht="15">
      <c r="A386" s="188">
        <v>383</v>
      </c>
      <c r="B386" s="147" t="s">
        <v>230</v>
      </c>
      <c r="C386" s="115">
        <v>38989</v>
      </c>
      <c r="D386" s="280" t="s">
        <v>58</v>
      </c>
      <c r="E386" s="280" t="s">
        <v>66</v>
      </c>
      <c r="F386" s="248">
        <v>1135</v>
      </c>
      <c r="G386" s="194">
        <v>216</v>
      </c>
    </row>
    <row r="387" spans="1:7" ht="15">
      <c r="A387" s="191">
        <v>384</v>
      </c>
      <c r="B387" s="146" t="s">
        <v>230</v>
      </c>
      <c r="C387" s="149">
        <v>38989</v>
      </c>
      <c r="D387" s="272" t="s">
        <v>66</v>
      </c>
      <c r="E387" s="271" t="s">
        <v>66</v>
      </c>
      <c r="F387" s="254">
        <v>1135</v>
      </c>
      <c r="G387" s="155">
        <v>216</v>
      </c>
    </row>
    <row r="388" spans="1:7" ht="15">
      <c r="A388" s="191">
        <v>385</v>
      </c>
      <c r="B388" s="245" t="s">
        <v>230</v>
      </c>
      <c r="C388" s="115">
        <v>38989</v>
      </c>
      <c r="D388" s="126" t="s">
        <v>58</v>
      </c>
      <c r="E388" s="126" t="s">
        <v>66</v>
      </c>
      <c r="F388" s="252">
        <v>397</v>
      </c>
      <c r="G388" s="194">
        <v>77</v>
      </c>
    </row>
    <row r="389" spans="1:7" ht="15">
      <c r="A389" s="188">
        <v>386</v>
      </c>
      <c r="B389" s="178" t="s">
        <v>146</v>
      </c>
      <c r="C389" s="114">
        <v>39073</v>
      </c>
      <c r="D389" s="176" t="s">
        <v>73</v>
      </c>
      <c r="E389" s="176" t="s">
        <v>135</v>
      </c>
      <c r="F389" s="249">
        <v>28432.5</v>
      </c>
      <c r="G389" s="193">
        <v>3928</v>
      </c>
    </row>
    <row r="390" spans="1:7" ht="15">
      <c r="A390" s="191">
        <v>387</v>
      </c>
      <c r="B390" s="143" t="s">
        <v>146</v>
      </c>
      <c r="C390" s="114">
        <v>39073</v>
      </c>
      <c r="D390" s="127" t="s">
        <v>73</v>
      </c>
      <c r="E390" s="127" t="s">
        <v>135</v>
      </c>
      <c r="F390" s="249">
        <v>3756</v>
      </c>
      <c r="G390" s="193">
        <v>644</v>
      </c>
    </row>
    <row r="391" spans="1:7" ht="15">
      <c r="A391" s="191">
        <v>388</v>
      </c>
      <c r="B391" s="247" t="s">
        <v>146</v>
      </c>
      <c r="C391" s="114">
        <v>39073</v>
      </c>
      <c r="D391" s="127" t="s">
        <v>73</v>
      </c>
      <c r="E391" s="127" t="s">
        <v>135</v>
      </c>
      <c r="F391" s="249">
        <v>3051</v>
      </c>
      <c r="G391" s="193">
        <v>698</v>
      </c>
    </row>
    <row r="392" spans="1:7" ht="15">
      <c r="A392" s="188">
        <v>389</v>
      </c>
      <c r="B392" s="247" t="s">
        <v>146</v>
      </c>
      <c r="C392" s="114">
        <v>39073</v>
      </c>
      <c r="D392" s="127" t="s">
        <v>73</v>
      </c>
      <c r="E392" s="127" t="s">
        <v>135</v>
      </c>
      <c r="F392" s="249">
        <v>1594</v>
      </c>
      <c r="G392" s="193">
        <v>314</v>
      </c>
    </row>
    <row r="393" spans="1:7" ht="15">
      <c r="A393" s="191">
        <v>390</v>
      </c>
      <c r="B393" s="143" t="s">
        <v>146</v>
      </c>
      <c r="C393" s="114">
        <v>39073</v>
      </c>
      <c r="D393" s="273" t="s">
        <v>73</v>
      </c>
      <c r="E393" s="273" t="s">
        <v>135</v>
      </c>
      <c r="F393" s="249">
        <v>1243</v>
      </c>
      <c r="G393" s="193">
        <v>259</v>
      </c>
    </row>
    <row r="394" spans="1:7" ht="15">
      <c r="A394" s="191">
        <v>391</v>
      </c>
      <c r="B394" s="143" t="s">
        <v>146</v>
      </c>
      <c r="C394" s="114">
        <v>39073</v>
      </c>
      <c r="D394" s="273" t="s">
        <v>73</v>
      </c>
      <c r="E394" s="273" t="s">
        <v>135</v>
      </c>
      <c r="F394" s="253">
        <v>950</v>
      </c>
      <c r="G394" s="154">
        <v>179</v>
      </c>
    </row>
    <row r="395" spans="1:7" ht="15">
      <c r="A395" s="188">
        <v>392</v>
      </c>
      <c r="B395" s="143" t="s">
        <v>146</v>
      </c>
      <c r="C395" s="114">
        <v>39073</v>
      </c>
      <c r="D395" s="127" t="s">
        <v>73</v>
      </c>
      <c r="E395" s="127" t="s">
        <v>135</v>
      </c>
      <c r="F395" s="249">
        <v>584.5</v>
      </c>
      <c r="G395" s="193">
        <v>144</v>
      </c>
    </row>
    <row r="396" spans="1:7" ht="15">
      <c r="A396" s="191">
        <v>393</v>
      </c>
      <c r="B396" s="147" t="s">
        <v>168</v>
      </c>
      <c r="C396" s="115">
        <v>38436</v>
      </c>
      <c r="D396" s="126" t="s">
        <v>58</v>
      </c>
      <c r="E396" s="126" t="s">
        <v>59</v>
      </c>
      <c r="F396" s="248">
        <v>1510</v>
      </c>
      <c r="G396" s="194">
        <v>302</v>
      </c>
    </row>
    <row r="397" spans="1:7" ht="15">
      <c r="A397" s="191">
        <v>394</v>
      </c>
      <c r="B397" s="147" t="s">
        <v>168</v>
      </c>
      <c r="C397" s="115">
        <v>38436</v>
      </c>
      <c r="D397" s="126" t="s">
        <v>58</v>
      </c>
      <c r="E397" s="126" t="s">
        <v>59</v>
      </c>
      <c r="F397" s="248">
        <v>201</v>
      </c>
      <c r="G397" s="194">
        <v>47</v>
      </c>
    </row>
    <row r="398" spans="1:7" ht="15">
      <c r="A398" s="188">
        <v>395</v>
      </c>
      <c r="B398" s="245" t="s">
        <v>168</v>
      </c>
      <c r="C398" s="115">
        <v>38436</v>
      </c>
      <c r="D398" s="126" t="s">
        <v>58</v>
      </c>
      <c r="E398" s="126" t="s">
        <v>59</v>
      </c>
      <c r="F398" s="248">
        <v>201</v>
      </c>
      <c r="G398" s="194">
        <v>47</v>
      </c>
    </row>
    <row r="399" spans="1:7" ht="15">
      <c r="A399" s="191">
        <v>396</v>
      </c>
      <c r="B399" s="145" t="s">
        <v>32</v>
      </c>
      <c r="C399" s="114">
        <v>39024</v>
      </c>
      <c r="D399" s="125" t="s">
        <v>56</v>
      </c>
      <c r="E399" s="124" t="s">
        <v>71</v>
      </c>
      <c r="F399" s="253">
        <v>4639</v>
      </c>
      <c r="G399" s="154">
        <v>1240</v>
      </c>
    </row>
    <row r="400" spans="1:7" ht="15">
      <c r="A400" s="191">
        <v>397</v>
      </c>
      <c r="B400" s="244" t="s">
        <v>32</v>
      </c>
      <c r="C400" s="114">
        <v>39024</v>
      </c>
      <c r="D400" s="125" t="s">
        <v>56</v>
      </c>
      <c r="E400" s="124" t="s">
        <v>71</v>
      </c>
      <c r="F400" s="249">
        <v>3468</v>
      </c>
      <c r="G400" s="193">
        <v>968</v>
      </c>
    </row>
    <row r="401" spans="1:7" ht="15">
      <c r="A401" s="188">
        <v>398</v>
      </c>
      <c r="B401" s="178" t="s">
        <v>32</v>
      </c>
      <c r="C401" s="114">
        <v>39024</v>
      </c>
      <c r="D401" s="176" t="s">
        <v>56</v>
      </c>
      <c r="E401" s="176" t="s">
        <v>71</v>
      </c>
      <c r="F401" s="249">
        <v>1123</v>
      </c>
      <c r="G401" s="193">
        <v>375</v>
      </c>
    </row>
    <row r="402" spans="1:7" ht="15">
      <c r="A402" s="191">
        <v>399</v>
      </c>
      <c r="B402" s="145" t="s">
        <v>32</v>
      </c>
      <c r="C402" s="114">
        <v>39024</v>
      </c>
      <c r="D402" s="125" t="s">
        <v>56</v>
      </c>
      <c r="E402" s="124" t="s">
        <v>71</v>
      </c>
      <c r="F402" s="249">
        <v>130</v>
      </c>
      <c r="G402" s="193">
        <v>20</v>
      </c>
    </row>
    <row r="403" spans="1:7" ht="15">
      <c r="A403" s="191">
        <v>400</v>
      </c>
      <c r="B403" s="145" t="s">
        <v>254</v>
      </c>
      <c r="C403" s="114">
        <v>39024</v>
      </c>
      <c r="D403" s="270" t="s">
        <v>56</v>
      </c>
      <c r="E403" s="271" t="s">
        <v>11</v>
      </c>
      <c r="F403" s="249">
        <v>719</v>
      </c>
      <c r="G403" s="193">
        <v>90</v>
      </c>
    </row>
    <row r="404" spans="1:7" ht="15">
      <c r="A404" s="188">
        <v>401</v>
      </c>
      <c r="B404" s="244" t="s">
        <v>254</v>
      </c>
      <c r="C404" s="114">
        <v>39003</v>
      </c>
      <c r="D404" s="125" t="s">
        <v>56</v>
      </c>
      <c r="E404" s="124" t="s">
        <v>11</v>
      </c>
      <c r="F404" s="249">
        <v>596</v>
      </c>
      <c r="G404" s="193">
        <v>79</v>
      </c>
    </row>
    <row r="405" spans="1:7" ht="15">
      <c r="A405" s="191">
        <v>402</v>
      </c>
      <c r="B405" s="119" t="s">
        <v>411</v>
      </c>
      <c r="C405" s="117">
        <v>39024</v>
      </c>
      <c r="D405" s="128" t="s">
        <v>64</v>
      </c>
      <c r="E405" s="128" t="s">
        <v>62</v>
      </c>
      <c r="F405" s="257">
        <v>4269</v>
      </c>
      <c r="G405" s="158">
        <v>855</v>
      </c>
    </row>
    <row r="406" spans="1:7" ht="15">
      <c r="A406" s="191">
        <v>403</v>
      </c>
      <c r="B406" s="180" t="s">
        <v>100</v>
      </c>
      <c r="C406" s="117">
        <v>39059</v>
      </c>
      <c r="D406" s="177" t="s">
        <v>64</v>
      </c>
      <c r="E406" s="177" t="s">
        <v>101</v>
      </c>
      <c r="F406" s="256">
        <v>8747</v>
      </c>
      <c r="G406" s="196">
        <v>1379</v>
      </c>
    </row>
    <row r="407" spans="1:7" ht="15">
      <c r="A407" s="188">
        <v>404</v>
      </c>
      <c r="B407" s="119" t="s">
        <v>100</v>
      </c>
      <c r="C407" s="117">
        <v>39059</v>
      </c>
      <c r="D407" s="128" t="s">
        <v>64</v>
      </c>
      <c r="E407" s="128" t="s">
        <v>101</v>
      </c>
      <c r="F407" s="257">
        <v>4587</v>
      </c>
      <c r="G407" s="158">
        <v>707</v>
      </c>
    </row>
    <row r="408" spans="1:7" ht="15">
      <c r="A408" s="191">
        <v>405</v>
      </c>
      <c r="B408" s="239" t="s">
        <v>100</v>
      </c>
      <c r="C408" s="117">
        <v>39059</v>
      </c>
      <c r="D408" s="128" t="s">
        <v>64</v>
      </c>
      <c r="E408" s="128" t="s">
        <v>101</v>
      </c>
      <c r="F408" s="256">
        <v>4297</v>
      </c>
      <c r="G408" s="196">
        <v>700</v>
      </c>
    </row>
    <row r="409" spans="1:7" ht="15">
      <c r="A409" s="191">
        <v>406</v>
      </c>
      <c r="B409" s="334" t="s">
        <v>100</v>
      </c>
      <c r="C409" s="328">
        <v>39059</v>
      </c>
      <c r="D409" s="327" t="s">
        <v>64</v>
      </c>
      <c r="E409" s="327" t="s">
        <v>101</v>
      </c>
      <c r="F409" s="336">
        <v>424</v>
      </c>
      <c r="G409" s="338">
        <v>61</v>
      </c>
    </row>
    <row r="410" spans="1:7" ht="15">
      <c r="A410" s="188">
        <v>407</v>
      </c>
      <c r="B410" s="340" t="s">
        <v>100</v>
      </c>
      <c r="C410" s="117">
        <v>39059</v>
      </c>
      <c r="D410" s="177" t="s">
        <v>64</v>
      </c>
      <c r="E410" s="177" t="s">
        <v>101</v>
      </c>
      <c r="F410" s="256">
        <v>110</v>
      </c>
      <c r="G410" s="196">
        <v>18</v>
      </c>
    </row>
    <row r="411" spans="1:7" ht="15">
      <c r="A411" s="191">
        <v>408</v>
      </c>
      <c r="B411" s="148" t="s">
        <v>216</v>
      </c>
      <c r="C411" s="115">
        <v>38191</v>
      </c>
      <c r="D411" s="130" t="s">
        <v>23</v>
      </c>
      <c r="E411" s="129" t="s">
        <v>192</v>
      </c>
      <c r="F411" s="248">
        <v>803.2</v>
      </c>
      <c r="G411" s="194">
        <v>502</v>
      </c>
    </row>
    <row r="412" spans="1:7" ht="15">
      <c r="A412" s="191">
        <v>409</v>
      </c>
      <c r="B412" s="246" t="s">
        <v>216</v>
      </c>
      <c r="C412" s="115">
        <v>38191</v>
      </c>
      <c r="D412" s="130" t="s">
        <v>23</v>
      </c>
      <c r="E412" s="129" t="s">
        <v>192</v>
      </c>
      <c r="F412" s="252">
        <v>476</v>
      </c>
      <c r="G412" s="194">
        <v>119</v>
      </c>
    </row>
    <row r="413" spans="1:7" ht="15">
      <c r="A413" s="188">
        <v>410</v>
      </c>
      <c r="B413" s="333" t="s">
        <v>216</v>
      </c>
      <c r="C413" s="115">
        <v>38191</v>
      </c>
      <c r="D413" s="175" t="s">
        <v>23</v>
      </c>
      <c r="E413" s="175" t="s">
        <v>192</v>
      </c>
      <c r="F413" s="248">
        <v>435.2</v>
      </c>
      <c r="G413" s="194">
        <v>272</v>
      </c>
    </row>
    <row r="414" spans="1:7" ht="15">
      <c r="A414" s="191">
        <v>411</v>
      </c>
      <c r="B414" s="148" t="s">
        <v>248</v>
      </c>
      <c r="C414" s="115">
        <v>37869</v>
      </c>
      <c r="D414" s="274" t="s">
        <v>23</v>
      </c>
      <c r="E414" s="275" t="s">
        <v>27</v>
      </c>
      <c r="F414" s="248">
        <v>952</v>
      </c>
      <c r="G414" s="194">
        <v>238</v>
      </c>
    </row>
    <row r="415" spans="1:7" ht="15">
      <c r="A415" s="191">
        <v>412</v>
      </c>
      <c r="B415" s="148" t="s">
        <v>251</v>
      </c>
      <c r="C415" s="115">
        <v>38751</v>
      </c>
      <c r="D415" s="274" t="s">
        <v>23</v>
      </c>
      <c r="E415" s="275" t="s">
        <v>27</v>
      </c>
      <c r="F415" s="248">
        <v>245.5</v>
      </c>
      <c r="G415" s="194">
        <v>97</v>
      </c>
    </row>
    <row r="416" spans="1:7" ht="15">
      <c r="A416" s="188">
        <v>413</v>
      </c>
      <c r="B416" s="244" t="s">
        <v>160</v>
      </c>
      <c r="C416" s="114">
        <v>39003</v>
      </c>
      <c r="D416" s="125" t="s">
        <v>56</v>
      </c>
      <c r="E416" s="124" t="s">
        <v>144</v>
      </c>
      <c r="F416" s="249">
        <v>544</v>
      </c>
      <c r="G416" s="193">
        <v>133</v>
      </c>
    </row>
    <row r="417" spans="1:7" ht="15">
      <c r="A417" s="191">
        <v>414</v>
      </c>
      <c r="B417" s="178" t="s">
        <v>160</v>
      </c>
      <c r="C417" s="114">
        <v>39003</v>
      </c>
      <c r="D417" s="176" t="s">
        <v>56</v>
      </c>
      <c r="E417" s="176" t="s">
        <v>144</v>
      </c>
      <c r="F417" s="249">
        <v>513</v>
      </c>
      <c r="G417" s="193">
        <v>162</v>
      </c>
    </row>
    <row r="418" spans="1:7" ht="15">
      <c r="A418" s="191">
        <v>415</v>
      </c>
      <c r="B418" s="245" t="s">
        <v>82</v>
      </c>
      <c r="C418" s="115">
        <v>39010</v>
      </c>
      <c r="D418" s="126" t="s">
        <v>58</v>
      </c>
      <c r="E418" s="126" t="s">
        <v>71</v>
      </c>
      <c r="F418" s="248">
        <v>20659.5</v>
      </c>
      <c r="G418" s="194">
        <v>4132</v>
      </c>
    </row>
    <row r="419" spans="1:7" ht="15">
      <c r="A419" s="188">
        <v>416</v>
      </c>
      <c r="B419" s="146" t="s">
        <v>82</v>
      </c>
      <c r="C419" s="149">
        <v>39010</v>
      </c>
      <c r="D419" s="144" t="s">
        <v>58</v>
      </c>
      <c r="E419" s="144" t="s">
        <v>71</v>
      </c>
      <c r="F419" s="254">
        <v>13340</v>
      </c>
      <c r="G419" s="155">
        <v>1914</v>
      </c>
    </row>
    <row r="420" spans="1:7" ht="15">
      <c r="A420" s="191">
        <v>417</v>
      </c>
      <c r="B420" s="245" t="s">
        <v>82</v>
      </c>
      <c r="C420" s="115">
        <v>39010</v>
      </c>
      <c r="D420" s="126" t="s">
        <v>58</v>
      </c>
      <c r="E420" s="126" t="s">
        <v>71</v>
      </c>
      <c r="F420" s="248">
        <v>5274.5</v>
      </c>
      <c r="G420" s="194">
        <v>1016</v>
      </c>
    </row>
    <row r="421" spans="1:7" ht="15">
      <c r="A421" s="191">
        <v>418</v>
      </c>
      <c r="B421" s="179" t="s">
        <v>82</v>
      </c>
      <c r="C421" s="115">
        <v>39010</v>
      </c>
      <c r="D421" s="175" t="s">
        <v>58</v>
      </c>
      <c r="E421" s="175" t="s">
        <v>71</v>
      </c>
      <c r="F421" s="248">
        <v>3471</v>
      </c>
      <c r="G421" s="194">
        <v>491</v>
      </c>
    </row>
    <row r="422" spans="1:7" ht="15">
      <c r="A422" s="188">
        <v>419</v>
      </c>
      <c r="B422" s="146" t="s">
        <v>82</v>
      </c>
      <c r="C422" s="149">
        <v>39010</v>
      </c>
      <c r="D422" s="272" t="s">
        <v>58</v>
      </c>
      <c r="E422" s="271" t="s">
        <v>71</v>
      </c>
      <c r="F422" s="254">
        <v>2629</v>
      </c>
      <c r="G422" s="155">
        <v>519</v>
      </c>
    </row>
    <row r="423" spans="1:7" ht="15">
      <c r="A423" s="191">
        <v>420</v>
      </c>
      <c r="B423" s="147" t="s">
        <v>82</v>
      </c>
      <c r="C423" s="115">
        <v>39010</v>
      </c>
      <c r="D423" s="126" t="s">
        <v>58</v>
      </c>
      <c r="E423" s="126" t="s">
        <v>71</v>
      </c>
      <c r="F423" s="248">
        <v>2097</v>
      </c>
      <c r="G423" s="194">
        <v>307</v>
      </c>
    </row>
    <row r="424" spans="1:7" ht="15">
      <c r="A424" s="191">
        <v>421</v>
      </c>
      <c r="B424" s="333" t="s">
        <v>82</v>
      </c>
      <c r="C424" s="115">
        <v>39010</v>
      </c>
      <c r="D424" s="175" t="s">
        <v>58</v>
      </c>
      <c r="E424" s="175" t="s">
        <v>71</v>
      </c>
      <c r="F424" s="248">
        <v>369</v>
      </c>
      <c r="G424" s="194">
        <v>113</v>
      </c>
    </row>
    <row r="425" spans="1:7" ht="15">
      <c r="A425" s="188">
        <v>422</v>
      </c>
      <c r="B425" s="246" t="s">
        <v>82</v>
      </c>
      <c r="C425" s="115">
        <v>39010</v>
      </c>
      <c r="D425" s="318" t="s">
        <v>58</v>
      </c>
      <c r="E425" s="318" t="s">
        <v>71</v>
      </c>
      <c r="F425" s="248">
        <v>347</v>
      </c>
      <c r="G425" s="194">
        <v>128</v>
      </c>
    </row>
    <row r="426" spans="1:7" ht="15">
      <c r="A426" s="191">
        <v>423</v>
      </c>
      <c r="B426" s="330" t="s">
        <v>82</v>
      </c>
      <c r="C426" s="324">
        <v>39010</v>
      </c>
      <c r="D426" s="323" t="s">
        <v>58</v>
      </c>
      <c r="E426" s="323" t="s">
        <v>71</v>
      </c>
      <c r="F426" s="335">
        <v>318</v>
      </c>
      <c r="G426" s="337">
        <v>123</v>
      </c>
    </row>
    <row r="427" spans="1:7" ht="15">
      <c r="A427" s="191">
        <v>424</v>
      </c>
      <c r="B427" s="245" t="s">
        <v>82</v>
      </c>
      <c r="C427" s="115">
        <v>39010</v>
      </c>
      <c r="D427" s="126" t="s">
        <v>58</v>
      </c>
      <c r="E427" s="126" t="s">
        <v>71</v>
      </c>
      <c r="F427" s="252">
        <v>130</v>
      </c>
      <c r="G427" s="194">
        <v>18</v>
      </c>
    </row>
    <row r="428" spans="1:7" ht="15">
      <c r="A428" s="188">
        <v>425</v>
      </c>
      <c r="B428" s="147" t="s">
        <v>82</v>
      </c>
      <c r="C428" s="115">
        <v>39010</v>
      </c>
      <c r="D428" s="280" t="s">
        <v>58</v>
      </c>
      <c r="E428" s="280" t="s">
        <v>71</v>
      </c>
      <c r="F428" s="248">
        <v>49</v>
      </c>
      <c r="G428" s="194">
        <v>7</v>
      </c>
    </row>
    <row r="429" spans="1:7" ht="15">
      <c r="A429" s="191">
        <v>426</v>
      </c>
      <c r="B429" s="246" t="s">
        <v>231</v>
      </c>
      <c r="C429" s="115">
        <v>38758</v>
      </c>
      <c r="D429" s="274" t="s">
        <v>23</v>
      </c>
      <c r="E429" s="275" t="s">
        <v>232</v>
      </c>
      <c r="F429" s="252">
        <v>4276</v>
      </c>
      <c r="G429" s="157">
        <v>1069</v>
      </c>
    </row>
    <row r="430" spans="1:7" ht="15">
      <c r="A430" s="191">
        <v>427</v>
      </c>
      <c r="B430" s="246" t="s">
        <v>231</v>
      </c>
      <c r="C430" s="115">
        <v>38758</v>
      </c>
      <c r="D430" s="130" t="s">
        <v>23</v>
      </c>
      <c r="E430" s="129" t="s">
        <v>232</v>
      </c>
      <c r="F430" s="252">
        <v>3560</v>
      </c>
      <c r="G430" s="194">
        <v>890</v>
      </c>
    </row>
    <row r="431" spans="1:7" ht="15">
      <c r="A431" s="188">
        <v>428</v>
      </c>
      <c r="B431" s="246" t="s">
        <v>231</v>
      </c>
      <c r="C431" s="115">
        <v>38758</v>
      </c>
      <c r="D431" s="130" t="s">
        <v>23</v>
      </c>
      <c r="E431" s="129" t="s">
        <v>232</v>
      </c>
      <c r="F431" s="252">
        <v>1008</v>
      </c>
      <c r="G431" s="194">
        <v>252</v>
      </c>
    </row>
    <row r="432" spans="1:7" ht="15">
      <c r="A432" s="191">
        <v>429</v>
      </c>
      <c r="B432" s="143" t="s">
        <v>155</v>
      </c>
      <c r="C432" s="114">
        <v>39052</v>
      </c>
      <c r="D432" s="127" t="s">
        <v>73</v>
      </c>
      <c r="E432" s="127" t="s">
        <v>135</v>
      </c>
      <c r="F432" s="249">
        <v>1617</v>
      </c>
      <c r="G432" s="193">
        <v>271</v>
      </c>
    </row>
    <row r="433" spans="1:7" ht="15">
      <c r="A433" s="191">
        <v>430</v>
      </c>
      <c r="B433" s="178" t="s">
        <v>155</v>
      </c>
      <c r="C433" s="149">
        <v>39073</v>
      </c>
      <c r="D433" s="144" t="s">
        <v>73</v>
      </c>
      <c r="E433" s="144" t="s">
        <v>135</v>
      </c>
      <c r="F433" s="254">
        <v>1562.5</v>
      </c>
      <c r="G433" s="155">
        <v>266</v>
      </c>
    </row>
    <row r="434" spans="1:7" ht="15">
      <c r="A434" s="188">
        <v>431</v>
      </c>
      <c r="B434" s="178" t="s">
        <v>155</v>
      </c>
      <c r="C434" s="114">
        <v>39052</v>
      </c>
      <c r="D434" s="176" t="s">
        <v>73</v>
      </c>
      <c r="E434" s="176" t="s">
        <v>135</v>
      </c>
      <c r="F434" s="249">
        <v>1522</v>
      </c>
      <c r="G434" s="193">
        <v>316</v>
      </c>
    </row>
    <row r="435" spans="1:7" ht="15">
      <c r="A435" s="191">
        <v>432</v>
      </c>
      <c r="B435" s="143" t="s">
        <v>155</v>
      </c>
      <c r="C435" s="114">
        <v>39052</v>
      </c>
      <c r="D435" s="273" t="s">
        <v>73</v>
      </c>
      <c r="E435" s="273" t="s">
        <v>135</v>
      </c>
      <c r="F435" s="253">
        <v>1188</v>
      </c>
      <c r="G435" s="154">
        <v>198</v>
      </c>
    </row>
    <row r="436" spans="1:7" ht="15">
      <c r="A436" s="191">
        <v>433</v>
      </c>
      <c r="B436" s="332" t="s">
        <v>155</v>
      </c>
      <c r="C436" s="114">
        <v>39052</v>
      </c>
      <c r="D436" s="176" t="s">
        <v>73</v>
      </c>
      <c r="E436" s="176" t="s">
        <v>135</v>
      </c>
      <c r="F436" s="249">
        <v>1116</v>
      </c>
      <c r="G436" s="193">
        <v>185</v>
      </c>
    </row>
    <row r="437" spans="1:7" ht="15">
      <c r="A437" s="188">
        <v>434</v>
      </c>
      <c r="B437" s="247" t="s">
        <v>155</v>
      </c>
      <c r="C437" s="114">
        <v>39052</v>
      </c>
      <c r="D437" s="127" t="s">
        <v>73</v>
      </c>
      <c r="E437" s="127" t="s">
        <v>135</v>
      </c>
      <c r="F437" s="249">
        <v>301</v>
      </c>
      <c r="G437" s="193">
        <v>60</v>
      </c>
    </row>
    <row r="438" spans="1:7" ht="15">
      <c r="A438" s="191">
        <v>435</v>
      </c>
      <c r="B438" s="332" t="s">
        <v>155</v>
      </c>
      <c r="C438" s="114">
        <v>39052</v>
      </c>
      <c r="D438" s="176" t="s">
        <v>73</v>
      </c>
      <c r="E438" s="176" t="s">
        <v>135</v>
      </c>
      <c r="F438" s="249">
        <v>272</v>
      </c>
      <c r="G438" s="193">
        <v>68</v>
      </c>
    </row>
    <row r="439" spans="1:7" ht="15">
      <c r="A439" s="191">
        <v>436</v>
      </c>
      <c r="B439" s="178" t="s">
        <v>155</v>
      </c>
      <c r="C439" s="114">
        <v>39052</v>
      </c>
      <c r="D439" s="127" t="s">
        <v>73</v>
      </c>
      <c r="E439" s="127" t="s">
        <v>135</v>
      </c>
      <c r="F439" s="249">
        <v>197</v>
      </c>
      <c r="G439" s="193">
        <v>47</v>
      </c>
    </row>
    <row r="440" spans="1:7" ht="15">
      <c r="A440" s="188">
        <v>437</v>
      </c>
      <c r="B440" s="145" t="s">
        <v>113</v>
      </c>
      <c r="C440" s="114">
        <v>39066</v>
      </c>
      <c r="D440" s="125" t="s">
        <v>56</v>
      </c>
      <c r="E440" s="124" t="s">
        <v>71</v>
      </c>
      <c r="F440" s="253">
        <v>41071</v>
      </c>
      <c r="G440" s="154">
        <v>3570</v>
      </c>
    </row>
    <row r="441" spans="1:7" ht="15">
      <c r="A441" s="191">
        <v>438</v>
      </c>
      <c r="B441" s="178" t="s">
        <v>113</v>
      </c>
      <c r="C441" s="114">
        <v>39066</v>
      </c>
      <c r="D441" s="176" t="s">
        <v>56</v>
      </c>
      <c r="E441" s="176" t="s">
        <v>71</v>
      </c>
      <c r="F441" s="249">
        <v>3039</v>
      </c>
      <c r="G441" s="193">
        <v>371</v>
      </c>
    </row>
    <row r="442" spans="1:7" ht="15">
      <c r="A442" s="191">
        <v>439</v>
      </c>
      <c r="B442" s="244" t="s">
        <v>113</v>
      </c>
      <c r="C442" s="114">
        <v>39066</v>
      </c>
      <c r="D442" s="125" t="s">
        <v>56</v>
      </c>
      <c r="E442" s="124" t="s">
        <v>71</v>
      </c>
      <c r="F442" s="249">
        <v>2600</v>
      </c>
      <c r="G442" s="193">
        <v>361</v>
      </c>
    </row>
    <row r="443" spans="1:7" ht="15">
      <c r="A443" s="188">
        <v>440</v>
      </c>
      <c r="B443" s="247" t="s">
        <v>113</v>
      </c>
      <c r="C443" s="114">
        <v>39066</v>
      </c>
      <c r="D443" s="316" t="s">
        <v>56</v>
      </c>
      <c r="E443" s="316" t="s">
        <v>71</v>
      </c>
      <c r="F443" s="249">
        <v>2186</v>
      </c>
      <c r="G443" s="193">
        <v>301</v>
      </c>
    </row>
    <row r="444" spans="1:7" ht="15">
      <c r="A444" s="191">
        <v>441</v>
      </c>
      <c r="B444" s="244" t="s">
        <v>113</v>
      </c>
      <c r="C444" s="114">
        <v>39066</v>
      </c>
      <c r="D444" s="125" t="s">
        <v>56</v>
      </c>
      <c r="E444" s="124" t="s">
        <v>71</v>
      </c>
      <c r="F444" s="253">
        <v>2174</v>
      </c>
      <c r="G444" s="193">
        <v>300</v>
      </c>
    </row>
    <row r="445" spans="1:7" ht="15">
      <c r="A445" s="191">
        <v>442</v>
      </c>
      <c r="B445" s="244" t="s">
        <v>113</v>
      </c>
      <c r="C445" s="114">
        <v>39066</v>
      </c>
      <c r="D445" s="125" t="s">
        <v>56</v>
      </c>
      <c r="E445" s="124" t="s">
        <v>71</v>
      </c>
      <c r="F445" s="249">
        <v>2174</v>
      </c>
      <c r="G445" s="193">
        <v>300</v>
      </c>
    </row>
    <row r="446" spans="1:7" ht="15">
      <c r="A446" s="188">
        <v>443</v>
      </c>
      <c r="B446" s="244" t="s">
        <v>113</v>
      </c>
      <c r="C446" s="114">
        <v>39066</v>
      </c>
      <c r="D446" s="125" t="s">
        <v>56</v>
      </c>
      <c r="E446" s="124" t="s">
        <v>71</v>
      </c>
      <c r="F446" s="249">
        <v>1487</v>
      </c>
      <c r="G446" s="193">
        <v>239</v>
      </c>
    </row>
    <row r="447" spans="1:7" ht="15">
      <c r="A447" s="191">
        <v>444</v>
      </c>
      <c r="B447" s="145" t="s">
        <v>113</v>
      </c>
      <c r="C447" s="114">
        <v>39066</v>
      </c>
      <c r="D447" s="125" t="s">
        <v>56</v>
      </c>
      <c r="E447" s="124" t="s">
        <v>71</v>
      </c>
      <c r="F447" s="249">
        <v>1124</v>
      </c>
      <c r="G447" s="193">
        <v>164</v>
      </c>
    </row>
    <row r="448" spans="1:7" ht="15">
      <c r="A448" s="191">
        <v>445</v>
      </c>
      <c r="B448" s="145" t="s">
        <v>113</v>
      </c>
      <c r="C448" s="114">
        <v>39066</v>
      </c>
      <c r="D448" s="125" t="s">
        <v>56</v>
      </c>
      <c r="E448" s="124" t="s">
        <v>71</v>
      </c>
      <c r="F448" s="249">
        <v>762</v>
      </c>
      <c r="G448" s="193">
        <v>96</v>
      </c>
    </row>
    <row r="449" spans="1:7" ht="15">
      <c r="A449" s="188">
        <v>446</v>
      </c>
      <c r="B449" s="244" t="s">
        <v>113</v>
      </c>
      <c r="C449" s="114">
        <v>39066</v>
      </c>
      <c r="D449" s="270" t="s">
        <v>56</v>
      </c>
      <c r="E449" s="271" t="s">
        <v>71</v>
      </c>
      <c r="F449" s="253">
        <v>751</v>
      </c>
      <c r="G449" s="154">
        <v>88</v>
      </c>
    </row>
    <row r="450" spans="1:7" ht="15">
      <c r="A450" s="191">
        <v>447</v>
      </c>
      <c r="B450" s="332" t="s">
        <v>113</v>
      </c>
      <c r="C450" s="114">
        <v>39066</v>
      </c>
      <c r="D450" s="176" t="s">
        <v>56</v>
      </c>
      <c r="E450" s="176" t="s">
        <v>71</v>
      </c>
      <c r="F450" s="249">
        <v>252</v>
      </c>
      <c r="G450" s="193">
        <v>32</v>
      </c>
    </row>
    <row r="451" spans="1:7" ht="15">
      <c r="A451" s="191">
        <v>448</v>
      </c>
      <c r="B451" s="145" t="s">
        <v>113</v>
      </c>
      <c r="C451" s="114">
        <v>39066</v>
      </c>
      <c r="D451" s="270" t="s">
        <v>56</v>
      </c>
      <c r="E451" s="271" t="s">
        <v>71</v>
      </c>
      <c r="F451" s="249">
        <v>237</v>
      </c>
      <c r="G451" s="193">
        <v>46</v>
      </c>
    </row>
    <row r="452" spans="1:7" ht="15">
      <c r="A452" s="188">
        <v>449</v>
      </c>
      <c r="B452" s="244" t="s">
        <v>113</v>
      </c>
      <c r="C452" s="114">
        <v>39066</v>
      </c>
      <c r="D452" s="125" t="s">
        <v>56</v>
      </c>
      <c r="E452" s="124" t="s">
        <v>71</v>
      </c>
      <c r="F452" s="253">
        <v>234</v>
      </c>
      <c r="G452" s="193">
        <v>27</v>
      </c>
    </row>
    <row r="453" spans="1:7" ht="15">
      <c r="A453" s="191">
        <v>450</v>
      </c>
      <c r="B453" s="145" t="s">
        <v>113</v>
      </c>
      <c r="C453" s="114">
        <v>39066</v>
      </c>
      <c r="D453" s="270" t="s">
        <v>56</v>
      </c>
      <c r="E453" s="271" t="s">
        <v>71</v>
      </c>
      <c r="F453" s="253">
        <v>161</v>
      </c>
      <c r="G453" s="154">
        <v>29</v>
      </c>
    </row>
    <row r="454" spans="1:7" ht="15">
      <c r="A454" s="191">
        <v>451</v>
      </c>
      <c r="B454" s="148" t="s">
        <v>217</v>
      </c>
      <c r="C454" s="115">
        <v>38709</v>
      </c>
      <c r="D454" s="130" t="s">
        <v>23</v>
      </c>
      <c r="E454" s="129" t="s">
        <v>33</v>
      </c>
      <c r="F454" s="248">
        <v>3560</v>
      </c>
      <c r="G454" s="194">
        <v>890</v>
      </c>
    </row>
    <row r="455" spans="1:7" ht="15">
      <c r="A455" s="188">
        <v>452</v>
      </c>
      <c r="B455" s="146" t="s">
        <v>133</v>
      </c>
      <c r="C455" s="149">
        <v>39031</v>
      </c>
      <c r="D455" s="144" t="s">
        <v>58</v>
      </c>
      <c r="E455" s="144" t="s">
        <v>39</v>
      </c>
      <c r="F455" s="254">
        <v>570</v>
      </c>
      <c r="G455" s="155">
        <v>142</v>
      </c>
    </row>
    <row r="456" spans="1:7" ht="15">
      <c r="A456" s="191">
        <v>453</v>
      </c>
      <c r="B456" s="245" t="s">
        <v>133</v>
      </c>
      <c r="C456" s="115">
        <v>39031</v>
      </c>
      <c r="D456" s="126" t="s">
        <v>58</v>
      </c>
      <c r="E456" s="126" t="s">
        <v>39</v>
      </c>
      <c r="F456" s="248">
        <v>310</v>
      </c>
      <c r="G456" s="194">
        <v>69</v>
      </c>
    </row>
    <row r="457" spans="1:7" ht="15">
      <c r="A457" s="191">
        <v>454</v>
      </c>
      <c r="B457" s="245" t="s">
        <v>133</v>
      </c>
      <c r="C457" s="115">
        <v>39031</v>
      </c>
      <c r="D457" s="126" t="s">
        <v>12</v>
      </c>
      <c r="E457" s="126" t="s">
        <v>39</v>
      </c>
      <c r="F457" s="248">
        <v>254</v>
      </c>
      <c r="G457" s="194">
        <v>57</v>
      </c>
    </row>
    <row r="458" spans="1:7" ht="15">
      <c r="A458" s="188">
        <v>455</v>
      </c>
      <c r="B458" s="179" t="s">
        <v>133</v>
      </c>
      <c r="C458" s="115">
        <v>39031</v>
      </c>
      <c r="D458" s="175" t="s">
        <v>58</v>
      </c>
      <c r="E458" s="175" t="s">
        <v>39</v>
      </c>
      <c r="F458" s="248">
        <v>176</v>
      </c>
      <c r="G458" s="194">
        <v>44</v>
      </c>
    </row>
    <row r="459" spans="1:7" ht="15">
      <c r="A459" s="191">
        <v>456</v>
      </c>
      <c r="B459" s="246" t="s">
        <v>330</v>
      </c>
      <c r="C459" s="115">
        <v>38891</v>
      </c>
      <c r="D459" s="318" t="s">
        <v>23</v>
      </c>
      <c r="E459" s="318" t="s">
        <v>331</v>
      </c>
      <c r="F459" s="248">
        <v>712</v>
      </c>
      <c r="G459" s="194">
        <v>178</v>
      </c>
    </row>
    <row r="460" spans="1:7" ht="15">
      <c r="A460" s="191">
        <v>457</v>
      </c>
      <c r="B460" s="146" t="s">
        <v>79</v>
      </c>
      <c r="C460" s="149">
        <v>39052</v>
      </c>
      <c r="D460" s="144" t="s">
        <v>58</v>
      </c>
      <c r="E460" s="144" t="s">
        <v>14</v>
      </c>
      <c r="F460" s="254">
        <v>137705.5</v>
      </c>
      <c r="G460" s="155">
        <v>21048</v>
      </c>
    </row>
    <row r="461" spans="1:7" ht="15">
      <c r="A461" s="188">
        <v>458</v>
      </c>
      <c r="B461" s="179" t="s">
        <v>79</v>
      </c>
      <c r="C461" s="115">
        <v>39052</v>
      </c>
      <c r="D461" s="175" t="s">
        <v>58</v>
      </c>
      <c r="E461" s="175" t="s">
        <v>14</v>
      </c>
      <c r="F461" s="248">
        <v>96374</v>
      </c>
      <c r="G461" s="194">
        <v>15913</v>
      </c>
    </row>
    <row r="462" spans="1:7" ht="15">
      <c r="A462" s="191">
        <v>459</v>
      </c>
      <c r="B462" s="147" t="s">
        <v>79</v>
      </c>
      <c r="C462" s="115">
        <v>39052</v>
      </c>
      <c r="D462" s="126" t="s">
        <v>58</v>
      </c>
      <c r="E462" s="126" t="s">
        <v>14</v>
      </c>
      <c r="F462" s="248">
        <v>73504</v>
      </c>
      <c r="G462" s="194">
        <v>13224</v>
      </c>
    </row>
    <row r="463" spans="1:7" ht="15">
      <c r="A463" s="191">
        <v>460</v>
      </c>
      <c r="B463" s="245" t="s">
        <v>79</v>
      </c>
      <c r="C463" s="115">
        <v>39052</v>
      </c>
      <c r="D463" s="126" t="s">
        <v>58</v>
      </c>
      <c r="E463" s="126" t="s">
        <v>14</v>
      </c>
      <c r="F463" s="248">
        <v>30884</v>
      </c>
      <c r="G463" s="194">
        <v>6184</v>
      </c>
    </row>
    <row r="464" spans="1:7" ht="15">
      <c r="A464" s="188">
        <v>461</v>
      </c>
      <c r="B464" s="147" t="s">
        <v>79</v>
      </c>
      <c r="C464" s="115">
        <v>39052</v>
      </c>
      <c r="D464" s="280" t="s">
        <v>58</v>
      </c>
      <c r="E464" s="280" t="s">
        <v>14</v>
      </c>
      <c r="F464" s="248">
        <v>17976</v>
      </c>
      <c r="G464" s="194">
        <v>3081</v>
      </c>
    </row>
    <row r="465" spans="1:7" ht="15">
      <c r="A465" s="191">
        <v>462</v>
      </c>
      <c r="B465" s="147" t="s">
        <v>79</v>
      </c>
      <c r="C465" s="115">
        <v>39052</v>
      </c>
      <c r="D465" s="126" t="s">
        <v>58</v>
      </c>
      <c r="E465" s="126" t="s">
        <v>14</v>
      </c>
      <c r="F465" s="248">
        <v>17454.5</v>
      </c>
      <c r="G465" s="194">
        <v>3648</v>
      </c>
    </row>
    <row r="466" spans="1:7" ht="15">
      <c r="A466" s="191">
        <v>463</v>
      </c>
      <c r="B466" s="245" t="s">
        <v>79</v>
      </c>
      <c r="C466" s="115">
        <v>39052</v>
      </c>
      <c r="D466" s="126" t="s">
        <v>58</v>
      </c>
      <c r="E466" s="126" t="s">
        <v>14</v>
      </c>
      <c r="F466" s="252">
        <v>10984.5</v>
      </c>
      <c r="G466" s="194">
        <v>2101</v>
      </c>
    </row>
    <row r="467" spans="1:7" ht="15">
      <c r="A467" s="188">
        <v>464</v>
      </c>
      <c r="B467" s="146" t="s">
        <v>79</v>
      </c>
      <c r="C467" s="149">
        <v>39052</v>
      </c>
      <c r="D467" s="272" t="s">
        <v>58</v>
      </c>
      <c r="E467" s="271" t="s">
        <v>14</v>
      </c>
      <c r="F467" s="254">
        <v>8264</v>
      </c>
      <c r="G467" s="155">
        <v>1405</v>
      </c>
    </row>
    <row r="468" spans="1:7" ht="15">
      <c r="A468" s="191">
        <v>465</v>
      </c>
      <c r="B468" s="281" t="s">
        <v>79</v>
      </c>
      <c r="C468" s="149">
        <v>39052</v>
      </c>
      <c r="D468" s="272" t="s">
        <v>58</v>
      </c>
      <c r="E468" s="272" t="s">
        <v>14</v>
      </c>
      <c r="F468" s="254">
        <v>5607</v>
      </c>
      <c r="G468" s="155">
        <v>939</v>
      </c>
    </row>
    <row r="469" spans="1:7" ht="15">
      <c r="A469" s="191">
        <v>466</v>
      </c>
      <c r="B469" s="245" t="s">
        <v>79</v>
      </c>
      <c r="C469" s="115">
        <v>39052</v>
      </c>
      <c r="D469" s="126" t="s">
        <v>58</v>
      </c>
      <c r="E469" s="126" t="s">
        <v>300</v>
      </c>
      <c r="F469" s="248">
        <v>4629</v>
      </c>
      <c r="G469" s="194">
        <v>964</v>
      </c>
    </row>
    <row r="470" spans="1:7" ht="15">
      <c r="A470" s="188">
        <v>467</v>
      </c>
      <c r="B470" s="245" t="s">
        <v>79</v>
      </c>
      <c r="C470" s="115">
        <v>39052</v>
      </c>
      <c r="D470" s="126" t="s">
        <v>12</v>
      </c>
      <c r="E470" s="126" t="s">
        <v>14</v>
      </c>
      <c r="F470" s="248">
        <v>2782</v>
      </c>
      <c r="G470" s="194">
        <v>414</v>
      </c>
    </row>
    <row r="471" spans="1:7" ht="15">
      <c r="A471" s="191">
        <v>468</v>
      </c>
      <c r="B471" s="333" t="s">
        <v>79</v>
      </c>
      <c r="C471" s="115">
        <v>39052</v>
      </c>
      <c r="D471" s="175" t="s">
        <v>58</v>
      </c>
      <c r="E471" s="175" t="s">
        <v>14</v>
      </c>
      <c r="F471" s="248">
        <v>2376</v>
      </c>
      <c r="G471" s="194">
        <v>475</v>
      </c>
    </row>
    <row r="472" spans="1:7" ht="15">
      <c r="A472" s="191">
        <v>469</v>
      </c>
      <c r="B472" s="333" t="s">
        <v>79</v>
      </c>
      <c r="C472" s="115">
        <v>39052</v>
      </c>
      <c r="D472" s="175" t="s">
        <v>58</v>
      </c>
      <c r="E472" s="175" t="s">
        <v>14</v>
      </c>
      <c r="F472" s="248">
        <v>2202</v>
      </c>
      <c r="G472" s="194">
        <v>531</v>
      </c>
    </row>
    <row r="473" spans="1:7" ht="15">
      <c r="A473" s="188">
        <v>470</v>
      </c>
      <c r="B473" s="246" t="s">
        <v>79</v>
      </c>
      <c r="C473" s="115">
        <v>39052</v>
      </c>
      <c r="D473" s="318" t="s">
        <v>58</v>
      </c>
      <c r="E473" s="318" t="s">
        <v>14</v>
      </c>
      <c r="F473" s="248">
        <v>1637</v>
      </c>
      <c r="G473" s="194">
        <v>585</v>
      </c>
    </row>
    <row r="474" spans="1:7" ht="15">
      <c r="A474" s="191">
        <v>471</v>
      </c>
      <c r="B474" s="245" t="s">
        <v>79</v>
      </c>
      <c r="C474" s="115">
        <v>39052</v>
      </c>
      <c r="D474" s="126" t="s">
        <v>58</v>
      </c>
      <c r="E474" s="126" t="s">
        <v>300</v>
      </c>
      <c r="F474" s="252">
        <v>1262</v>
      </c>
      <c r="G474" s="194">
        <v>287</v>
      </c>
    </row>
    <row r="475" spans="1:7" ht="15">
      <c r="A475" s="191">
        <v>472</v>
      </c>
      <c r="B475" s="245" t="s">
        <v>79</v>
      </c>
      <c r="C475" s="115">
        <v>39052</v>
      </c>
      <c r="D475" s="126" t="s">
        <v>58</v>
      </c>
      <c r="E475" s="126" t="s">
        <v>14</v>
      </c>
      <c r="F475" s="248">
        <v>352</v>
      </c>
      <c r="G475" s="194">
        <v>88</v>
      </c>
    </row>
    <row r="476" spans="1:7" ht="15">
      <c r="A476" s="188">
        <v>473</v>
      </c>
      <c r="B476" s="333" t="s">
        <v>102</v>
      </c>
      <c r="C476" s="115">
        <v>39059</v>
      </c>
      <c r="D476" s="175" t="s">
        <v>23</v>
      </c>
      <c r="E476" s="175" t="s">
        <v>103</v>
      </c>
      <c r="F476" s="248">
        <v>8402</v>
      </c>
      <c r="G476" s="194">
        <v>1001</v>
      </c>
    </row>
    <row r="477" spans="1:7" ht="15">
      <c r="A477" s="191">
        <v>474</v>
      </c>
      <c r="B477" s="246" t="s">
        <v>102</v>
      </c>
      <c r="C477" s="115">
        <v>39059</v>
      </c>
      <c r="D477" s="130" t="s">
        <v>23</v>
      </c>
      <c r="E477" s="129" t="s">
        <v>103</v>
      </c>
      <c r="F477" s="248">
        <v>2970</v>
      </c>
      <c r="G477" s="194">
        <v>759</v>
      </c>
    </row>
    <row r="478" spans="1:7" ht="15">
      <c r="A478" s="191">
        <v>475</v>
      </c>
      <c r="B478" s="333" t="s">
        <v>102</v>
      </c>
      <c r="C478" s="115">
        <v>39059</v>
      </c>
      <c r="D478" s="175" t="s">
        <v>23</v>
      </c>
      <c r="E478" s="175" t="s">
        <v>103</v>
      </c>
      <c r="F478" s="248">
        <v>2390</v>
      </c>
      <c r="G478" s="194">
        <v>600</v>
      </c>
    </row>
    <row r="479" spans="1:7" ht="15">
      <c r="A479" s="188">
        <v>476</v>
      </c>
      <c r="B479" s="148" t="s">
        <v>102</v>
      </c>
      <c r="C479" s="115">
        <v>39059</v>
      </c>
      <c r="D479" s="130" t="s">
        <v>23</v>
      </c>
      <c r="E479" s="129" t="s">
        <v>103</v>
      </c>
      <c r="F479" s="248">
        <v>1068</v>
      </c>
      <c r="G479" s="194">
        <v>267</v>
      </c>
    </row>
    <row r="480" spans="1:7" ht="15">
      <c r="A480" s="191">
        <v>477</v>
      </c>
      <c r="B480" s="246" t="s">
        <v>102</v>
      </c>
      <c r="C480" s="115">
        <v>39059</v>
      </c>
      <c r="D480" s="130" t="s">
        <v>23</v>
      </c>
      <c r="E480" s="129" t="s">
        <v>103</v>
      </c>
      <c r="F480" s="248">
        <v>952</v>
      </c>
      <c r="G480" s="194">
        <v>238</v>
      </c>
    </row>
    <row r="481" spans="1:7" ht="15">
      <c r="A481" s="191">
        <v>478</v>
      </c>
      <c r="B481" s="179" t="s">
        <v>102</v>
      </c>
      <c r="C481" s="115">
        <v>39059</v>
      </c>
      <c r="D481" s="175" t="s">
        <v>23</v>
      </c>
      <c r="E481" s="175" t="s">
        <v>103</v>
      </c>
      <c r="F481" s="248">
        <v>453</v>
      </c>
      <c r="G481" s="194">
        <v>91</v>
      </c>
    </row>
    <row r="482" spans="1:7" ht="15">
      <c r="A482" s="188">
        <v>479</v>
      </c>
      <c r="B482" s="333" t="s">
        <v>102</v>
      </c>
      <c r="C482" s="115">
        <v>39059</v>
      </c>
      <c r="D482" s="175" t="s">
        <v>23</v>
      </c>
      <c r="E482" s="175" t="s">
        <v>103</v>
      </c>
      <c r="F482" s="248">
        <v>414</v>
      </c>
      <c r="G482" s="194">
        <v>71</v>
      </c>
    </row>
    <row r="483" spans="1:7" ht="15">
      <c r="A483" s="191">
        <v>480</v>
      </c>
      <c r="B483" s="246" t="s">
        <v>102</v>
      </c>
      <c r="C483" s="115">
        <v>39059</v>
      </c>
      <c r="D483" s="130" t="s">
        <v>23</v>
      </c>
      <c r="E483" s="129" t="s">
        <v>103</v>
      </c>
      <c r="F483" s="248">
        <v>340</v>
      </c>
      <c r="G483" s="194">
        <v>68</v>
      </c>
    </row>
    <row r="484" spans="1:7" ht="15">
      <c r="A484" s="191">
        <v>481</v>
      </c>
      <c r="B484" s="246" t="s">
        <v>102</v>
      </c>
      <c r="C484" s="115">
        <v>39059</v>
      </c>
      <c r="D484" s="274" t="s">
        <v>23</v>
      </c>
      <c r="E484" s="275" t="s">
        <v>103</v>
      </c>
      <c r="F484" s="252">
        <v>117</v>
      </c>
      <c r="G484" s="157">
        <v>49</v>
      </c>
    </row>
    <row r="485" spans="1:7" ht="15">
      <c r="A485" s="188">
        <v>482</v>
      </c>
      <c r="B485" s="148" t="s">
        <v>102</v>
      </c>
      <c r="C485" s="115">
        <v>39059</v>
      </c>
      <c r="D485" s="130" t="s">
        <v>23</v>
      </c>
      <c r="E485" s="129" t="s">
        <v>103</v>
      </c>
      <c r="F485" s="252">
        <v>115</v>
      </c>
      <c r="G485" s="157">
        <v>14</v>
      </c>
    </row>
    <row r="486" spans="1:7" ht="15">
      <c r="A486" s="191">
        <v>483</v>
      </c>
      <c r="B486" s="246" t="s">
        <v>102</v>
      </c>
      <c r="C486" s="115">
        <v>39059</v>
      </c>
      <c r="D486" s="130" t="s">
        <v>23</v>
      </c>
      <c r="E486" s="129" t="s">
        <v>103</v>
      </c>
      <c r="F486" s="252">
        <v>60</v>
      </c>
      <c r="G486" s="194">
        <v>24</v>
      </c>
    </row>
    <row r="487" spans="1:7" ht="15">
      <c r="A487" s="191">
        <v>484</v>
      </c>
      <c r="B487" s="148" t="s">
        <v>84</v>
      </c>
      <c r="C487" s="115">
        <v>38891</v>
      </c>
      <c r="D487" s="130" t="s">
        <v>23</v>
      </c>
      <c r="E487" s="129" t="s">
        <v>13</v>
      </c>
      <c r="F487" s="252">
        <v>2030.2</v>
      </c>
      <c r="G487" s="157">
        <v>506</v>
      </c>
    </row>
    <row r="488" spans="1:7" ht="15">
      <c r="A488" s="188">
        <v>485</v>
      </c>
      <c r="B488" s="179" t="s">
        <v>84</v>
      </c>
      <c r="C488" s="115">
        <v>38891</v>
      </c>
      <c r="D488" s="175" t="s">
        <v>23</v>
      </c>
      <c r="E488" s="175" t="s">
        <v>13</v>
      </c>
      <c r="F488" s="248">
        <v>1554.4</v>
      </c>
      <c r="G488" s="194">
        <v>456</v>
      </c>
    </row>
    <row r="489" spans="1:7" ht="15">
      <c r="A489" s="191">
        <v>486</v>
      </c>
      <c r="B489" s="148" t="s">
        <v>84</v>
      </c>
      <c r="C489" s="115">
        <v>38891</v>
      </c>
      <c r="D489" s="130" t="s">
        <v>23</v>
      </c>
      <c r="E489" s="129" t="s">
        <v>13</v>
      </c>
      <c r="F489" s="248">
        <v>699</v>
      </c>
      <c r="G489" s="194">
        <v>199</v>
      </c>
    </row>
    <row r="490" spans="1:7" ht="15">
      <c r="A490" s="191">
        <v>487</v>
      </c>
      <c r="B490" s="148" t="s">
        <v>84</v>
      </c>
      <c r="C490" s="115">
        <v>38891</v>
      </c>
      <c r="D490" s="274" t="s">
        <v>23</v>
      </c>
      <c r="E490" s="275" t="s">
        <v>13</v>
      </c>
      <c r="F490" s="248">
        <v>195</v>
      </c>
      <c r="G490" s="194">
        <v>65</v>
      </c>
    </row>
    <row r="491" spans="1:7" ht="15">
      <c r="A491" s="188">
        <v>488</v>
      </c>
      <c r="B491" s="145" t="s">
        <v>17</v>
      </c>
      <c r="C491" s="114">
        <v>39052</v>
      </c>
      <c r="D491" s="125" t="s">
        <v>56</v>
      </c>
      <c r="E491" s="124" t="s">
        <v>71</v>
      </c>
      <c r="F491" s="253">
        <v>18054</v>
      </c>
      <c r="G491" s="154">
        <v>2827</v>
      </c>
    </row>
    <row r="492" spans="1:7" ht="15">
      <c r="A492" s="191">
        <v>489</v>
      </c>
      <c r="B492" s="145" t="s">
        <v>17</v>
      </c>
      <c r="C492" s="114">
        <v>39052</v>
      </c>
      <c r="D492" s="176" t="s">
        <v>56</v>
      </c>
      <c r="E492" s="176" t="s">
        <v>71</v>
      </c>
      <c r="F492" s="249">
        <v>7487</v>
      </c>
      <c r="G492" s="193">
        <v>1405</v>
      </c>
    </row>
    <row r="493" spans="1:7" ht="15">
      <c r="A493" s="191">
        <v>490</v>
      </c>
      <c r="B493" s="145" t="s">
        <v>17</v>
      </c>
      <c r="C493" s="114">
        <v>39052</v>
      </c>
      <c r="D493" s="125" t="s">
        <v>56</v>
      </c>
      <c r="E493" s="124" t="s">
        <v>71</v>
      </c>
      <c r="F493" s="249">
        <v>5131</v>
      </c>
      <c r="G493" s="193">
        <v>1115</v>
      </c>
    </row>
    <row r="494" spans="1:7" ht="15">
      <c r="A494" s="188">
        <v>491</v>
      </c>
      <c r="B494" s="145" t="s">
        <v>17</v>
      </c>
      <c r="C494" s="114">
        <v>39052</v>
      </c>
      <c r="D494" s="270" t="s">
        <v>56</v>
      </c>
      <c r="E494" s="271" t="s">
        <v>71</v>
      </c>
      <c r="F494" s="253">
        <v>1536</v>
      </c>
      <c r="G494" s="154">
        <v>296</v>
      </c>
    </row>
    <row r="495" spans="1:7" ht="15">
      <c r="A495" s="191">
        <v>492</v>
      </c>
      <c r="B495" s="145" t="s">
        <v>17</v>
      </c>
      <c r="C495" s="114">
        <v>39052</v>
      </c>
      <c r="D495" s="316" t="s">
        <v>56</v>
      </c>
      <c r="E495" s="316" t="s">
        <v>71</v>
      </c>
      <c r="F495" s="249">
        <v>1196.5</v>
      </c>
      <c r="G495" s="193">
        <v>209</v>
      </c>
    </row>
    <row r="496" spans="1:7" ht="15">
      <c r="A496" s="191">
        <v>493</v>
      </c>
      <c r="B496" s="145" t="s">
        <v>17</v>
      </c>
      <c r="C496" s="114">
        <v>39052</v>
      </c>
      <c r="D496" s="270" t="s">
        <v>56</v>
      </c>
      <c r="E496" s="271" t="s">
        <v>71</v>
      </c>
      <c r="F496" s="249">
        <v>723</v>
      </c>
      <c r="G496" s="193">
        <v>149</v>
      </c>
    </row>
    <row r="497" spans="1:7" ht="15">
      <c r="A497" s="188">
        <v>494</v>
      </c>
      <c r="B497" s="145" t="s">
        <v>17</v>
      </c>
      <c r="C497" s="114">
        <v>39052</v>
      </c>
      <c r="D497" s="125" t="s">
        <v>56</v>
      </c>
      <c r="E497" s="124" t="s">
        <v>71</v>
      </c>
      <c r="F497" s="249">
        <v>530</v>
      </c>
      <c r="G497" s="193">
        <v>106</v>
      </c>
    </row>
    <row r="498" spans="1:7" ht="15">
      <c r="A498" s="191">
        <v>495</v>
      </c>
      <c r="B498" s="329" t="s">
        <v>17</v>
      </c>
      <c r="C498" s="322">
        <v>39052</v>
      </c>
      <c r="D498" s="321" t="s">
        <v>56</v>
      </c>
      <c r="E498" s="321" t="s">
        <v>71</v>
      </c>
      <c r="F498" s="249">
        <v>335</v>
      </c>
      <c r="G498" s="193">
        <v>65</v>
      </c>
    </row>
    <row r="499" spans="1:7" ht="15">
      <c r="A499" s="191">
        <v>496</v>
      </c>
      <c r="B499" s="147" t="s">
        <v>211</v>
      </c>
      <c r="C499" s="115">
        <v>37862</v>
      </c>
      <c r="D499" s="127" t="s">
        <v>46</v>
      </c>
      <c r="E499" s="127" t="s">
        <v>212</v>
      </c>
      <c r="F499" s="249">
        <v>354</v>
      </c>
      <c r="G499" s="193">
        <v>118</v>
      </c>
    </row>
    <row r="500" spans="1:7" ht="15">
      <c r="A500" s="188">
        <v>497</v>
      </c>
      <c r="B500" s="178" t="s">
        <v>95</v>
      </c>
      <c r="C500" s="114">
        <v>39010</v>
      </c>
      <c r="D500" s="176" t="s">
        <v>68</v>
      </c>
      <c r="E500" s="176" t="s">
        <v>40</v>
      </c>
      <c r="F500" s="258">
        <v>2615</v>
      </c>
      <c r="G500" s="197">
        <v>432</v>
      </c>
    </row>
    <row r="501" spans="1:7" ht="15">
      <c r="A501" s="191">
        <v>498</v>
      </c>
      <c r="B501" s="332" t="s">
        <v>95</v>
      </c>
      <c r="C501" s="114">
        <v>39010</v>
      </c>
      <c r="D501" s="176" t="s">
        <v>68</v>
      </c>
      <c r="E501" s="176" t="s">
        <v>364</v>
      </c>
      <c r="F501" s="258">
        <v>1841</v>
      </c>
      <c r="G501" s="197">
        <v>263</v>
      </c>
    </row>
    <row r="502" spans="1:7" ht="15">
      <c r="A502" s="191">
        <v>499</v>
      </c>
      <c r="B502" s="145" t="s">
        <v>95</v>
      </c>
      <c r="C502" s="114">
        <v>39010</v>
      </c>
      <c r="D502" s="124" t="s">
        <v>68</v>
      </c>
      <c r="E502" s="124" t="s">
        <v>40</v>
      </c>
      <c r="F502" s="259">
        <v>1100</v>
      </c>
      <c r="G502" s="159">
        <v>143</v>
      </c>
    </row>
    <row r="503" spans="1:7" ht="15">
      <c r="A503" s="188">
        <v>500</v>
      </c>
      <c r="B503" s="247" t="s">
        <v>171</v>
      </c>
      <c r="C503" s="114">
        <v>39038</v>
      </c>
      <c r="D503" s="127" t="s">
        <v>45</v>
      </c>
      <c r="E503" s="127" t="s">
        <v>172</v>
      </c>
      <c r="F503" s="253">
        <v>1188</v>
      </c>
      <c r="G503" s="193">
        <v>396</v>
      </c>
    </row>
    <row r="504" spans="1:7" ht="15">
      <c r="A504" s="191">
        <v>501</v>
      </c>
      <c r="B504" s="143" t="s">
        <v>171</v>
      </c>
      <c r="C504" s="114">
        <v>39038</v>
      </c>
      <c r="D504" s="127" t="s">
        <v>45</v>
      </c>
      <c r="E504" s="127" t="s">
        <v>172</v>
      </c>
      <c r="F504" s="249">
        <v>885</v>
      </c>
      <c r="G504" s="193">
        <v>171</v>
      </c>
    </row>
    <row r="505" spans="1:7" ht="15">
      <c r="A505" s="191">
        <v>502</v>
      </c>
      <c r="B505" s="246" t="s">
        <v>203</v>
      </c>
      <c r="C505" s="115">
        <v>38639</v>
      </c>
      <c r="D505" s="130" t="s">
        <v>23</v>
      </c>
      <c r="E505" s="129" t="s">
        <v>204</v>
      </c>
      <c r="F505" s="248">
        <v>3560</v>
      </c>
      <c r="G505" s="194">
        <v>890</v>
      </c>
    </row>
    <row r="506" spans="1:7" ht="15">
      <c r="A506" s="188">
        <v>503</v>
      </c>
      <c r="B506" s="246" t="s">
        <v>203</v>
      </c>
      <c r="C506" s="115">
        <v>38639</v>
      </c>
      <c r="D506" s="130" t="s">
        <v>23</v>
      </c>
      <c r="E506" s="129" t="s">
        <v>204</v>
      </c>
      <c r="F506" s="248">
        <v>1780</v>
      </c>
      <c r="G506" s="194">
        <v>445</v>
      </c>
    </row>
    <row r="507" spans="1:7" ht="15">
      <c r="A507" s="191">
        <v>504</v>
      </c>
      <c r="B507" s="146" t="s">
        <v>16</v>
      </c>
      <c r="C507" s="149">
        <v>39059</v>
      </c>
      <c r="D507" s="144" t="s">
        <v>58</v>
      </c>
      <c r="E507" s="144" t="s">
        <v>38</v>
      </c>
      <c r="F507" s="254">
        <v>291.5</v>
      </c>
      <c r="G507" s="155">
        <v>19</v>
      </c>
    </row>
    <row r="508" spans="1:7" ht="15">
      <c r="A508" s="191">
        <v>505</v>
      </c>
      <c r="B508" s="245" t="s">
        <v>34</v>
      </c>
      <c r="C508" s="117">
        <v>38982</v>
      </c>
      <c r="D508" s="126" t="s">
        <v>64</v>
      </c>
      <c r="E508" s="127" t="s">
        <v>279</v>
      </c>
      <c r="F508" s="256">
        <v>2355</v>
      </c>
      <c r="G508" s="196">
        <v>418</v>
      </c>
    </row>
    <row r="509" spans="1:7" ht="15">
      <c r="A509" s="188">
        <v>506</v>
      </c>
      <c r="B509" s="340" t="s">
        <v>34</v>
      </c>
      <c r="C509" s="117">
        <v>39024</v>
      </c>
      <c r="D509" s="177" t="s">
        <v>64</v>
      </c>
      <c r="E509" s="177" t="s">
        <v>62</v>
      </c>
      <c r="F509" s="256">
        <v>1921</v>
      </c>
      <c r="G509" s="196">
        <v>417</v>
      </c>
    </row>
    <row r="510" spans="1:7" ht="15">
      <c r="A510" s="191">
        <v>507</v>
      </c>
      <c r="B510" s="119" t="s">
        <v>34</v>
      </c>
      <c r="C510" s="117">
        <v>39024</v>
      </c>
      <c r="D510" s="128" t="s">
        <v>64</v>
      </c>
      <c r="E510" s="128" t="s">
        <v>62</v>
      </c>
      <c r="F510" s="257">
        <v>1186</v>
      </c>
      <c r="G510" s="158">
        <v>237</v>
      </c>
    </row>
    <row r="511" spans="1:7" ht="15">
      <c r="A511" s="191">
        <v>508</v>
      </c>
      <c r="B511" s="119" t="s">
        <v>34</v>
      </c>
      <c r="C511" s="117">
        <v>39024</v>
      </c>
      <c r="D511" s="277" t="s">
        <v>64</v>
      </c>
      <c r="E511" s="277" t="s">
        <v>62</v>
      </c>
      <c r="F511" s="257">
        <v>958</v>
      </c>
      <c r="G511" s="158">
        <v>124</v>
      </c>
    </row>
    <row r="512" spans="1:7" ht="15">
      <c r="A512" s="188">
        <v>509</v>
      </c>
      <c r="B512" s="340" t="s">
        <v>34</v>
      </c>
      <c r="C512" s="117">
        <v>39024</v>
      </c>
      <c r="D512" s="177" t="s">
        <v>64</v>
      </c>
      <c r="E512" s="177" t="s">
        <v>62</v>
      </c>
      <c r="F512" s="256">
        <v>317</v>
      </c>
      <c r="G512" s="196">
        <v>70</v>
      </c>
    </row>
    <row r="513" spans="1:7" ht="15">
      <c r="A513" s="191">
        <v>510</v>
      </c>
      <c r="B513" s="246" t="s">
        <v>94</v>
      </c>
      <c r="C513" s="115">
        <v>39010</v>
      </c>
      <c r="D513" s="130" t="s">
        <v>23</v>
      </c>
      <c r="E513" s="129" t="s">
        <v>85</v>
      </c>
      <c r="F513" s="248">
        <v>592</v>
      </c>
      <c r="G513" s="194">
        <v>148</v>
      </c>
    </row>
    <row r="514" spans="1:7" ht="15">
      <c r="A514" s="191">
        <v>511</v>
      </c>
      <c r="B514" s="333" t="s">
        <v>94</v>
      </c>
      <c r="C514" s="115">
        <v>39010</v>
      </c>
      <c r="D514" s="175" t="s">
        <v>23</v>
      </c>
      <c r="E514" s="175" t="s">
        <v>85</v>
      </c>
      <c r="F514" s="248">
        <v>4558</v>
      </c>
      <c r="G514" s="194">
        <v>1133</v>
      </c>
    </row>
    <row r="515" spans="1:7" ht="15">
      <c r="A515" s="188">
        <v>512</v>
      </c>
      <c r="B515" s="246" t="s">
        <v>94</v>
      </c>
      <c r="C515" s="115">
        <v>39010</v>
      </c>
      <c r="D515" s="130" t="s">
        <v>23</v>
      </c>
      <c r="E515" s="129" t="s">
        <v>85</v>
      </c>
      <c r="F515" s="248">
        <v>2852</v>
      </c>
      <c r="G515" s="194">
        <v>713</v>
      </c>
    </row>
    <row r="516" spans="1:7" ht="15">
      <c r="A516" s="191">
        <v>513</v>
      </c>
      <c r="B516" s="148" t="s">
        <v>94</v>
      </c>
      <c r="C516" s="115">
        <v>39010</v>
      </c>
      <c r="D516" s="130" t="s">
        <v>23</v>
      </c>
      <c r="E516" s="129" t="s">
        <v>85</v>
      </c>
      <c r="F516" s="248">
        <v>2339</v>
      </c>
      <c r="G516" s="194">
        <v>447</v>
      </c>
    </row>
    <row r="517" spans="1:7" ht="15">
      <c r="A517" s="191">
        <v>514</v>
      </c>
      <c r="B517" s="148" t="s">
        <v>94</v>
      </c>
      <c r="C517" s="115">
        <v>39010</v>
      </c>
      <c r="D517" s="274" t="s">
        <v>23</v>
      </c>
      <c r="E517" s="275" t="s">
        <v>85</v>
      </c>
      <c r="F517" s="252">
        <v>2083</v>
      </c>
      <c r="G517" s="157">
        <v>384</v>
      </c>
    </row>
    <row r="518" spans="1:7" ht="15">
      <c r="A518" s="188">
        <v>515</v>
      </c>
      <c r="B518" s="148" t="s">
        <v>94</v>
      </c>
      <c r="C518" s="115">
        <v>39010</v>
      </c>
      <c r="D518" s="130" t="s">
        <v>23</v>
      </c>
      <c r="E518" s="129" t="s">
        <v>85</v>
      </c>
      <c r="F518" s="252">
        <v>1894</v>
      </c>
      <c r="G518" s="157">
        <v>394</v>
      </c>
    </row>
    <row r="519" spans="1:7" ht="15">
      <c r="A519" s="191">
        <v>516</v>
      </c>
      <c r="B519" s="246" t="s">
        <v>94</v>
      </c>
      <c r="C519" s="115">
        <v>39010</v>
      </c>
      <c r="D519" s="130" t="s">
        <v>23</v>
      </c>
      <c r="E519" s="129" t="s">
        <v>85</v>
      </c>
      <c r="F519" s="252">
        <v>1780</v>
      </c>
      <c r="G519" s="194">
        <v>445</v>
      </c>
    </row>
    <row r="520" spans="1:7" ht="15">
      <c r="A520" s="191">
        <v>517</v>
      </c>
      <c r="B520" s="179" t="s">
        <v>94</v>
      </c>
      <c r="C520" s="115">
        <v>39010</v>
      </c>
      <c r="D520" s="175" t="s">
        <v>23</v>
      </c>
      <c r="E520" s="175" t="s">
        <v>85</v>
      </c>
      <c r="F520" s="248">
        <v>1723</v>
      </c>
      <c r="G520" s="194">
        <v>386</v>
      </c>
    </row>
    <row r="521" spans="1:7" ht="15">
      <c r="A521" s="188">
        <v>518</v>
      </c>
      <c r="B521" s="148" t="s">
        <v>94</v>
      </c>
      <c r="C521" s="115">
        <v>39010</v>
      </c>
      <c r="D521" s="130" t="s">
        <v>23</v>
      </c>
      <c r="E521" s="129" t="s">
        <v>85</v>
      </c>
      <c r="F521" s="248">
        <v>1526</v>
      </c>
      <c r="G521" s="194">
        <v>373</v>
      </c>
    </row>
    <row r="522" spans="1:7" ht="15">
      <c r="A522" s="191">
        <v>519</v>
      </c>
      <c r="B522" s="246" t="s">
        <v>94</v>
      </c>
      <c r="C522" s="115">
        <v>39010</v>
      </c>
      <c r="D522" s="130" t="s">
        <v>23</v>
      </c>
      <c r="E522" s="129" t="s">
        <v>85</v>
      </c>
      <c r="F522" s="252">
        <v>1188</v>
      </c>
      <c r="G522" s="157">
        <v>297</v>
      </c>
    </row>
    <row r="523" spans="1:7" ht="15">
      <c r="A523" s="191">
        <v>520</v>
      </c>
      <c r="B523" s="246" t="s">
        <v>94</v>
      </c>
      <c r="C523" s="115">
        <v>39010</v>
      </c>
      <c r="D523" s="130" t="s">
        <v>23</v>
      </c>
      <c r="E523" s="129" t="s">
        <v>85</v>
      </c>
      <c r="F523" s="252">
        <v>832</v>
      </c>
      <c r="G523" s="157">
        <v>208</v>
      </c>
    </row>
    <row r="524" spans="1:7" ht="15">
      <c r="A524" s="188">
        <v>521</v>
      </c>
      <c r="B524" s="246" t="s">
        <v>94</v>
      </c>
      <c r="C524" s="115">
        <v>39010</v>
      </c>
      <c r="D524" s="274" t="s">
        <v>23</v>
      </c>
      <c r="E524" s="275" t="s">
        <v>85</v>
      </c>
      <c r="F524" s="252">
        <v>357.5</v>
      </c>
      <c r="G524" s="157">
        <v>84</v>
      </c>
    </row>
    <row r="525" spans="1:7" ht="15">
      <c r="A525" s="191">
        <v>522</v>
      </c>
      <c r="B525" s="246" t="s">
        <v>94</v>
      </c>
      <c r="C525" s="115">
        <v>39010</v>
      </c>
      <c r="D525" s="130" t="s">
        <v>23</v>
      </c>
      <c r="E525" s="129" t="s">
        <v>85</v>
      </c>
      <c r="F525" s="248">
        <v>351</v>
      </c>
      <c r="G525" s="194">
        <v>51</v>
      </c>
    </row>
    <row r="526" spans="1:7" ht="15">
      <c r="A526" s="191">
        <v>523</v>
      </c>
      <c r="B526" s="246" t="s">
        <v>94</v>
      </c>
      <c r="C526" s="115">
        <v>39010</v>
      </c>
      <c r="D526" s="318" t="s">
        <v>23</v>
      </c>
      <c r="E526" s="318" t="s">
        <v>85</v>
      </c>
      <c r="F526" s="248">
        <v>254</v>
      </c>
      <c r="G526" s="194">
        <v>37</v>
      </c>
    </row>
    <row r="527" spans="1:7" ht="15">
      <c r="A527" s="188">
        <v>524</v>
      </c>
      <c r="B527" s="246" t="s">
        <v>94</v>
      </c>
      <c r="C527" s="115">
        <v>39010</v>
      </c>
      <c r="D527" s="130" t="s">
        <v>23</v>
      </c>
      <c r="E527" s="129" t="s">
        <v>85</v>
      </c>
      <c r="F527" s="248">
        <v>175</v>
      </c>
      <c r="G527" s="194">
        <v>27</v>
      </c>
    </row>
    <row r="528" spans="1:7" ht="15">
      <c r="A528" s="191">
        <v>525</v>
      </c>
      <c r="B528" s="148" t="s">
        <v>94</v>
      </c>
      <c r="C528" s="115">
        <v>39010</v>
      </c>
      <c r="D528" s="274" t="s">
        <v>23</v>
      </c>
      <c r="E528" s="275" t="s">
        <v>85</v>
      </c>
      <c r="F528" s="248">
        <v>159</v>
      </c>
      <c r="G528" s="194">
        <v>37</v>
      </c>
    </row>
    <row r="529" spans="1:7" ht="15">
      <c r="A529" s="191">
        <v>526</v>
      </c>
      <c r="B529" s="145" t="s">
        <v>170</v>
      </c>
      <c r="C529" s="114">
        <v>38814</v>
      </c>
      <c r="D529" s="124" t="s">
        <v>48</v>
      </c>
      <c r="E529" s="124" t="s">
        <v>70</v>
      </c>
      <c r="F529" s="250">
        <v>960</v>
      </c>
      <c r="G529" s="195">
        <v>192</v>
      </c>
    </row>
    <row r="530" spans="1:7" ht="15.75" thickBot="1">
      <c r="A530" s="188">
        <v>527</v>
      </c>
      <c r="B530" s="198" t="s">
        <v>132</v>
      </c>
      <c r="C530" s="199">
        <v>38996</v>
      </c>
      <c r="D530" s="200" t="s">
        <v>57</v>
      </c>
      <c r="E530" s="201" t="s">
        <v>63</v>
      </c>
      <c r="F530" s="260">
        <v>795</v>
      </c>
      <c r="G530" s="202">
        <v>159</v>
      </c>
    </row>
    <row r="531" spans="1:7" ht="15">
      <c r="A531" s="472" t="s">
        <v>50</v>
      </c>
      <c r="B531" s="473"/>
      <c r="C531" s="183"/>
      <c r="D531" s="183"/>
      <c r="E531" s="183"/>
      <c r="F531" s="261">
        <f>SUM(F4:F530)</f>
        <v>10345280.399999997</v>
      </c>
      <c r="G531" s="186">
        <f>SUM(G4:G530)</f>
        <v>1529466</v>
      </c>
    </row>
    <row r="532" spans="1:7" ht="12.75">
      <c r="A532" s="89"/>
      <c r="B532" s="81"/>
      <c r="C532" s="82"/>
      <c r="D532" s="82"/>
      <c r="E532" s="82"/>
      <c r="F532" s="262"/>
      <c r="G532" s="169"/>
    </row>
    <row r="533" spans="1:7" ht="12.75">
      <c r="A533" s="90"/>
      <c r="B533" s="85"/>
      <c r="C533" s="49"/>
      <c r="D533" s="49"/>
      <c r="E533" s="49"/>
      <c r="F533" s="263"/>
      <c r="G533" s="170"/>
    </row>
    <row r="534" spans="1:7" ht="12.75">
      <c r="A534" s="90"/>
      <c r="B534" s="85"/>
      <c r="C534" s="426" t="s">
        <v>31</v>
      </c>
      <c r="D534" s="464"/>
      <c r="E534" s="464"/>
      <c r="F534" s="464"/>
      <c r="G534" s="464"/>
    </row>
    <row r="535" spans="1:7" ht="12.75">
      <c r="A535" s="90"/>
      <c r="B535" s="85"/>
      <c r="C535" s="464"/>
      <c r="D535" s="464"/>
      <c r="E535" s="464"/>
      <c r="F535" s="464"/>
      <c r="G535" s="464"/>
    </row>
    <row r="536" spans="1:7" ht="12.75">
      <c r="A536" s="90"/>
      <c r="B536" s="85"/>
      <c r="C536" s="464"/>
      <c r="D536" s="464"/>
      <c r="E536" s="464"/>
      <c r="F536" s="464"/>
      <c r="G536" s="464"/>
    </row>
    <row r="537" spans="1:7" ht="12.75">
      <c r="A537" s="90"/>
      <c r="B537" s="85"/>
      <c r="C537" s="464"/>
      <c r="D537" s="464"/>
      <c r="E537" s="464"/>
      <c r="F537" s="464"/>
      <c r="G537" s="464"/>
    </row>
    <row r="538" spans="1:7" ht="12.75">
      <c r="A538" s="90"/>
      <c r="B538" s="85"/>
      <c r="C538" s="464"/>
      <c r="D538" s="464"/>
      <c r="E538" s="464"/>
      <c r="F538" s="464"/>
      <c r="G538" s="464"/>
    </row>
    <row r="539" spans="1:7" ht="12.75">
      <c r="A539" s="90"/>
      <c r="B539" s="85"/>
      <c r="C539" s="464"/>
      <c r="D539" s="464"/>
      <c r="E539" s="464"/>
      <c r="F539" s="464"/>
      <c r="G539" s="464"/>
    </row>
    <row r="540" spans="1:7" ht="12.75">
      <c r="A540" s="90"/>
      <c r="B540" s="85"/>
      <c r="C540" s="102"/>
      <c r="D540" s="88"/>
      <c r="E540" s="88"/>
      <c r="F540" s="264"/>
      <c r="G540" s="171"/>
    </row>
    <row r="541" spans="1:7" ht="12.75">
      <c r="A541" s="90"/>
      <c r="B541" s="85"/>
      <c r="C541" s="465" t="s">
        <v>19</v>
      </c>
      <c r="D541" s="464"/>
      <c r="E541" s="464"/>
      <c r="F541" s="464"/>
      <c r="G541" s="464"/>
    </row>
    <row r="542" spans="1:7" ht="12.75">
      <c r="A542" s="90"/>
      <c r="B542" s="85"/>
      <c r="C542" s="464"/>
      <c r="D542" s="464"/>
      <c r="E542" s="464"/>
      <c r="F542" s="464"/>
      <c r="G542" s="464"/>
    </row>
    <row r="543" spans="1:7" ht="12.75">
      <c r="A543" s="90"/>
      <c r="B543" s="85"/>
      <c r="C543" s="464"/>
      <c r="D543" s="464"/>
      <c r="E543" s="464"/>
      <c r="F543" s="464"/>
      <c r="G543" s="464"/>
    </row>
    <row r="544" spans="1:7" ht="12.75">
      <c r="A544" s="90"/>
      <c r="B544" s="85"/>
      <c r="C544" s="464"/>
      <c r="D544" s="464"/>
      <c r="E544" s="464"/>
      <c r="F544" s="464"/>
      <c r="G544" s="464"/>
    </row>
    <row r="545" spans="1:7" ht="12.75">
      <c r="A545" s="90"/>
      <c r="B545" s="85"/>
      <c r="C545" s="464"/>
      <c r="D545" s="464"/>
      <c r="E545" s="464"/>
      <c r="F545" s="464"/>
      <c r="G545" s="464"/>
    </row>
    <row r="546" spans="1:7" ht="12.75">
      <c r="A546" s="90"/>
      <c r="B546" s="85"/>
      <c r="C546" s="464"/>
      <c r="D546" s="464"/>
      <c r="E546" s="464"/>
      <c r="F546" s="464"/>
      <c r="G546" s="464"/>
    </row>
    <row r="547" spans="1:7" ht="12.75">
      <c r="A547" s="90"/>
      <c r="B547" s="85"/>
      <c r="C547" s="466"/>
      <c r="D547" s="466"/>
      <c r="E547" s="466"/>
      <c r="F547" s="466"/>
      <c r="G547" s="466"/>
    </row>
    <row r="548" spans="1:7" ht="12.75">
      <c r="A548" s="90"/>
      <c r="B548" s="85"/>
      <c r="C548" s="49"/>
      <c r="D548" s="49"/>
      <c r="E548" s="49"/>
      <c r="F548" s="263"/>
      <c r="G548" s="170"/>
    </row>
    <row r="549" spans="1:7" ht="12.75">
      <c r="A549" s="90"/>
      <c r="B549" s="85"/>
      <c r="C549" s="49"/>
      <c r="D549" s="49"/>
      <c r="E549" s="49"/>
      <c r="F549" s="263"/>
      <c r="G549" s="170"/>
    </row>
  </sheetData>
  <mergeCells count="9">
    <mergeCell ref="C534:G539"/>
    <mergeCell ref="C541:G547"/>
    <mergeCell ref="A1:G1"/>
    <mergeCell ref="B2:B3"/>
    <mergeCell ref="C2:C3"/>
    <mergeCell ref="D2:D3"/>
    <mergeCell ref="E2:E3"/>
    <mergeCell ref="F2:G2"/>
    <mergeCell ref="A531:B531"/>
  </mergeCells>
  <printOptions/>
  <pageMargins left="0.46" right="0.3" top="0.61" bottom="0.52" header="0.5" footer="0.5"/>
  <pageSetup horizontalDpi="300" verticalDpi="300" orientation="portrait" paperSize="9" scale="75" r:id="rId1"/>
</worksheet>
</file>

<file path=xl/worksheets/sheet4.xml><?xml version="1.0" encoding="utf-8"?>
<worksheet xmlns="http://schemas.openxmlformats.org/spreadsheetml/2006/main" xmlns:r="http://schemas.openxmlformats.org/officeDocument/2006/relationships">
  <dimension ref="A1:W67"/>
  <sheetViews>
    <sheetView zoomScale="90" zoomScaleNormal="90" workbookViewId="0" topLeftCell="A10">
      <selection activeCell="A67" sqref="A67:E67"/>
    </sheetView>
  </sheetViews>
  <sheetFormatPr defaultColWidth="9.140625" defaultRowHeight="12.75"/>
  <cols>
    <col min="1" max="1" width="2.7109375" style="228" bestFit="1" customWidth="1"/>
    <col min="2" max="2" width="4.7109375" style="229" bestFit="1" customWidth="1"/>
    <col min="3" max="3" width="7.57421875" style="230" bestFit="1" customWidth="1"/>
    <col min="4" max="4" width="2.7109375" style="228" bestFit="1" customWidth="1"/>
    <col min="5" max="5" width="1.8515625" style="228" bestFit="1" customWidth="1"/>
    <col min="6" max="6" width="4.28125" style="231" bestFit="1" customWidth="1"/>
    <col min="7" max="7" width="11.28125" style="232" bestFit="1" customWidth="1"/>
    <col min="8" max="8" width="8.421875" style="233" bestFit="1" customWidth="1"/>
    <col min="9" max="9" width="6.421875" style="230" bestFit="1" customWidth="1"/>
    <col min="10" max="10" width="9.7109375" style="234" bestFit="1" customWidth="1"/>
    <col min="11" max="11" width="6.28125" style="235" bestFit="1" customWidth="1"/>
    <col min="12" max="12" width="6.00390625" style="236" bestFit="1" customWidth="1"/>
    <col min="13" max="13" width="1.8515625" style="231" bestFit="1" customWidth="1"/>
    <col min="14" max="14" width="9.7109375" style="232" bestFit="1" customWidth="1"/>
    <col min="15" max="15" width="6.28125" style="233" bestFit="1" customWidth="1"/>
    <col min="16" max="16" width="6.00390625" style="237" bestFit="1" customWidth="1"/>
    <col min="17" max="17" width="2.7109375" style="228" bestFit="1" customWidth="1"/>
    <col min="18" max="18" width="10.421875" style="234" bestFit="1" customWidth="1"/>
    <col min="19" max="19" width="8.421875" style="235" bestFit="1" customWidth="1"/>
    <col min="20" max="20" width="6.00390625" style="236" bestFit="1" customWidth="1"/>
    <col min="21" max="21" width="27.421875" style="238" bestFit="1" customWidth="1"/>
    <col min="22" max="22" width="6.28125" style="233" bestFit="1" customWidth="1"/>
    <col min="23" max="23" width="6.00390625" style="237" bestFit="1" customWidth="1"/>
    <col min="24" max="16384" width="9.140625" style="218" customWidth="1"/>
  </cols>
  <sheetData>
    <row r="1" spans="1:23" ht="14.25" thickBot="1">
      <c r="A1" s="203">
        <v>1</v>
      </c>
      <c r="B1" s="204" t="s">
        <v>139</v>
      </c>
      <c r="C1" s="205" t="s">
        <v>138</v>
      </c>
      <c r="D1" s="206">
        <v>10</v>
      </c>
      <c r="E1" s="207">
        <v>2</v>
      </c>
      <c r="F1" s="208">
        <v>56</v>
      </c>
      <c r="G1" s="209">
        <v>8691537.8</v>
      </c>
      <c r="H1" s="210">
        <v>1116749</v>
      </c>
      <c r="I1" s="211" t="s">
        <v>56</v>
      </c>
      <c r="J1" s="212">
        <v>2578324</v>
      </c>
      <c r="K1" s="213">
        <v>326212</v>
      </c>
      <c r="L1" s="214">
        <f aca="true" t="shared" si="0" ref="L1:L22">SUM(K1/H1)</f>
        <v>0.29210861169340646</v>
      </c>
      <c r="M1" s="208">
        <v>4</v>
      </c>
      <c r="N1" s="209">
        <v>3067842</v>
      </c>
      <c r="O1" s="215">
        <v>355957</v>
      </c>
      <c r="P1" s="216">
        <f aca="true" t="shared" si="1" ref="P1:P22">SUM(O1/H1)</f>
        <v>0.31874396126613946</v>
      </c>
      <c r="Q1" s="203">
        <v>15</v>
      </c>
      <c r="R1" s="212">
        <v>4982432.6</v>
      </c>
      <c r="S1" s="213">
        <v>687078</v>
      </c>
      <c r="T1" s="214">
        <f aca="true" t="shared" si="2" ref="T1:T22">SUM(S1/H1)</f>
        <v>0.6152483682546391</v>
      </c>
      <c r="U1" s="217" t="s">
        <v>140</v>
      </c>
      <c r="V1" s="215">
        <v>169709</v>
      </c>
      <c r="W1" s="216">
        <f aca="true" t="shared" si="3" ref="W1:W22">SUM(V1/H1)</f>
        <v>0.15196700422386766</v>
      </c>
    </row>
    <row r="2" spans="1:23" ht="14.25" thickBot="1">
      <c r="A2" s="203">
        <v>2</v>
      </c>
      <c r="B2" s="204" t="s">
        <v>141</v>
      </c>
      <c r="C2" s="205" t="s">
        <v>138</v>
      </c>
      <c r="D2" s="206">
        <v>11</v>
      </c>
      <c r="E2" s="207">
        <v>1</v>
      </c>
      <c r="F2" s="208">
        <v>60</v>
      </c>
      <c r="G2" s="209">
        <v>5118756.19</v>
      </c>
      <c r="H2" s="210">
        <v>659053</v>
      </c>
      <c r="I2" s="211" t="s">
        <v>57</v>
      </c>
      <c r="J2" s="212">
        <v>1728906</v>
      </c>
      <c r="K2" s="213">
        <v>201031</v>
      </c>
      <c r="L2" s="214">
        <f t="shared" si="0"/>
        <v>0.30503009621380983</v>
      </c>
      <c r="M2" s="208">
        <v>4</v>
      </c>
      <c r="N2" s="209">
        <v>1283953.79</v>
      </c>
      <c r="O2" s="215">
        <v>146284</v>
      </c>
      <c r="P2" s="216">
        <f t="shared" si="1"/>
        <v>0.22196090450995595</v>
      </c>
      <c r="Q2" s="203">
        <v>15</v>
      </c>
      <c r="R2" s="212">
        <v>2107779</v>
      </c>
      <c r="S2" s="213">
        <v>296899</v>
      </c>
      <c r="T2" s="214">
        <f t="shared" si="2"/>
        <v>0.4504933594111551</v>
      </c>
      <c r="U2" s="319" t="s">
        <v>161</v>
      </c>
      <c r="V2" s="215">
        <v>124215</v>
      </c>
      <c r="W2" s="216">
        <f t="shared" si="3"/>
        <v>0.18847497849186637</v>
      </c>
    </row>
    <row r="3" spans="1:23" ht="14.25" thickBot="1">
      <c r="A3" s="203">
        <v>3</v>
      </c>
      <c r="B3" s="204" t="s">
        <v>176</v>
      </c>
      <c r="C3" s="205" t="s">
        <v>138</v>
      </c>
      <c r="D3" s="206">
        <v>10</v>
      </c>
      <c r="E3" s="207">
        <v>2</v>
      </c>
      <c r="F3" s="208">
        <v>62</v>
      </c>
      <c r="G3" s="209">
        <v>6529602.8</v>
      </c>
      <c r="H3" s="210">
        <v>890256</v>
      </c>
      <c r="I3" s="211" t="s">
        <v>175</v>
      </c>
      <c r="J3" s="212">
        <v>3607269.5</v>
      </c>
      <c r="K3" s="213">
        <v>527388</v>
      </c>
      <c r="L3" s="214">
        <f t="shared" si="0"/>
        <v>0.5924003882029438</v>
      </c>
      <c r="M3" s="208">
        <v>5</v>
      </c>
      <c r="N3" s="209">
        <v>3682940.5</v>
      </c>
      <c r="O3" s="215">
        <v>511626</v>
      </c>
      <c r="P3" s="216">
        <f t="shared" si="1"/>
        <v>0.5746953685232113</v>
      </c>
      <c r="Q3" s="203">
        <v>16</v>
      </c>
      <c r="R3" s="212">
        <v>4246940.5</v>
      </c>
      <c r="S3" s="213">
        <v>616838</v>
      </c>
      <c r="T3" s="214">
        <f t="shared" si="2"/>
        <v>0.6928771050124908</v>
      </c>
      <c r="U3" s="217" t="s">
        <v>177</v>
      </c>
      <c r="V3" s="215">
        <v>453903</v>
      </c>
      <c r="W3" s="216">
        <f t="shared" si="3"/>
        <v>0.5098567153717583</v>
      </c>
    </row>
    <row r="4" spans="1:23" ht="14.25" thickBot="1">
      <c r="A4" s="203">
        <v>4</v>
      </c>
      <c r="B4" s="204" t="s">
        <v>179</v>
      </c>
      <c r="C4" s="205" t="s">
        <v>138</v>
      </c>
      <c r="D4" s="206">
        <v>10</v>
      </c>
      <c r="E4" s="207">
        <v>2</v>
      </c>
      <c r="F4" s="208">
        <v>61</v>
      </c>
      <c r="G4" s="209">
        <v>7092188.4</v>
      </c>
      <c r="H4" s="210">
        <v>992303</v>
      </c>
      <c r="I4" s="211" t="s">
        <v>175</v>
      </c>
      <c r="J4" s="212">
        <v>4481033</v>
      </c>
      <c r="K4" s="213">
        <v>657202</v>
      </c>
      <c r="L4" s="214">
        <f t="shared" si="0"/>
        <v>0.6622997209521688</v>
      </c>
      <c r="M4" s="208">
        <v>3</v>
      </c>
      <c r="N4" s="209">
        <v>2723182.5</v>
      </c>
      <c r="O4" s="215">
        <v>383964</v>
      </c>
      <c r="P4" s="216">
        <f t="shared" si="1"/>
        <v>0.38694229484340975</v>
      </c>
      <c r="Q4" s="203">
        <v>17</v>
      </c>
      <c r="R4" s="212">
        <v>5464750.5</v>
      </c>
      <c r="S4" s="213">
        <v>798920</v>
      </c>
      <c r="T4" s="214">
        <f t="shared" si="2"/>
        <v>0.8051169854369079</v>
      </c>
      <c r="U4" s="217" t="s">
        <v>180</v>
      </c>
      <c r="V4" s="215">
        <v>302980</v>
      </c>
      <c r="W4" s="216">
        <f t="shared" si="3"/>
        <v>0.30533012597966547</v>
      </c>
    </row>
    <row r="5" spans="1:23" ht="14.25" thickBot="1">
      <c r="A5" s="203">
        <v>5</v>
      </c>
      <c r="B5" s="204" t="s">
        <v>205</v>
      </c>
      <c r="C5" s="205" t="s">
        <v>206</v>
      </c>
      <c r="D5" s="206">
        <v>10</v>
      </c>
      <c r="E5" s="207">
        <v>2</v>
      </c>
      <c r="F5" s="208">
        <v>59</v>
      </c>
      <c r="G5" s="209">
        <v>9179330.2</v>
      </c>
      <c r="H5" s="210">
        <v>1224917</v>
      </c>
      <c r="I5" s="211" t="s">
        <v>56</v>
      </c>
      <c r="J5" s="212">
        <v>3493499</v>
      </c>
      <c r="K5" s="213">
        <v>456605</v>
      </c>
      <c r="L5" s="214">
        <f t="shared" si="0"/>
        <v>0.3727640321752413</v>
      </c>
      <c r="M5" s="208">
        <v>3</v>
      </c>
      <c r="N5" s="209">
        <v>4795747.5</v>
      </c>
      <c r="O5" s="215">
        <v>625765</v>
      </c>
      <c r="P5" s="216">
        <f t="shared" si="1"/>
        <v>0.5108631850158011</v>
      </c>
      <c r="Q5" s="203">
        <v>19</v>
      </c>
      <c r="R5" s="212">
        <v>7049057.5</v>
      </c>
      <c r="S5" s="213">
        <v>968934</v>
      </c>
      <c r="T5" s="214">
        <f t="shared" si="2"/>
        <v>0.7910201262616161</v>
      </c>
      <c r="U5" s="217" t="s">
        <v>207</v>
      </c>
      <c r="V5" s="215">
        <v>274655</v>
      </c>
      <c r="W5" s="216">
        <f t="shared" si="3"/>
        <v>0.22422335554164077</v>
      </c>
    </row>
    <row r="6" spans="1:23" ht="14.25" thickBot="1">
      <c r="A6" s="203">
        <v>6</v>
      </c>
      <c r="B6" s="204" t="s">
        <v>227</v>
      </c>
      <c r="C6" s="205" t="s">
        <v>206</v>
      </c>
      <c r="D6" s="206">
        <v>10</v>
      </c>
      <c r="E6" s="207">
        <v>2</v>
      </c>
      <c r="F6" s="208">
        <v>51</v>
      </c>
      <c r="G6" s="209">
        <v>8785416.1</v>
      </c>
      <c r="H6" s="210">
        <v>1151292</v>
      </c>
      <c r="I6" s="211" t="s">
        <v>56</v>
      </c>
      <c r="J6" s="212">
        <v>4155506</v>
      </c>
      <c r="K6" s="213">
        <v>521201</v>
      </c>
      <c r="L6" s="214">
        <f t="shared" si="0"/>
        <v>0.4527096514177116</v>
      </c>
      <c r="M6" s="208">
        <v>5</v>
      </c>
      <c r="N6" s="209">
        <v>1872291.5</v>
      </c>
      <c r="O6" s="215">
        <v>216438</v>
      </c>
      <c r="P6" s="216">
        <f t="shared" si="1"/>
        <v>0.18799574738641456</v>
      </c>
      <c r="Q6" s="203">
        <v>17</v>
      </c>
      <c r="R6" s="212">
        <v>5912605</v>
      </c>
      <c r="S6" s="213">
        <v>810354</v>
      </c>
      <c r="T6" s="214">
        <f t="shared" si="2"/>
        <v>0.7038648752879374</v>
      </c>
      <c r="U6" s="217" t="s">
        <v>207</v>
      </c>
      <c r="V6" s="215">
        <v>238848</v>
      </c>
      <c r="W6" s="216">
        <f t="shared" si="3"/>
        <v>0.2074608353050312</v>
      </c>
    </row>
    <row r="7" spans="1:23" ht="14.25" thickBot="1">
      <c r="A7" s="203">
        <v>7</v>
      </c>
      <c r="B7" s="204" t="s">
        <v>239</v>
      </c>
      <c r="C7" s="205" t="s">
        <v>206</v>
      </c>
      <c r="D7" s="206">
        <v>9</v>
      </c>
      <c r="E7" s="207">
        <v>3</v>
      </c>
      <c r="F7" s="208">
        <v>52</v>
      </c>
      <c r="G7" s="209">
        <v>6302662.94</v>
      </c>
      <c r="H7" s="210">
        <v>828699</v>
      </c>
      <c r="I7" s="211" t="s">
        <v>56</v>
      </c>
      <c r="J7" s="212">
        <v>2914628</v>
      </c>
      <c r="K7" s="213">
        <v>366924</v>
      </c>
      <c r="L7" s="214">
        <f t="shared" si="0"/>
        <v>0.44277113885741387</v>
      </c>
      <c r="M7" s="208">
        <v>4</v>
      </c>
      <c r="N7" s="209">
        <v>1331644</v>
      </c>
      <c r="O7" s="215">
        <v>154379</v>
      </c>
      <c r="P7" s="216">
        <f t="shared" si="1"/>
        <v>0.18629080039917992</v>
      </c>
      <c r="Q7" s="203">
        <v>18</v>
      </c>
      <c r="R7" s="212">
        <v>3602022.94</v>
      </c>
      <c r="S7" s="213">
        <v>511804</v>
      </c>
      <c r="T7" s="214">
        <f t="shared" si="2"/>
        <v>0.6175993937485142</v>
      </c>
      <c r="U7" s="217" t="s">
        <v>207</v>
      </c>
      <c r="V7" s="215">
        <v>139396</v>
      </c>
      <c r="W7" s="216">
        <f t="shared" si="3"/>
        <v>0.16821065308393035</v>
      </c>
    </row>
    <row r="8" spans="1:23" ht="14.25" thickBot="1">
      <c r="A8" s="203">
        <v>8</v>
      </c>
      <c r="B8" s="204" t="s">
        <v>247</v>
      </c>
      <c r="C8" s="205" t="s">
        <v>206</v>
      </c>
      <c r="D8" s="206">
        <v>9</v>
      </c>
      <c r="E8" s="207">
        <v>3</v>
      </c>
      <c r="F8" s="208">
        <v>63</v>
      </c>
      <c r="G8" s="209">
        <v>6053217.5</v>
      </c>
      <c r="H8" s="210">
        <v>775939</v>
      </c>
      <c r="I8" s="211" t="s">
        <v>56</v>
      </c>
      <c r="J8" s="212">
        <v>2583853</v>
      </c>
      <c r="K8" s="213">
        <v>311964</v>
      </c>
      <c r="L8" s="214">
        <f t="shared" si="0"/>
        <v>0.4020470681329331</v>
      </c>
      <c r="M8" s="208">
        <v>5</v>
      </c>
      <c r="N8" s="209">
        <v>2873712.5</v>
      </c>
      <c r="O8" s="215">
        <v>340864</v>
      </c>
      <c r="P8" s="216">
        <f t="shared" si="1"/>
        <v>0.4392922639537386</v>
      </c>
      <c r="Q8" s="203">
        <v>19</v>
      </c>
      <c r="R8" s="212">
        <v>2339416.5</v>
      </c>
      <c r="S8" s="213">
        <v>340194</v>
      </c>
      <c r="T8" s="214">
        <f t="shared" si="2"/>
        <v>0.43842879401602447</v>
      </c>
      <c r="U8" s="319" t="s">
        <v>262</v>
      </c>
      <c r="V8" s="215">
        <v>121457</v>
      </c>
      <c r="W8" s="216">
        <f t="shared" si="3"/>
        <v>0.1565290570521652</v>
      </c>
    </row>
    <row r="9" spans="1:23" ht="14.25" thickBot="1">
      <c r="A9" s="203">
        <v>9</v>
      </c>
      <c r="B9" s="204" t="s">
        <v>263</v>
      </c>
      <c r="C9" s="205" t="s">
        <v>273</v>
      </c>
      <c r="D9" s="206">
        <v>9</v>
      </c>
      <c r="E9" s="207">
        <v>3</v>
      </c>
      <c r="F9" s="208">
        <v>61</v>
      </c>
      <c r="G9" s="209">
        <v>5270968</v>
      </c>
      <c r="H9" s="210">
        <v>674938</v>
      </c>
      <c r="I9" s="211" t="s">
        <v>56</v>
      </c>
      <c r="J9" s="212">
        <v>1779119</v>
      </c>
      <c r="K9" s="213">
        <v>220698</v>
      </c>
      <c r="L9" s="214">
        <f t="shared" si="0"/>
        <v>0.3269900346402188</v>
      </c>
      <c r="M9" s="208">
        <v>6</v>
      </c>
      <c r="N9" s="209">
        <v>1015200</v>
      </c>
      <c r="O9" s="215">
        <v>116014</v>
      </c>
      <c r="P9" s="216">
        <f t="shared" si="1"/>
        <v>0.17188838085868627</v>
      </c>
      <c r="Q9" s="203">
        <v>17</v>
      </c>
      <c r="R9" s="212">
        <v>1651440</v>
      </c>
      <c r="S9" s="213">
        <v>243524</v>
      </c>
      <c r="T9" s="214">
        <f t="shared" si="2"/>
        <v>0.36080943731127896</v>
      </c>
      <c r="U9" s="319" t="s">
        <v>262</v>
      </c>
      <c r="V9" s="215">
        <v>81309</v>
      </c>
      <c r="W9" s="216">
        <f t="shared" si="3"/>
        <v>0.12046884306410366</v>
      </c>
    </row>
    <row r="10" spans="1:23" ht="14.25" thickBot="1">
      <c r="A10" s="203">
        <v>10</v>
      </c>
      <c r="B10" s="204" t="s">
        <v>227</v>
      </c>
      <c r="C10" s="205" t="s">
        <v>273</v>
      </c>
      <c r="D10" s="206">
        <v>9</v>
      </c>
      <c r="E10" s="207">
        <v>3</v>
      </c>
      <c r="F10" s="208">
        <v>65</v>
      </c>
      <c r="G10" s="209">
        <v>5088138.05</v>
      </c>
      <c r="H10" s="210">
        <v>653287</v>
      </c>
      <c r="I10" s="211" t="s">
        <v>56</v>
      </c>
      <c r="J10" s="212">
        <v>2301130</v>
      </c>
      <c r="K10" s="213">
        <v>286844</v>
      </c>
      <c r="L10" s="214">
        <f t="shared" si="0"/>
        <v>0.4390780774759026</v>
      </c>
      <c r="M10" s="208">
        <v>5</v>
      </c>
      <c r="N10" s="209">
        <v>2343737.5</v>
      </c>
      <c r="O10" s="215">
        <v>283835</v>
      </c>
      <c r="P10" s="216">
        <f t="shared" si="1"/>
        <v>0.43447213858533845</v>
      </c>
      <c r="Q10" s="203">
        <v>21</v>
      </c>
      <c r="R10" s="212">
        <v>1588352.55</v>
      </c>
      <c r="S10" s="213">
        <v>230463</v>
      </c>
      <c r="T10" s="214">
        <f t="shared" si="2"/>
        <v>0.3527745079880665</v>
      </c>
      <c r="U10" s="319" t="s">
        <v>274</v>
      </c>
      <c r="V10" s="215">
        <v>102037</v>
      </c>
      <c r="W10" s="216">
        <f t="shared" si="3"/>
        <v>0.1561901583836813</v>
      </c>
    </row>
    <row r="11" spans="1:23" ht="14.25" thickBot="1">
      <c r="A11" s="203">
        <v>11</v>
      </c>
      <c r="B11" s="204" t="s">
        <v>239</v>
      </c>
      <c r="C11" s="205" t="s">
        <v>273</v>
      </c>
      <c r="D11" s="206">
        <v>10</v>
      </c>
      <c r="E11" s="207">
        <v>2</v>
      </c>
      <c r="F11" s="208">
        <v>68</v>
      </c>
      <c r="G11" s="209">
        <v>4963885.5</v>
      </c>
      <c r="H11" s="210">
        <v>638208</v>
      </c>
      <c r="I11" s="211" t="s">
        <v>56</v>
      </c>
      <c r="J11" s="212">
        <v>1481838</v>
      </c>
      <c r="K11" s="213">
        <v>191563</v>
      </c>
      <c r="L11" s="214">
        <f t="shared" si="0"/>
        <v>0.30015762886081027</v>
      </c>
      <c r="M11" s="208">
        <v>6</v>
      </c>
      <c r="N11" s="209">
        <v>1956043.5</v>
      </c>
      <c r="O11" s="215">
        <v>227604</v>
      </c>
      <c r="P11" s="216">
        <f t="shared" si="1"/>
        <v>0.35662981347773764</v>
      </c>
      <c r="Q11" s="203">
        <v>22</v>
      </c>
      <c r="R11" s="212">
        <v>1714676</v>
      </c>
      <c r="S11" s="213">
        <v>241825</v>
      </c>
      <c r="T11" s="214">
        <f t="shared" si="2"/>
        <v>0.3789125175491376</v>
      </c>
      <c r="U11" s="217" t="s">
        <v>307</v>
      </c>
      <c r="V11" s="215">
        <v>86101</v>
      </c>
      <c r="W11" s="216">
        <f t="shared" si="3"/>
        <v>0.13491056207380667</v>
      </c>
    </row>
    <row r="12" spans="1:23" ht="14.25" thickBot="1">
      <c r="A12" s="203">
        <v>12</v>
      </c>
      <c r="B12" s="204" t="s">
        <v>247</v>
      </c>
      <c r="C12" s="205" t="s">
        <v>273</v>
      </c>
      <c r="D12" s="206">
        <v>9</v>
      </c>
      <c r="E12" s="207">
        <v>3</v>
      </c>
      <c r="F12" s="208">
        <v>65</v>
      </c>
      <c r="G12" s="209">
        <v>7431119.24</v>
      </c>
      <c r="H12" s="210">
        <v>927854</v>
      </c>
      <c r="I12" s="211" t="s">
        <v>56</v>
      </c>
      <c r="J12" s="212">
        <v>3934346</v>
      </c>
      <c r="K12" s="213">
        <v>495714</v>
      </c>
      <c r="L12" s="214">
        <f t="shared" si="0"/>
        <v>0.5342586225850188</v>
      </c>
      <c r="M12" s="208">
        <v>7</v>
      </c>
      <c r="N12" s="209">
        <v>4723762.92</v>
      </c>
      <c r="O12" s="215">
        <v>577212</v>
      </c>
      <c r="P12" s="216">
        <f t="shared" si="1"/>
        <v>0.6220935621336977</v>
      </c>
      <c r="Q12" s="203">
        <v>21</v>
      </c>
      <c r="R12" s="212">
        <v>2186546.74</v>
      </c>
      <c r="S12" s="213">
        <v>274346</v>
      </c>
      <c r="T12" s="214">
        <f t="shared" si="2"/>
        <v>0.2956779838207304</v>
      </c>
      <c r="U12" s="320">
        <v>300</v>
      </c>
      <c r="V12" s="215">
        <v>400017</v>
      </c>
      <c r="W12" s="216">
        <f t="shared" si="3"/>
        <v>0.4311206288920455</v>
      </c>
    </row>
    <row r="13" spans="1:23" ht="14.25" thickBot="1">
      <c r="A13" s="203">
        <v>13</v>
      </c>
      <c r="B13" s="204" t="s">
        <v>323</v>
      </c>
      <c r="C13" s="205" t="s">
        <v>273</v>
      </c>
      <c r="D13" s="206">
        <v>9</v>
      </c>
      <c r="E13" s="207">
        <v>3</v>
      </c>
      <c r="F13" s="208">
        <v>73</v>
      </c>
      <c r="G13" s="209">
        <v>6115849</v>
      </c>
      <c r="H13" s="210">
        <v>774256</v>
      </c>
      <c r="I13" s="211" t="s">
        <v>56</v>
      </c>
      <c r="J13" s="212">
        <v>2474433.5</v>
      </c>
      <c r="K13" s="213">
        <v>305358</v>
      </c>
      <c r="L13" s="214">
        <f t="shared" si="0"/>
        <v>0.39438893595916596</v>
      </c>
      <c r="M13" s="208">
        <v>4</v>
      </c>
      <c r="N13" s="209">
        <v>2046232.5</v>
      </c>
      <c r="O13" s="215">
        <v>196021</v>
      </c>
      <c r="P13" s="216">
        <f t="shared" si="1"/>
        <v>0.25317336901489945</v>
      </c>
      <c r="Q13" s="203">
        <v>22</v>
      </c>
      <c r="R13" s="212">
        <v>1678588</v>
      </c>
      <c r="S13" s="213">
        <v>229561</v>
      </c>
      <c r="T13" s="214">
        <f t="shared" si="2"/>
        <v>0.2964923746151144</v>
      </c>
      <c r="U13" s="320">
        <v>300</v>
      </c>
      <c r="V13" s="215">
        <v>186496</v>
      </c>
      <c r="W13" s="216">
        <f t="shared" si="3"/>
        <v>0.24087123638693145</v>
      </c>
    </row>
    <row r="14" spans="1:23" ht="14.25" thickBot="1">
      <c r="A14" s="203">
        <v>14</v>
      </c>
      <c r="B14" s="204" t="s">
        <v>337</v>
      </c>
      <c r="C14" s="205" t="s">
        <v>338</v>
      </c>
      <c r="D14" s="206">
        <v>10</v>
      </c>
      <c r="E14" s="207">
        <v>2</v>
      </c>
      <c r="F14" s="208">
        <v>70</v>
      </c>
      <c r="G14" s="209">
        <v>4962298.9</v>
      </c>
      <c r="H14" s="210">
        <v>628674</v>
      </c>
      <c r="I14" s="211" t="s">
        <v>56</v>
      </c>
      <c r="J14" s="212">
        <v>1789094</v>
      </c>
      <c r="K14" s="213">
        <v>219403</v>
      </c>
      <c r="L14" s="214">
        <f t="shared" si="0"/>
        <v>0.34899327791510387</v>
      </c>
      <c r="M14" s="208">
        <v>3</v>
      </c>
      <c r="N14" s="209">
        <v>862608.5</v>
      </c>
      <c r="O14" s="215">
        <v>100043</v>
      </c>
      <c r="P14" s="216">
        <f t="shared" si="1"/>
        <v>0.15913335051234823</v>
      </c>
      <c r="Q14" s="203">
        <v>21</v>
      </c>
      <c r="R14" s="212">
        <v>1370545.4</v>
      </c>
      <c r="S14" s="213">
        <v>186939</v>
      </c>
      <c r="T14" s="214">
        <f t="shared" si="2"/>
        <v>0.2973544317086439</v>
      </c>
      <c r="U14" s="217" t="s">
        <v>339</v>
      </c>
      <c r="V14" s="215">
        <v>113536</v>
      </c>
      <c r="W14" s="216">
        <f t="shared" si="3"/>
        <v>0.180595984564337</v>
      </c>
    </row>
    <row r="15" spans="1:23" ht="14.25" thickBot="1">
      <c r="A15" s="203">
        <v>15</v>
      </c>
      <c r="B15" s="204" t="s">
        <v>347</v>
      </c>
      <c r="C15" s="205" t="s">
        <v>338</v>
      </c>
      <c r="D15" s="206">
        <v>11</v>
      </c>
      <c r="E15" s="207">
        <v>1</v>
      </c>
      <c r="F15" s="208">
        <v>80</v>
      </c>
      <c r="G15" s="209">
        <v>3793784.2</v>
      </c>
      <c r="H15" s="210">
        <v>487872</v>
      </c>
      <c r="I15" s="211" t="s">
        <v>56</v>
      </c>
      <c r="J15" s="212">
        <v>1073143</v>
      </c>
      <c r="K15" s="213">
        <v>134878</v>
      </c>
      <c r="L15" s="214">
        <f t="shared" si="0"/>
        <v>0.2764618588482225</v>
      </c>
      <c r="M15" s="208">
        <v>8</v>
      </c>
      <c r="N15" s="209">
        <v>1316910.5</v>
      </c>
      <c r="O15" s="215">
        <v>145325</v>
      </c>
      <c r="P15" s="216">
        <f t="shared" si="1"/>
        <v>0.2978752623638987</v>
      </c>
      <c r="Q15" s="203">
        <v>22</v>
      </c>
      <c r="R15" s="212">
        <v>698457</v>
      </c>
      <c r="S15" s="213">
        <v>104479</v>
      </c>
      <c r="T15" s="214">
        <f t="shared" si="2"/>
        <v>0.2141524826183917</v>
      </c>
      <c r="U15" s="319" t="s">
        <v>365</v>
      </c>
      <c r="V15" s="215">
        <v>73516</v>
      </c>
      <c r="W15" s="216">
        <f t="shared" si="3"/>
        <v>0.15068706545979274</v>
      </c>
    </row>
    <row r="16" spans="1:23" ht="14.25" thickBot="1">
      <c r="A16" s="203">
        <v>16</v>
      </c>
      <c r="B16" s="204" t="s">
        <v>366</v>
      </c>
      <c r="C16" s="205" t="s">
        <v>338</v>
      </c>
      <c r="D16" s="206">
        <v>10</v>
      </c>
      <c r="E16" s="207">
        <v>2</v>
      </c>
      <c r="F16" s="208">
        <v>90</v>
      </c>
      <c r="G16" s="209">
        <v>3559322.95</v>
      </c>
      <c r="H16" s="210">
        <v>471366</v>
      </c>
      <c r="I16" s="211" t="s">
        <v>45</v>
      </c>
      <c r="J16" s="212">
        <v>659788.5</v>
      </c>
      <c r="K16" s="213">
        <v>94559</v>
      </c>
      <c r="L16" s="214">
        <f t="shared" si="0"/>
        <v>0.2006063228998273</v>
      </c>
      <c r="M16" s="208">
        <v>7</v>
      </c>
      <c r="N16" s="209">
        <v>1560286</v>
      </c>
      <c r="O16" s="215">
        <v>186713</v>
      </c>
      <c r="P16" s="216">
        <f t="shared" si="1"/>
        <v>0.3961104534480637</v>
      </c>
      <c r="Q16" s="203">
        <v>27</v>
      </c>
      <c r="R16" s="212">
        <v>738315.5</v>
      </c>
      <c r="S16" s="213">
        <v>107568</v>
      </c>
      <c r="T16" s="214">
        <f t="shared" si="2"/>
        <v>0.2282048344598465</v>
      </c>
      <c r="U16" s="319" t="s">
        <v>367</v>
      </c>
      <c r="V16" s="215">
        <v>70778</v>
      </c>
      <c r="W16" s="216">
        <f t="shared" si="3"/>
        <v>0.15015508118956394</v>
      </c>
    </row>
    <row r="17" spans="1:23" ht="14.25" thickBot="1">
      <c r="A17" s="203">
        <v>17</v>
      </c>
      <c r="B17" s="204" t="s">
        <v>382</v>
      </c>
      <c r="C17" s="205" t="s">
        <v>338</v>
      </c>
      <c r="D17" s="206">
        <v>10</v>
      </c>
      <c r="E17" s="207">
        <v>2</v>
      </c>
      <c r="F17" s="208">
        <v>69</v>
      </c>
      <c r="G17" s="209">
        <v>4494130.15</v>
      </c>
      <c r="H17" s="210">
        <v>593399</v>
      </c>
      <c r="I17" s="211" t="s">
        <v>57</v>
      </c>
      <c r="J17" s="212">
        <v>1764375</v>
      </c>
      <c r="K17" s="213">
        <v>236210</v>
      </c>
      <c r="L17" s="214">
        <f t="shared" si="0"/>
        <v>0.39806268632067127</v>
      </c>
      <c r="M17" s="208">
        <v>4</v>
      </c>
      <c r="N17" s="209">
        <v>2537879</v>
      </c>
      <c r="O17" s="215">
        <v>316879</v>
      </c>
      <c r="P17" s="216">
        <f t="shared" si="1"/>
        <v>0.5340066296033529</v>
      </c>
      <c r="Q17" s="203">
        <v>19</v>
      </c>
      <c r="R17" s="212">
        <v>1827729.5</v>
      </c>
      <c r="S17" s="213">
        <v>253779</v>
      </c>
      <c r="T17" s="214">
        <f t="shared" si="2"/>
        <v>0.4276700837042193</v>
      </c>
      <c r="U17" s="217" t="s">
        <v>390</v>
      </c>
      <c r="V17" s="215">
        <v>189829</v>
      </c>
      <c r="W17" s="216">
        <f t="shared" si="3"/>
        <v>0.31990111206793403</v>
      </c>
    </row>
    <row r="18" spans="1:23" ht="14.25" thickBot="1">
      <c r="A18" s="203">
        <v>18</v>
      </c>
      <c r="B18" s="204" t="s">
        <v>391</v>
      </c>
      <c r="C18" s="205" t="s">
        <v>392</v>
      </c>
      <c r="D18" s="206">
        <v>10</v>
      </c>
      <c r="E18" s="207">
        <v>2</v>
      </c>
      <c r="F18" s="208">
        <v>67</v>
      </c>
      <c r="G18" s="209">
        <v>3359503</v>
      </c>
      <c r="H18" s="210">
        <v>442069</v>
      </c>
      <c r="I18" s="211" t="s">
        <v>57</v>
      </c>
      <c r="J18" s="212">
        <v>937798</v>
      </c>
      <c r="K18" s="213">
        <v>122818</v>
      </c>
      <c r="L18" s="214">
        <f t="shared" si="0"/>
        <v>0.27782540734591205</v>
      </c>
      <c r="M18" s="208">
        <v>6</v>
      </c>
      <c r="N18" s="209">
        <v>1353681</v>
      </c>
      <c r="O18" s="215">
        <v>157965</v>
      </c>
      <c r="P18" s="216">
        <f t="shared" si="1"/>
        <v>0.3573310953719894</v>
      </c>
      <c r="Q18" s="203">
        <v>25</v>
      </c>
      <c r="R18" s="212">
        <v>870275</v>
      </c>
      <c r="S18" s="213">
        <v>126251</v>
      </c>
      <c r="T18" s="214">
        <f t="shared" si="2"/>
        <v>0.28559116337042406</v>
      </c>
      <c r="U18" s="217" t="s">
        <v>390</v>
      </c>
      <c r="V18" s="215">
        <v>87354</v>
      </c>
      <c r="W18" s="216">
        <f t="shared" si="3"/>
        <v>0.19760263669246203</v>
      </c>
    </row>
    <row r="19" spans="1:23" ht="14.25" thickBot="1">
      <c r="A19" s="203">
        <v>19</v>
      </c>
      <c r="B19" s="204" t="s">
        <v>403</v>
      </c>
      <c r="C19" s="205" t="s">
        <v>392</v>
      </c>
      <c r="D19" s="206">
        <v>11</v>
      </c>
      <c r="E19" s="207">
        <v>2</v>
      </c>
      <c r="F19" s="208">
        <v>66</v>
      </c>
      <c r="G19" s="209">
        <v>4607211</v>
      </c>
      <c r="H19" s="210">
        <v>602402</v>
      </c>
      <c r="I19" s="211" t="s">
        <v>56</v>
      </c>
      <c r="J19" s="212">
        <v>3216218</v>
      </c>
      <c r="K19" s="213">
        <v>408181</v>
      </c>
      <c r="L19" s="214">
        <f t="shared" si="0"/>
        <v>0.6775890518291772</v>
      </c>
      <c r="M19" s="208">
        <v>3</v>
      </c>
      <c r="N19" s="209">
        <v>2878018</v>
      </c>
      <c r="O19" s="215">
        <v>367437</v>
      </c>
      <c r="P19" s="216">
        <f t="shared" si="1"/>
        <v>0.6099531542059954</v>
      </c>
      <c r="Q19" s="203">
        <v>13</v>
      </c>
      <c r="R19" s="212">
        <v>571782.5</v>
      </c>
      <c r="S19" s="213">
        <v>87097</v>
      </c>
      <c r="T19" s="214">
        <f t="shared" si="2"/>
        <v>0.14458285331058</v>
      </c>
      <c r="U19" s="319" t="s">
        <v>450</v>
      </c>
      <c r="V19" s="215">
        <v>347281</v>
      </c>
      <c r="W19" s="216">
        <f t="shared" si="3"/>
        <v>0.5764937699410029</v>
      </c>
    </row>
    <row r="20" spans="1:23" ht="14.25" thickBot="1">
      <c r="A20" s="203">
        <v>20</v>
      </c>
      <c r="B20" s="204" t="s">
        <v>413</v>
      </c>
      <c r="C20" s="205" t="s">
        <v>392</v>
      </c>
      <c r="D20" s="206">
        <v>11</v>
      </c>
      <c r="E20" s="207">
        <v>2</v>
      </c>
      <c r="F20" s="208">
        <v>75</v>
      </c>
      <c r="G20" s="209">
        <v>2959173</v>
      </c>
      <c r="H20" s="210">
        <v>393916</v>
      </c>
      <c r="I20" s="211" t="s">
        <v>56</v>
      </c>
      <c r="J20" s="212">
        <v>1704605</v>
      </c>
      <c r="K20" s="213">
        <v>222213</v>
      </c>
      <c r="L20" s="214">
        <f t="shared" si="0"/>
        <v>0.5641126534591131</v>
      </c>
      <c r="M20" s="208">
        <v>4</v>
      </c>
      <c r="N20" s="209">
        <v>279843</v>
      </c>
      <c r="O20" s="215">
        <v>31294</v>
      </c>
      <c r="P20" s="216">
        <f t="shared" si="1"/>
        <v>0.07944333309639619</v>
      </c>
      <c r="Q20" s="203">
        <v>17</v>
      </c>
      <c r="R20" s="212">
        <v>313436.5</v>
      </c>
      <c r="S20" s="213">
        <v>49288</v>
      </c>
      <c r="T20" s="214">
        <f t="shared" si="2"/>
        <v>0.12512312269620934</v>
      </c>
      <c r="U20" s="319" t="s">
        <v>450</v>
      </c>
      <c r="V20" s="215">
        <v>180161</v>
      </c>
      <c r="W20" s="216">
        <f t="shared" si="3"/>
        <v>0.4573589293148793</v>
      </c>
    </row>
    <row r="21" spans="1:23" ht="14.25" thickBot="1">
      <c r="A21" s="203">
        <v>21</v>
      </c>
      <c r="B21" s="204" t="s">
        <v>427</v>
      </c>
      <c r="C21" s="205" t="s">
        <v>392</v>
      </c>
      <c r="D21" s="206">
        <v>11</v>
      </c>
      <c r="E21" s="207">
        <v>2</v>
      </c>
      <c r="F21" s="208">
        <v>79</v>
      </c>
      <c r="G21" s="209">
        <v>3139041.5</v>
      </c>
      <c r="H21" s="210">
        <v>403499</v>
      </c>
      <c r="I21" s="211" t="s">
        <v>56</v>
      </c>
      <c r="J21" s="212">
        <v>1230444</v>
      </c>
      <c r="K21" s="213">
        <v>156288</v>
      </c>
      <c r="L21" s="214">
        <f t="shared" si="0"/>
        <v>0.3873318149487359</v>
      </c>
      <c r="M21" s="208">
        <v>5</v>
      </c>
      <c r="N21" s="209">
        <v>1355753</v>
      </c>
      <c r="O21" s="215">
        <v>154038</v>
      </c>
      <c r="P21" s="216">
        <f t="shared" si="1"/>
        <v>0.3817555929506641</v>
      </c>
      <c r="Q21" s="203">
        <v>21</v>
      </c>
      <c r="R21" s="212">
        <v>207115</v>
      </c>
      <c r="S21" s="213">
        <v>36794</v>
      </c>
      <c r="T21" s="214">
        <f t="shared" si="2"/>
        <v>0.09118733875424723</v>
      </c>
      <c r="U21" s="319" t="s">
        <v>450</v>
      </c>
      <c r="V21" s="215">
        <v>109405</v>
      </c>
      <c r="W21" s="216">
        <f t="shared" si="3"/>
        <v>0.27114069675513447</v>
      </c>
    </row>
    <row r="22" spans="1:23" ht="14.25" thickBot="1">
      <c r="A22" s="203">
        <v>22</v>
      </c>
      <c r="B22" s="204" t="s">
        <v>446</v>
      </c>
      <c r="C22" s="205" t="s">
        <v>392</v>
      </c>
      <c r="D22" s="206">
        <v>12</v>
      </c>
      <c r="E22" s="207">
        <v>2</v>
      </c>
      <c r="F22" s="208">
        <v>75</v>
      </c>
      <c r="G22" s="209">
        <v>4828014</v>
      </c>
      <c r="H22" s="210">
        <v>625655</v>
      </c>
      <c r="I22" s="211" t="s">
        <v>57</v>
      </c>
      <c r="J22" s="212">
        <v>3729005</v>
      </c>
      <c r="K22" s="213">
        <v>470314</v>
      </c>
      <c r="L22" s="214">
        <f t="shared" si="0"/>
        <v>0.7517146030959554</v>
      </c>
      <c r="M22" s="208">
        <v>4</v>
      </c>
      <c r="N22" s="209">
        <v>3565521</v>
      </c>
      <c r="O22" s="215">
        <v>448004</v>
      </c>
      <c r="P22" s="216">
        <f t="shared" si="1"/>
        <v>0.7160559733399398</v>
      </c>
      <c r="Q22" s="203">
        <v>17</v>
      </c>
      <c r="R22" s="212">
        <v>140214.5</v>
      </c>
      <c r="S22" s="213">
        <v>29198</v>
      </c>
      <c r="T22" s="214">
        <f t="shared" si="2"/>
        <v>0.046667892049132506</v>
      </c>
      <c r="U22" s="319" t="s">
        <v>451</v>
      </c>
      <c r="V22" s="215">
        <v>445802</v>
      </c>
      <c r="W22" s="216">
        <f t="shared" si="3"/>
        <v>0.7125364617880461</v>
      </c>
    </row>
    <row r="23" spans="1:23" ht="14.25" thickBot="1">
      <c r="A23" s="203"/>
      <c r="B23" s="204"/>
      <c r="C23" s="205"/>
      <c r="D23" s="206"/>
      <c r="E23" s="207"/>
      <c r="F23" s="208"/>
      <c r="G23" s="209"/>
      <c r="H23" s="210"/>
      <c r="I23" s="211"/>
      <c r="J23" s="212"/>
      <c r="K23" s="213"/>
      <c r="L23" s="214"/>
      <c r="M23" s="208"/>
      <c r="N23" s="209"/>
      <c r="O23" s="215"/>
      <c r="P23" s="216"/>
      <c r="Q23" s="203"/>
      <c r="R23" s="212"/>
      <c r="S23" s="213"/>
      <c r="T23" s="214"/>
      <c r="U23" s="217"/>
      <c r="V23" s="215"/>
      <c r="W23" s="216"/>
    </row>
    <row r="24" spans="1:23" ht="14.25" thickBot="1">
      <c r="A24" s="203"/>
      <c r="B24" s="204"/>
      <c r="C24" s="205"/>
      <c r="D24" s="206"/>
      <c r="E24" s="207"/>
      <c r="F24" s="208"/>
      <c r="G24" s="209"/>
      <c r="H24" s="210"/>
      <c r="I24" s="211"/>
      <c r="J24" s="212"/>
      <c r="K24" s="213"/>
      <c r="L24" s="214"/>
      <c r="M24" s="208"/>
      <c r="N24" s="209"/>
      <c r="O24" s="215"/>
      <c r="P24" s="216"/>
      <c r="Q24" s="203"/>
      <c r="R24" s="212"/>
      <c r="S24" s="213"/>
      <c r="T24" s="214"/>
      <c r="U24" s="217"/>
      <c r="V24" s="215"/>
      <c r="W24" s="216"/>
    </row>
    <row r="25" spans="1:23" ht="14.25" thickBot="1">
      <c r="A25" s="203"/>
      <c r="B25" s="204"/>
      <c r="C25" s="205"/>
      <c r="D25" s="206"/>
      <c r="E25" s="207"/>
      <c r="F25" s="208"/>
      <c r="G25" s="209"/>
      <c r="H25" s="210"/>
      <c r="I25" s="211"/>
      <c r="J25" s="212"/>
      <c r="K25" s="213"/>
      <c r="L25" s="214"/>
      <c r="M25" s="208"/>
      <c r="N25" s="209"/>
      <c r="O25" s="215"/>
      <c r="P25" s="216"/>
      <c r="Q25" s="203"/>
      <c r="R25" s="212"/>
      <c r="S25" s="213"/>
      <c r="T25" s="214"/>
      <c r="U25" s="217"/>
      <c r="V25" s="215"/>
      <c r="W25" s="216"/>
    </row>
    <row r="26" spans="1:23" ht="14.25" thickBot="1">
      <c r="A26" s="203"/>
      <c r="B26" s="204"/>
      <c r="C26" s="205"/>
      <c r="D26" s="206"/>
      <c r="E26" s="207"/>
      <c r="F26" s="208"/>
      <c r="G26" s="209"/>
      <c r="H26" s="210"/>
      <c r="I26" s="211"/>
      <c r="J26" s="212"/>
      <c r="K26" s="213"/>
      <c r="L26" s="214"/>
      <c r="M26" s="208"/>
      <c r="N26" s="209"/>
      <c r="O26" s="215"/>
      <c r="P26" s="216"/>
      <c r="Q26" s="203"/>
      <c r="R26" s="212"/>
      <c r="S26" s="213"/>
      <c r="T26" s="214"/>
      <c r="U26" s="217"/>
      <c r="V26" s="215"/>
      <c r="W26" s="216"/>
    </row>
    <row r="27" spans="1:23" ht="14.25" thickBot="1">
      <c r="A27" s="203"/>
      <c r="B27" s="204"/>
      <c r="C27" s="205"/>
      <c r="D27" s="206"/>
      <c r="E27" s="207"/>
      <c r="F27" s="208"/>
      <c r="G27" s="209"/>
      <c r="H27" s="210"/>
      <c r="I27" s="211"/>
      <c r="J27" s="212"/>
      <c r="K27" s="213"/>
      <c r="L27" s="214"/>
      <c r="M27" s="208"/>
      <c r="N27" s="209"/>
      <c r="O27" s="215"/>
      <c r="P27" s="216"/>
      <c r="Q27" s="203"/>
      <c r="R27" s="212"/>
      <c r="S27" s="213"/>
      <c r="T27" s="214"/>
      <c r="U27" s="217"/>
      <c r="V27" s="215"/>
      <c r="W27" s="216"/>
    </row>
    <row r="28" spans="1:23" ht="14.25" thickBot="1">
      <c r="A28" s="203"/>
      <c r="B28" s="204"/>
      <c r="C28" s="205"/>
      <c r="D28" s="206"/>
      <c r="E28" s="207"/>
      <c r="F28" s="208"/>
      <c r="G28" s="209"/>
      <c r="H28" s="210"/>
      <c r="I28" s="211"/>
      <c r="J28" s="212"/>
      <c r="K28" s="213"/>
      <c r="L28" s="214"/>
      <c r="M28" s="208"/>
      <c r="N28" s="209"/>
      <c r="O28" s="215"/>
      <c r="P28" s="216"/>
      <c r="Q28" s="203"/>
      <c r="R28" s="212"/>
      <c r="S28" s="213"/>
      <c r="T28" s="214"/>
      <c r="U28" s="217"/>
      <c r="V28" s="215"/>
      <c r="W28" s="216"/>
    </row>
    <row r="29" spans="1:23" ht="14.25" thickBot="1">
      <c r="A29" s="203"/>
      <c r="B29" s="204"/>
      <c r="C29" s="205"/>
      <c r="D29" s="206"/>
      <c r="E29" s="207"/>
      <c r="F29" s="208"/>
      <c r="G29" s="209"/>
      <c r="H29" s="210"/>
      <c r="I29" s="211"/>
      <c r="J29" s="212"/>
      <c r="K29" s="213"/>
      <c r="L29" s="214"/>
      <c r="M29" s="208"/>
      <c r="N29" s="209"/>
      <c r="O29" s="215"/>
      <c r="P29" s="216"/>
      <c r="Q29" s="203"/>
      <c r="R29" s="212"/>
      <c r="S29" s="213"/>
      <c r="T29" s="214"/>
      <c r="U29" s="217"/>
      <c r="V29" s="215"/>
      <c r="W29" s="216"/>
    </row>
    <row r="30" spans="1:23" ht="14.25" hidden="1" thickBot="1">
      <c r="A30" s="203"/>
      <c r="B30" s="204"/>
      <c r="C30" s="205"/>
      <c r="D30" s="206"/>
      <c r="E30" s="207"/>
      <c r="F30" s="208"/>
      <c r="G30" s="209"/>
      <c r="H30" s="210"/>
      <c r="I30" s="211"/>
      <c r="J30" s="212"/>
      <c r="K30" s="213"/>
      <c r="L30" s="214"/>
      <c r="M30" s="208"/>
      <c r="N30" s="209"/>
      <c r="O30" s="215"/>
      <c r="P30" s="216"/>
      <c r="Q30" s="203"/>
      <c r="R30" s="212"/>
      <c r="S30" s="213"/>
      <c r="T30" s="214"/>
      <c r="U30" s="217"/>
      <c r="V30" s="215"/>
      <c r="W30" s="216"/>
    </row>
    <row r="31" spans="1:23" ht="14.25" hidden="1" thickBot="1">
      <c r="A31" s="203"/>
      <c r="B31" s="204"/>
      <c r="C31" s="205"/>
      <c r="D31" s="206"/>
      <c r="E31" s="207"/>
      <c r="F31" s="208"/>
      <c r="G31" s="209"/>
      <c r="H31" s="210"/>
      <c r="I31" s="211"/>
      <c r="J31" s="212"/>
      <c r="K31" s="213"/>
      <c r="L31" s="214"/>
      <c r="M31" s="208"/>
      <c r="N31" s="209"/>
      <c r="O31" s="215"/>
      <c r="P31" s="216"/>
      <c r="Q31" s="203"/>
      <c r="R31" s="212"/>
      <c r="S31" s="213"/>
      <c r="T31" s="214"/>
      <c r="U31" s="217"/>
      <c r="V31" s="215"/>
      <c r="W31" s="216"/>
    </row>
    <row r="32" spans="1:23" ht="14.25" hidden="1" thickBot="1">
      <c r="A32" s="203"/>
      <c r="B32" s="204"/>
      <c r="C32" s="205"/>
      <c r="D32" s="206"/>
      <c r="E32" s="207"/>
      <c r="F32" s="208"/>
      <c r="G32" s="209"/>
      <c r="H32" s="210"/>
      <c r="I32" s="211"/>
      <c r="J32" s="212"/>
      <c r="K32" s="213"/>
      <c r="L32" s="214"/>
      <c r="M32" s="208"/>
      <c r="N32" s="209"/>
      <c r="O32" s="215"/>
      <c r="P32" s="216"/>
      <c r="Q32" s="203"/>
      <c r="R32" s="212"/>
      <c r="S32" s="213"/>
      <c r="T32" s="214"/>
      <c r="U32" s="217"/>
      <c r="V32" s="215"/>
      <c r="W32" s="216"/>
    </row>
    <row r="33" spans="1:23" ht="14.25" hidden="1" thickBot="1">
      <c r="A33" s="203"/>
      <c r="B33" s="204"/>
      <c r="C33" s="205"/>
      <c r="D33" s="206"/>
      <c r="E33" s="207"/>
      <c r="F33" s="208"/>
      <c r="G33" s="209"/>
      <c r="H33" s="210"/>
      <c r="I33" s="211"/>
      <c r="J33" s="212"/>
      <c r="K33" s="213"/>
      <c r="L33" s="214"/>
      <c r="M33" s="208"/>
      <c r="N33" s="209"/>
      <c r="O33" s="215"/>
      <c r="P33" s="216"/>
      <c r="Q33" s="203"/>
      <c r="R33" s="212"/>
      <c r="S33" s="213"/>
      <c r="T33" s="214"/>
      <c r="U33" s="217"/>
      <c r="V33" s="215"/>
      <c r="W33" s="216"/>
    </row>
    <row r="34" spans="1:23" ht="14.25" hidden="1" thickBot="1">
      <c r="A34" s="203"/>
      <c r="B34" s="204"/>
      <c r="C34" s="205"/>
      <c r="D34" s="206"/>
      <c r="E34" s="207"/>
      <c r="F34" s="208"/>
      <c r="G34" s="209"/>
      <c r="H34" s="210"/>
      <c r="I34" s="211"/>
      <c r="J34" s="212"/>
      <c r="K34" s="213"/>
      <c r="L34" s="214"/>
      <c r="M34" s="208"/>
      <c r="N34" s="209"/>
      <c r="O34" s="215"/>
      <c r="P34" s="216"/>
      <c r="Q34" s="203"/>
      <c r="R34" s="212"/>
      <c r="S34" s="213"/>
      <c r="T34" s="214"/>
      <c r="U34" s="217"/>
      <c r="V34" s="215"/>
      <c r="W34" s="216"/>
    </row>
    <row r="35" spans="1:23" ht="14.25" hidden="1" thickBot="1">
      <c r="A35" s="203"/>
      <c r="B35" s="204"/>
      <c r="C35" s="205"/>
      <c r="D35" s="206"/>
      <c r="E35" s="207"/>
      <c r="F35" s="208"/>
      <c r="G35" s="209"/>
      <c r="H35" s="210"/>
      <c r="I35" s="211"/>
      <c r="J35" s="212"/>
      <c r="K35" s="213"/>
      <c r="L35" s="214"/>
      <c r="M35" s="208"/>
      <c r="N35" s="209"/>
      <c r="O35" s="215"/>
      <c r="P35" s="216"/>
      <c r="Q35" s="203"/>
      <c r="R35" s="212"/>
      <c r="S35" s="213"/>
      <c r="T35" s="214"/>
      <c r="U35" s="217"/>
      <c r="V35" s="215"/>
      <c r="W35" s="216"/>
    </row>
    <row r="36" spans="1:23" ht="14.25" hidden="1" thickBot="1">
      <c r="A36" s="203"/>
      <c r="B36" s="204"/>
      <c r="C36" s="205"/>
      <c r="D36" s="206"/>
      <c r="E36" s="207"/>
      <c r="F36" s="208"/>
      <c r="G36" s="209"/>
      <c r="H36" s="210"/>
      <c r="I36" s="211"/>
      <c r="J36" s="212"/>
      <c r="K36" s="213"/>
      <c r="L36" s="214"/>
      <c r="M36" s="208"/>
      <c r="N36" s="209"/>
      <c r="O36" s="215"/>
      <c r="P36" s="216"/>
      <c r="Q36" s="203"/>
      <c r="R36" s="212"/>
      <c r="S36" s="213"/>
      <c r="T36" s="214"/>
      <c r="U36" s="217"/>
      <c r="V36" s="215"/>
      <c r="W36" s="216"/>
    </row>
    <row r="37" spans="1:23" ht="14.25" hidden="1" thickBot="1">
      <c r="A37" s="203"/>
      <c r="B37" s="204"/>
      <c r="C37" s="205"/>
      <c r="D37" s="206"/>
      <c r="E37" s="207"/>
      <c r="F37" s="208"/>
      <c r="G37" s="209"/>
      <c r="H37" s="210"/>
      <c r="I37" s="211"/>
      <c r="J37" s="212"/>
      <c r="K37" s="213"/>
      <c r="L37" s="214"/>
      <c r="M37" s="208"/>
      <c r="N37" s="209"/>
      <c r="O37" s="215"/>
      <c r="P37" s="216"/>
      <c r="Q37" s="203"/>
      <c r="R37" s="212"/>
      <c r="S37" s="213"/>
      <c r="T37" s="214"/>
      <c r="U37" s="217"/>
      <c r="V37" s="215"/>
      <c r="W37" s="216"/>
    </row>
    <row r="38" spans="1:23" ht="14.25" hidden="1" thickBot="1">
      <c r="A38" s="203"/>
      <c r="B38" s="204"/>
      <c r="C38" s="205"/>
      <c r="D38" s="206"/>
      <c r="E38" s="207"/>
      <c r="F38" s="208"/>
      <c r="G38" s="209"/>
      <c r="H38" s="210"/>
      <c r="I38" s="211"/>
      <c r="J38" s="212"/>
      <c r="K38" s="213"/>
      <c r="L38" s="214"/>
      <c r="M38" s="208"/>
      <c r="N38" s="209"/>
      <c r="O38" s="215"/>
      <c r="P38" s="216"/>
      <c r="Q38" s="203"/>
      <c r="R38" s="212"/>
      <c r="S38" s="213"/>
      <c r="T38" s="214"/>
      <c r="U38" s="217"/>
      <c r="V38" s="215"/>
      <c r="W38" s="216"/>
    </row>
    <row r="39" spans="1:23" ht="14.25" hidden="1" thickBot="1">
      <c r="A39" s="203"/>
      <c r="B39" s="204"/>
      <c r="C39" s="205"/>
      <c r="D39" s="206"/>
      <c r="E39" s="207"/>
      <c r="F39" s="208"/>
      <c r="G39" s="209"/>
      <c r="H39" s="210"/>
      <c r="I39" s="211"/>
      <c r="J39" s="212"/>
      <c r="K39" s="213"/>
      <c r="L39" s="214"/>
      <c r="M39" s="208"/>
      <c r="N39" s="209"/>
      <c r="O39" s="215"/>
      <c r="P39" s="216"/>
      <c r="Q39" s="203"/>
      <c r="R39" s="212"/>
      <c r="S39" s="213"/>
      <c r="T39" s="214"/>
      <c r="U39" s="217"/>
      <c r="V39" s="215"/>
      <c r="W39" s="216"/>
    </row>
    <row r="40" spans="1:23" ht="14.25" hidden="1" thickBot="1">
      <c r="A40" s="203"/>
      <c r="B40" s="204"/>
      <c r="C40" s="205"/>
      <c r="D40" s="206"/>
      <c r="E40" s="207"/>
      <c r="F40" s="208"/>
      <c r="G40" s="209"/>
      <c r="H40" s="210"/>
      <c r="I40" s="211"/>
      <c r="J40" s="212"/>
      <c r="K40" s="213"/>
      <c r="L40" s="214"/>
      <c r="M40" s="208"/>
      <c r="N40" s="209"/>
      <c r="O40" s="215"/>
      <c r="P40" s="216"/>
      <c r="Q40" s="203"/>
      <c r="R40" s="212"/>
      <c r="S40" s="213"/>
      <c r="T40" s="214"/>
      <c r="U40" s="217"/>
      <c r="V40" s="215"/>
      <c r="W40" s="216"/>
    </row>
    <row r="41" spans="1:23" ht="14.25" hidden="1" thickBot="1">
      <c r="A41" s="203"/>
      <c r="B41" s="204"/>
      <c r="C41" s="205"/>
      <c r="D41" s="206"/>
      <c r="E41" s="207"/>
      <c r="F41" s="208"/>
      <c r="G41" s="209"/>
      <c r="H41" s="210"/>
      <c r="I41" s="211"/>
      <c r="J41" s="212"/>
      <c r="K41" s="213"/>
      <c r="L41" s="214"/>
      <c r="M41" s="208"/>
      <c r="N41" s="209"/>
      <c r="O41" s="215"/>
      <c r="P41" s="216"/>
      <c r="Q41" s="203"/>
      <c r="R41" s="212"/>
      <c r="S41" s="213"/>
      <c r="T41" s="214"/>
      <c r="U41" s="217"/>
      <c r="V41" s="215"/>
      <c r="W41" s="216"/>
    </row>
    <row r="42" spans="1:23" ht="14.25" hidden="1" thickBot="1">
      <c r="A42" s="203"/>
      <c r="B42" s="204"/>
      <c r="C42" s="205"/>
      <c r="D42" s="206"/>
      <c r="E42" s="207"/>
      <c r="F42" s="208"/>
      <c r="G42" s="209"/>
      <c r="H42" s="210"/>
      <c r="I42" s="211"/>
      <c r="J42" s="212"/>
      <c r="K42" s="213"/>
      <c r="L42" s="214"/>
      <c r="M42" s="208"/>
      <c r="N42" s="209"/>
      <c r="O42" s="215"/>
      <c r="P42" s="216"/>
      <c r="Q42" s="203"/>
      <c r="R42" s="212"/>
      <c r="S42" s="213"/>
      <c r="T42" s="214"/>
      <c r="U42" s="217"/>
      <c r="V42" s="215"/>
      <c r="W42" s="216"/>
    </row>
    <row r="43" spans="1:23" ht="14.25" hidden="1" thickBot="1">
      <c r="A43" s="203"/>
      <c r="B43" s="204"/>
      <c r="C43" s="205"/>
      <c r="D43" s="206"/>
      <c r="E43" s="207"/>
      <c r="F43" s="208"/>
      <c r="G43" s="209"/>
      <c r="H43" s="210"/>
      <c r="I43" s="211"/>
      <c r="J43" s="212"/>
      <c r="K43" s="213"/>
      <c r="L43" s="214"/>
      <c r="M43" s="208"/>
      <c r="N43" s="209"/>
      <c r="O43" s="215"/>
      <c r="P43" s="216"/>
      <c r="Q43" s="203"/>
      <c r="R43" s="212"/>
      <c r="S43" s="213"/>
      <c r="T43" s="214"/>
      <c r="U43" s="217"/>
      <c r="V43" s="215"/>
      <c r="W43" s="216"/>
    </row>
    <row r="44" spans="1:23" ht="14.25" hidden="1" thickBot="1">
      <c r="A44" s="203"/>
      <c r="B44" s="204"/>
      <c r="C44" s="205"/>
      <c r="D44" s="206"/>
      <c r="E44" s="207"/>
      <c r="F44" s="208"/>
      <c r="G44" s="209"/>
      <c r="H44" s="210"/>
      <c r="I44" s="211"/>
      <c r="J44" s="212"/>
      <c r="K44" s="213"/>
      <c r="L44" s="214"/>
      <c r="M44" s="208"/>
      <c r="N44" s="209"/>
      <c r="O44" s="215"/>
      <c r="P44" s="216"/>
      <c r="Q44" s="203"/>
      <c r="R44" s="212"/>
      <c r="S44" s="213"/>
      <c r="T44" s="214"/>
      <c r="U44" s="217"/>
      <c r="V44" s="215"/>
      <c r="W44" s="216"/>
    </row>
    <row r="45" spans="1:23" ht="14.25" hidden="1" thickBot="1">
      <c r="A45" s="203"/>
      <c r="B45" s="204"/>
      <c r="C45" s="205"/>
      <c r="D45" s="206"/>
      <c r="E45" s="207"/>
      <c r="F45" s="208"/>
      <c r="G45" s="209"/>
      <c r="H45" s="210"/>
      <c r="I45" s="211"/>
      <c r="J45" s="212"/>
      <c r="K45" s="213"/>
      <c r="L45" s="214"/>
      <c r="M45" s="208"/>
      <c r="N45" s="209"/>
      <c r="O45" s="215"/>
      <c r="P45" s="216"/>
      <c r="Q45" s="203"/>
      <c r="R45" s="212"/>
      <c r="S45" s="213"/>
      <c r="T45" s="214"/>
      <c r="U45" s="217"/>
      <c r="V45" s="215"/>
      <c r="W45" s="216"/>
    </row>
    <row r="46" spans="1:23" ht="14.25" hidden="1" thickBot="1">
      <c r="A46" s="203"/>
      <c r="B46" s="204"/>
      <c r="C46" s="205"/>
      <c r="D46" s="206"/>
      <c r="E46" s="207"/>
      <c r="F46" s="208"/>
      <c r="G46" s="209"/>
      <c r="H46" s="210"/>
      <c r="I46" s="211"/>
      <c r="J46" s="212"/>
      <c r="K46" s="213"/>
      <c r="L46" s="214"/>
      <c r="M46" s="208"/>
      <c r="N46" s="209"/>
      <c r="O46" s="215"/>
      <c r="P46" s="216"/>
      <c r="Q46" s="203"/>
      <c r="R46" s="212"/>
      <c r="S46" s="213"/>
      <c r="T46" s="214"/>
      <c r="U46" s="217"/>
      <c r="V46" s="215"/>
      <c r="W46" s="216"/>
    </row>
    <row r="47" spans="1:23" ht="14.25" hidden="1" thickBot="1">
      <c r="A47" s="203"/>
      <c r="B47" s="204"/>
      <c r="C47" s="205"/>
      <c r="D47" s="206"/>
      <c r="E47" s="207"/>
      <c r="F47" s="208"/>
      <c r="G47" s="209"/>
      <c r="H47" s="210"/>
      <c r="I47" s="211"/>
      <c r="J47" s="212"/>
      <c r="K47" s="213"/>
      <c r="L47" s="214"/>
      <c r="M47" s="208"/>
      <c r="N47" s="209"/>
      <c r="O47" s="215"/>
      <c r="P47" s="216"/>
      <c r="Q47" s="203"/>
      <c r="R47" s="212"/>
      <c r="S47" s="213"/>
      <c r="T47" s="214"/>
      <c r="U47" s="217"/>
      <c r="V47" s="215"/>
      <c r="W47" s="216"/>
    </row>
    <row r="48" spans="1:23" ht="14.25" hidden="1" thickBot="1">
      <c r="A48" s="203"/>
      <c r="B48" s="204"/>
      <c r="C48" s="205"/>
      <c r="D48" s="206"/>
      <c r="E48" s="207"/>
      <c r="F48" s="208"/>
      <c r="G48" s="209"/>
      <c r="H48" s="210"/>
      <c r="I48" s="211"/>
      <c r="J48" s="212"/>
      <c r="K48" s="213"/>
      <c r="L48" s="214"/>
      <c r="M48" s="208"/>
      <c r="N48" s="209"/>
      <c r="O48" s="215"/>
      <c r="P48" s="216"/>
      <c r="Q48" s="203"/>
      <c r="R48" s="212"/>
      <c r="S48" s="213"/>
      <c r="T48" s="214"/>
      <c r="U48" s="217"/>
      <c r="V48" s="215"/>
      <c r="W48" s="216"/>
    </row>
    <row r="49" spans="1:23" ht="14.25" hidden="1" thickBot="1">
      <c r="A49" s="203"/>
      <c r="B49" s="204"/>
      <c r="C49" s="205"/>
      <c r="D49" s="206"/>
      <c r="E49" s="207"/>
      <c r="F49" s="208"/>
      <c r="G49" s="209"/>
      <c r="H49" s="210"/>
      <c r="I49" s="211"/>
      <c r="J49" s="212"/>
      <c r="K49" s="213"/>
      <c r="L49" s="214"/>
      <c r="M49" s="208"/>
      <c r="N49" s="209"/>
      <c r="O49" s="215"/>
      <c r="P49" s="216"/>
      <c r="Q49" s="203"/>
      <c r="R49" s="212"/>
      <c r="S49" s="213"/>
      <c r="T49" s="214"/>
      <c r="U49" s="217"/>
      <c r="V49" s="215"/>
      <c r="W49" s="216"/>
    </row>
    <row r="50" spans="1:23" ht="14.25" hidden="1" thickBot="1">
      <c r="A50" s="203"/>
      <c r="B50" s="204"/>
      <c r="C50" s="205"/>
      <c r="D50" s="206"/>
      <c r="E50" s="207"/>
      <c r="F50" s="208"/>
      <c r="G50" s="209"/>
      <c r="H50" s="210"/>
      <c r="I50" s="211"/>
      <c r="J50" s="212"/>
      <c r="K50" s="213"/>
      <c r="L50" s="214"/>
      <c r="M50" s="208"/>
      <c r="N50" s="209"/>
      <c r="O50" s="215"/>
      <c r="P50" s="216"/>
      <c r="Q50" s="203"/>
      <c r="R50" s="212"/>
      <c r="S50" s="213"/>
      <c r="T50" s="214"/>
      <c r="U50" s="217"/>
      <c r="V50" s="215"/>
      <c r="W50" s="216"/>
    </row>
    <row r="51" spans="1:23" ht="14.25" hidden="1" thickBot="1">
      <c r="A51" s="203"/>
      <c r="B51" s="204"/>
      <c r="C51" s="205"/>
      <c r="D51" s="206"/>
      <c r="E51" s="207"/>
      <c r="F51" s="208"/>
      <c r="G51" s="209"/>
      <c r="H51" s="210"/>
      <c r="I51" s="211"/>
      <c r="J51" s="212"/>
      <c r="K51" s="213"/>
      <c r="L51" s="214"/>
      <c r="M51" s="208"/>
      <c r="N51" s="209"/>
      <c r="O51" s="215"/>
      <c r="P51" s="216"/>
      <c r="Q51" s="203"/>
      <c r="R51" s="212"/>
      <c r="S51" s="213"/>
      <c r="T51" s="214"/>
      <c r="U51" s="217"/>
      <c r="V51" s="215"/>
      <c r="W51" s="216"/>
    </row>
    <row r="52" spans="1:23" ht="14.25" hidden="1" thickBot="1">
      <c r="A52" s="203"/>
      <c r="B52" s="204"/>
      <c r="C52" s="205"/>
      <c r="D52" s="206"/>
      <c r="E52" s="207"/>
      <c r="F52" s="208"/>
      <c r="G52" s="209"/>
      <c r="H52" s="210"/>
      <c r="I52" s="211"/>
      <c r="J52" s="212"/>
      <c r="K52" s="213"/>
      <c r="L52" s="214"/>
      <c r="M52" s="208"/>
      <c r="N52" s="209"/>
      <c r="O52" s="215"/>
      <c r="P52" s="216"/>
      <c r="Q52" s="203"/>
      <c r="R52" s="212"/>
      <c r="S52" s="213"/>
      <c r="T52" s="214"/>
      <c r="U52" s="217"/>
      <c r="V52" s="215"/>
      <c r="W52" s="216"/>
    </row>
    <row r="53" spans="1:23" ht="14.25" hidden="1" thickBot="1">
      <c r="A53" s="203"/>
      <c r="B53" s="204"/>
      <c r="C53" s="205"/>
      <c r="D53" s="206"/>
      <c r="E53" s="207"/>
      <c r="F53" s="208"/>
      <c r="G53" s="209"/>
      <c r="H53" s="210"/>
      <c r="I53" s="211"/>
      <c r="J53" s="212"/>
      <c r="K53" s="213"/>
      <c r="L53" s="214"/>
      <c r="M53" s="208"/>
      <c r="N53" s="209"/>
      <c r="O53" s="215"/>
      <c r="P53" s="216"/>
      <c r="Q53" s="203"/>
      <c r="R53" s="212"/>
      <c r="S53" s="213"/>
      <c r="T53" s="214"/>
      <c r="U53" s="217"/>
      <c r="V53" s="215"/>
      <c r="W53" s="216"/>
    </row>
    <row r="54" spans="1:23" ht="14.25" hidden="1" thickBot="1">
      <c r="A54" s="203"/>
      <c r="B54" s="204"/>
      <c r="C54" s="205"/>
      <c r="D54" s="206"/>
      <c r="E54" s="207"/>
      <c r="F54" s="208"/>
      <c r="G54" s="209"/>
      <c r="H54" s="210"/>
      <c r="I54" s="211"/>
      <c r="J54" s="212"/>
      <c r="K54" s="213"/>
      <c r="L54" s="214"/>
      <c r="M54" s="208"/>
      <c r="N54" s="209"/>
      <c r="O54" s="215"/>
      <c r="P54" s="216"/>
      <c r="Q54" s="203"/>
      <c r="R54" s="212"/>
      <c r="S54" s="213"/>
      <c r="T54" s="214"/>
      <c r="U54" s="217"/>
      <c r="V54" s="215"/>
      <c r="W54" s="216"/>
    </row>
    <row r="55" spans="1:23" ht="14.25" hidden="1" thickBot="1">
      <c r="A55" s="203"/>
      <c r="B55" s="204"/>
      <c r="C55" s="205"/>
      <c r="D55" s="206"/>
      <c r="E55" s="207"/>
      <c r="F55" s="208"/>
      <c r="G55" s="209"/>
      <c r="H55" s="210"/>
      <c r="I55" s="211"/>
      <c r="J55" s="212"/>
      <c r="K55" s="213"/>
      <c r="L55" s="214"/>
      <c r="M55" s="208"/>
      <c r="N55" s="209"/>
      <c r="O55" s="215"/>
      <c r="P55" s="216"/>
      <c r="Q55" s="203"/>
      <c r="R55" s="212"/>
      <c r="S55" s="213"/>
      <c r="T55" s="214"/>
      <c r="U55" s="217"/>
      <c r="V55" s="215"/>
      <c r="W55" s="216"/>
    </row>
    <row r="56" spans="1:23" ht="14.25" hidden="1" thickBot="1">
      <c r="A56" s="203"/>
      <c r="B56" s="204"/>
      <c r="C56" s="205"/>
      <c r="D56" s="206"/>
      <c r="E56" s="207"/>
      <c r="F56" s="208"/>
      <c r="G56" s="209"/>
      <c r="H56" s="210"/>
      <c r="I56" s="211"/>
      <c r="J56" s="212"/>
      <c r="K56" s="213"/>
      <c r="L56" s="214"/>
      <c r="M56" s="208"/>
      <c r="N56" s="209"/>
      <c r="O56" s="215"/>
      <c r="P56" s="216"/>
      <c r="Q56" s="203"/>
      <c r="R56" s="212"/>
      <c r="S56" s="213"/>
      <c r="T56" s="214"/>
      <c r="U56" s="217"/>
      <c r="V56" s="215"/>
      <c r="W56" s="216"/>
    </row>
    <row r="57" spans="1:23" ht="14.25" hidden="1" thickBot="1">
      <c r="A57" s="203"/>
      <c r="B57" s="204"/>
      <c r="C57" s="205"/>
      <c r="D57" s="206"/>
      <c r="E57" s="207"/>
      <c r="F57" s="208"/>
      <c r="G57" s="209"/>
      <c r="H57" s="210"/>
      <c r="I57" s="211"/>
      <c r="J57" s="212"/>
      <c r="K57" s="213"/>
      <c r="L57" s="214"/>
      <c r="M57" s="208"/>
      <c r="N57" s="209"/>
      <c r="O57" s="215"/>
      <c r="P57" s="216"/>
      <c r="Q57" s="203"/>
      <c r="R57" s="212"/>
      <c r="S57" s="213"/>
      <c r="T57" s="214"/>
      <c r="U57" s="217"/>
      <c r="V57" s="215"/>
      <c r="W57" s="216"/>
    </row>
    <row r="58" spans="1:23" ht="14.25" hidden="1" thickBot="1">
      <c r="A58" s="203"/>
      <c r="B58" s="204"/>
      <c r="C58" s="205"/>
      <c r="D58" s="206"/>
      <c r="E58" s="207"/>
      <c r="F58" s="208"/>
      <c r="G58" s="209"/>
      <c r="H58" s="210"/>
      <c r="I58" s="211"/>
      <c r="J58" s="212"/>
      <c r="K58" s="213"/>
      <c r="L58" s="214"/>
      <c r="M58" s="208"/>
      <c r="N58" s="209"/>
      <c r="O58" s="215"/>
      <c r="P58" s="216"/>
      <c r="Q58" s="203"/>
      <c r="R58" s="212"/>
      <c r="S58" s="213"/>
      <c r="T58" s="214"/>
      <c r="U58" s="217"/>
      <c r="V58" s="215"/>
      <c r="W58" s="216"/>
    </row>
    <row r="59" spans="1:23" ht="14.25" hidden="1" thickBot="1">
      <c r="A59" s="203"/>
      <c r="B59" s="204"/>
      <c r="C59" s="205"/>
      <c r="D59" s="206"/>
      <c r="E59" s="207"/>
      <c r="F59" s="208"/>
      <c r="G59" s="209"/>
      <c r="H59" s="210"/>
      <c r="I59" s="211"/>
      <c r="J59" s="212"/>
      <c r="K59" s="213"/>
      <c r="L59" s="214"/>
      <c r="M59" s="208"/>
      <c r="N59" s="209"/>
      <c r="O59" s="215"/>
      <c r="P59" s="216"/>
      <c r="Q59" s="203"/>
      <c r="R59" s="212"/>
      <c r="S59" s="213"/>
      <c r="T59" s="214"/>
      <c r="U59" s="217"/>
      <c r="V59" s="215"/>
      <c r="W59" s="216"/>
    </row>
    <row r="60" spans="1:23" ht="14.25" hidden="1" thickBot="1">
      <c r="A60" s="203"/>
      <c r="B60" s="204"/>
      <c r="C60" s="205"/>
      <c r="D60" s="206"/>
      <c r="E60" s="207"/>
      <c r="F60" s="208"/>
      <c r="G60" s="209"/>
      <c r="H60" s="210"/>
      <c r="I60" s="211"/>
      <c r="J60" s="212"/>
      <c r="K60" s="213"/>
      <c r="L60" s="214"/>
      <c r="M60" s="208"/>
      <c r="N60" s="209"/>
      <c r="O60" s="215"/>
      <c r="P60" s="216"/>
      <c r="Q60" s="203"/>
      <c r="R60" s="212"/>
      <c r="S60" s="213"/>
      <c r="T60" s="214"/>
      <c r="U60" s="217"/>
      <c r="V60" s="215"/>
      <c r="W60" s="216"/>
    </row>
    <row r="61" spans="1:23" ht="14.25" hidden="1" thickBot="1">
      <c r="A61" s="203"/>
      <c r="B61" s="204"/>
      <c r="C61" s="205"/>
      <c r="D61" s="206"/>
      <c r="E61" s="207"/>
      <c r="F61" s="208"/>
      <c r="G61" s="209"/>
      <c r="H61" s="210"/>
      <c r="I61" s="211"/>
      <c r="J61" s="212"/>
      <c r="K61" s="213"/>
      <c r="L61" s="214"/>
      <c r="M61" s="208"/>
      <c r="N61" s="209"/>
      <c r="O61" s="215"/>
      <c r="P61" s="216"/>
      <c r="Q61" s="203"/>
      <c r="R61" s="212"/>
      <c r="S61" s="213"/>
      <c r="T61" s="214"/>
      <c r="U61" s="217"/>
      <c r="V61" s="215"/>
      <c r="W61" s="216"/>
    </row>
    <row r="62" spans="1:23" ht="14.25" hidden="1" thickBot="1">
      <c r="A62" s="203"/>
      <c r="B62" s="204"/>
      <c r="C62" s="205"/>
      <c r="D62" s="206"/>
      <c r="E62" s="207"/>
      <c r="F62" s="208"/>
      <c r="G62" s="209"/>
      <c r="H62" s="210"/>
      <c r="I62" s="211"/>
      <c r="J62" s="212"/>
      <c r="K62" s="213"/>
      <c r="L62" s="214"/>
      <c r="M62" s="208"/>
      <c r="N62" s="209"/>
      <c r="O62" s="215"/>
      <c r="P62" s="216"/>
      <c r="Q62" s="203"/>
      <c r="R62" s="212"/>
      <c r="S62" s="213"/>
      <c r="T62" s="214"/>
      <c r="U62" s="217"/>
      <c r="V62" s="215"/>
      <c r="W62" s="216"/>
    </row>
    <row r="63" spans="1:23" ht="14.25" hidden="1" thickBot="1">
      <c r="A63" s="203"/>
      <c r="B63" s="204"/>
      <c r="C63" s="205"/>
      <c r="D63" s="206"/>
      <c r="E63" s="207"/>
      <c r="F63" s="208"/>
      <c r="G63" s="209"/>
      <c r="H63" s="210"/>
      <c r="I63" s="211"/>
      <c r="J63" s="212"/>
      <c r="K63" s="213"/>
      <c r="L63" s="214"/>
      <c r="M63" s="208"/>
      <c r="N63" s="209"/>
      <c r="O63" s="215"/>
      <c r="P63" s="216"/>
      <c r="Q63" s="203"/>
      <c r="R63" s="212"/>
      <c r="S63" s="213"/>
      <c r="T63" s="214"/>
      <c r="U63" s="217"/>
      <c r="V63" s="215"/>
      <c r="W63" s="216"/>
    </row>
    <row r="64" spans="1:23" ht="14.25" thickBot="1">
      <c r="A64" s="203"/>
      <c r="B64" s="204"/>
      <c r="C64" s="205"/>
      <c r="D64" s="206"/>
      <c r="E64" s="207"/>
      <c r="F64" s="208"/>
      <c r="G64" s="209"/>
      <c r="H64" s="210"/>
      <c r="I64" s="211"/>
      <c r="J64" s="212"/>
      <c r="K64" s="213"/>
      <c r="L64" s="214"/>
      <c r="M64" s="208"/>
      <c r="N64" s="209"/>
      <c r="O64" s="215"/>
      <c r="P64" s="216"/>
      <c r="Q64" s="203"/>
      <c r="R64" s="212"/>
      <c r="S64" s="213"/>
      <c r="T64" s="214"/>
      <c r="U64" s="217"/>
      <c r="V64" s="215"/>
      <c r="W64" s="216"/>
    </row>
    <row r="66" spans="1:23" ht="14.25" thickBot="1">
      <c r="A66" s="474">
        <v>2007</v>
      </c>
      <c r="B66" s="475"/>
      <c r="C66" s="475"/>
      <c r="D66" s="475"/>
      <c r="E66" s="475"/>
      <c r="F66" s="220">
        <f>SUM(F1:F65)</f>
        <v>1467</v>
      </c>
      <c r="G66" s="221">
        <f>SUM(G1:G65)</f>
        <v>122325150.42000002</v>
      </c>
      <c r="H66" s="222">
        <f>SUM(H1:H65)</f>
        <v>15956603</v>
      </c>
      <c r="I66" s="300">
        <f>G66/H66</f>
        <v>7.666114800249152</v>
      </c>
      <c r="J66" s="223"/>
      <c r="K66" s="224"/>
      <c r="L66" s="225"/>
      <c r="M66" s="220"/>
      <c r="N66" s="221"/>
      <c r="O66" s="222"/>
      <c r="P66" s="226"/>
      <c r="Q66" s="219"/>
      <c r="R66" s="223">
        <f>SUM(R1:R65)</f>
        <v>51262478.730000004</v>
      </c>
      <c r="S66" s="224">
        <f>SUM(S1:S65)</f>
        <v>7232133</v>
      </c>
      <c r="T66" s="225">
        <f>SUM(S66/H66)</f>
        <v>0.4532376346018009</v>
      </c>
      <c r="U66" s="227"/>
      <c r="V66" s="222"/>
      <c r="W66" s="226"/>
    </row>
    <row r="67" spans="1:23" s="293" customFormat="1" ht="14.25" thickBot="1">
      <c r="A67" s="476" t="s">
        <v>275</v>
      </c>
      <c r="B67" s="477"/>
      <c r="C67" s="477"/>
      <c r="D67" s="477"/>
      <c r="E67" s="477"/>
      <c r="F67" s="284">
        <v>1437</v>
      </c>
      <c r="G67" s="285">
        <v>135418415.41</v>
      </c>
      <c r="H67" s="286">
        <v>20154229</v>
      </c>
      <c r="I67" s="301">
        <f>G67/H67</f>
        <v>6.71910671502244</v>
      </c>
      <c r="J67" s="287"/>
      <c r="K67" s="288"/>
      <c r="L67" s="289"/>
      <c r="M67" s="284"/>
      <c r="N67" s="285"/>
      <c r="O67" s="286"/>
      <c r="P67" s="290"/>
      <c r="Q67" s="291"/>
      <c r="R67" s="287">
        <v>81561095.7</v>
      </c>
      <c r="S67" s="288">
        <v>12720031</v>
      </c>
      <c r="T67" s="289">
        <f>SUM(S67/H67)</f>
        <v>0.6311345871876319</v>
      </c>
      <c r="U67" s="292"/>
      <c r="V67" s="286"/>
      <c r="W67" s="290"/>
    </row>
  </sheetData>
  <mergeCells count="2">
    <mergeCell ref="A66:E66"/>
    <mergeCell ref="A67:E67"/>
  </mergeCells>
  <printOptions/>
  <pageMargins left="0.75" right="0.75" top="1" bottom="1" header="0.5" footer="0.5"/>
  <pageSetup horizontalDpi="300" verticalDpi="300" orientation="portrait" paperSize="9" r:id="rId2"/>
  <ignoredErrors>
    <ignoredError sqref="B3 B7 B11 B20" twoDigitTextYear="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Antrakt Sinema Gazetesi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Weekly Box Office</dc:title>
  <dc:subject>Türkiye Seyirci Raporları</dc:subject>
  <dc:creator>Deniz Yavuz</dc:creator>
  <cp:keywords/>
  <dc:description/>
  <cp:lastModifiedBy>Sadi Çilingir</cp:lastModifiedBy>
  <cp:lastPrinted>2007-04-13T15:04:33Z</cp:lastPrinted>
  <dcterms:created xsi:type="dcterms:W3CDTF">2006-03-17T12:24:26Z</dcterms:created>
  <dcterms:modified xsi:type="dcterms:W3CDTF">2007-06-01T18:41:21Z</dcterms:modified>
  <cp:category/>
  <cp:version/>
  <cp:contentType/>
  <cp:contentStatus/>
</cp:coreProperties>
</file>