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15480" windowHeight="11640" tabRatio="808" activeTab="0"/>
  </bookViews>
  <sheets>
    <sheet name="09 - 15 Mar' (WK 11)" sheetId="1" r:id="rId1"/>
    <sheet name="29 Dec' - 15 Mar'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0">'09 - 15 Mar'' (WK 11)'!$A$1:$O$97</definedName>
    <definedName name="_xlnm.Print_Area" localSheetId="1">'29 Dec' - 15 Mar' (Annual)'!$A$1:$J$81</definedName>
  </definedNames>
  <calcPr fullCalcOnLoad="1"/>
</workbook>
</file>

<file path=xl/sharedStrings.xml><?xml version="1.0" encoding="utf-8"?>
<sst xmlns="http://schemas.openxmlformats.org/spreadsheetml/2006/main" count="1710" uniqueCount="342">
  <si>
    <t>Avg. Ticket</t>
  </si>
  <si>
    <t>Title</t>
  </si>
  <si>
    <t>Release
Date</t>
  </si>
  <si>
    <t># of
Prints</t>
  </si>
  <si>
    <t>Week</t>
  </si>
  <si>
    <t>Cumulative</t>
  </si>
  <si>
    <t>G.B.O.</t>
  </si>
  <si>
    <t>Adm.</t>
  </si>
  <si>
    <t>Avg.
Ticket</t>
  </si>
  <si>
    <t xml:space="preserve">Avg.
Ticket </t>
  </si>
  <si>
    <t># of
Screen</t>
  </si>
  <si>
    <t>WARNER BROS.</t>
  </si>
  <si>
    <t>OZEN FILM</t>
  </si>
  <si>
    <t>CINEMEDYA</t>
  </si>
  <si>
    <t>YENI SINEMACILAR</t>
  </si>
  <si>
    <t>GARFIELD 2</t>
  </si>
  <si>
    <t>VANITY FAIR</t>
  </si>
  <si>
    <t>TEXAS CHAINSAW MASSACRE: THE BEGINNING</t>
  </si>
  <si>
    <t>Weeks in Release</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</si>
  <si>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</si>
  <si>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1</t>
  </si>
  <si>
    <t>DEVIL WEARS PRADA, THE</t>
  </si>
  <si>
    <t>ARAF</t>
  </si>
  <si>
    <t>BIR FILM</t>
  </si>
  <si>
    <t>ALLEGRO</t>
  </si>
  <si>
    <t>CELLULOID</t>
  </si>
  <si>
    <t>CARS</t>
  </si>
  <si>
    <t>WILD BUNCH</t>
  </si>
  <si>
    <t># of Films</t>
  </si>
  <si>
    <t>LOCAL FILMS</t>
  </si>
  <si>
    <t>FOREIGN FILMS</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</si>
  <si>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</si>
  <si>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SAW 3</t>
  </si>
  <si>
    <t>LIMON</t>
  </si>
  <si>
    <t>VOLVER</t>
  </si>
  <si>
    <t>BABEL</t>
  </si>
  <si>
    <t>GOOD YEAR, A</t>
  </si>
  <si>
    <t>2</t>
  </si>
  <si>
    <t>SPOT</t>
  </si>
  <si>
    <t>TMC</t>
  </si>
  <si>
    <t>PRINCES</t>
  </si>
  <si>
    <t>CASINO ROYALE</t>
  </si>
  <si>
    <t>TIM'S</t>
  </si>
  <si>
    <t>HARSH TIMES</t>
  </si>
  <si>
    <t>U.I.P.</t>
  </si>
  <si>
    <t>KENDA</t>
  </si>
  <si>
    <t>UMUT SANAT</t>
  </si>
  <si>
    <t>*Sorted according to Week Total G.B.O. - Haftalık toplam hasılat sütununa göre sıralanmıştır.</t>
  </si>
  <si>
    <t>MEDYAVIZYON</t>
  </si>
  <si>
    <t>LAST WEEK</t>
  </si>
  <si>
    <t>TOTAL</t>
  </si>
  <si>
    <t>DISTRIBUTORS CHART</t>
  </si>
  <si>
    <t>HOODWINKED</t>
  </si>
  <si>
    <t>Company</t>
  </si>
  <si>
    <t>Distributor</t>
  </si>
  <si>
    <t>UNP</t>
  </si>
  <si>
    <t>WB</t>
  </si>
  <si>
    <t>UIP</t>
  </si>
  <si>
    <t>OZEN</t>
  </si>
  <si>
    <t>FOX</t>
  </si>
  <si>
    <t>BUENA VISTA</t>
  </si>
  <si>
    <t>COLUMBIA</t>
  </si>
  <si>
    <t>FOCUS</t>
  </si>
  <si>
    <t>UNIVERSAL</t>
  </si>
  <si>
    <t>CHANTIER</t>
  </si>
  <si>
    <t>PARAMOUNT</t>
  </si>
  <si>
    <t>OZEN - UMUT</t>
  </si>
  <si>
    <t>U.N.P.</t>
  </si>
  <si>
    <t>R FILM</t>
  </si>
  <si>
    <t>TIGLON</t>
  </si>
  <si>
    <t>WEINSTEIN CO.</t>
  </si>
  <si>
    <t>FIDA</t>
  </si>
  <si>
    <t>Weekly Movie Magazine Antrakt Presents - Haftalık Antrakt Sinema Gazetesi Sunar</t>
  </si>
  <si>
    <t>35 MILIM</t>
  </si>
  <si>
    <t>BARBAR FILM</t>
  </si>
  <si>
    <t>DONDURMAM GAYMAK</t>
  </si>
  <si>
    <t>HERMES</t>
  </si>
  <si>
    <t>HAYATIMIN KADINISIN</t>
  </si>
  <si>
    <t>FLAGS OF OUR FATHERS</t>
  </si>
  <si>
    <t>TAKVA</t>
  </si>
  <si>
    <t>BORAT</t>
  </si>
  <si>
    <t>CHILDREN OF MEN</t>
  </si>
  <si>
    <t>SINAV</t>
  </si>
  <si>
    <t>HOWL'S MOVING CASTLE</t>
  </si>
  <si>
    <t>TEXAS CHAINSAW MASSACRE, THE</t>
  </si>
  <si>
    <t>PATHE</t>
  </si>
  <si>
    <t>-</t>
  </si>
  <si>
    <t>FROSTBITE</t>
  </si>
  <si>
    <t>This Week's Total</t>
  </si>
  <si>
    <t>Films</t>
  </si>
  <si>
    <t>Admission</t>
  </si>
  <si>
    <t>GRUDGE 2</t>
  </si>
  <si>
    <t>BARNYARD</t>
  </si>
  <si>
    <t>BIR F. - DFGS</t>
  </si>
  <si>
    <t>WIND THAT SHAKES THE BARLEY, THE</t>
  </si>
  <si>
    <t>TRANSYLVANIA</t>
  </si>
  <si>
    <t>HOKKABAZ</t>
  </si>
  <si>
    <t>BKM</t>
  </si>
  <si>
    <t>TRUST</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</si>
  <si>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</si>
  <si>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SCIENCE OF SLEEP, THE</t>
  </si>
  <si>
    <t>GAUMONT</t>
  </si>
  <si>
    <t>TAPAS</t>
  </si>
  <si>
    <t>ASKD</t>
  </si>
  <si>
    <t>PRESTIGE</t>
  </si>
  <si>
    <t>ANT BULLY</t>
  </si>
  <si>
    <t>OVER THE HEDGE</t>
  </si>
  <si>
    <t>Screen Avg. (Adm.)</t>
  </si>
  <si>
    <t>Release Date</t>
  </si>
  <si>
    <t>Week in Release</t>
  </si>
  <si>
    <t>Avg. Ticket Price</t>
  </si>
  <si>
    <t>G.B.O. YTL</t>
  </si>
  <si>
    <t>FLUSHED AWAY</t>
  </si>
  <si>
    <t>ERAGON</t>
  </si>
  <si>
    <t>STRANGER THAN FICTION</t>
  </si>
  <si>
    <t>MARATHON</t>
  </si>
  <si>
    <t>QUINCEANERA</t>
  </si>
  <si>
    <t>ARTHUR AND THE MINIMOYS</t>
  </si>
  <si>
    <t>BOSS OF IT ALL, THE</t>
  </si>
  <si>
    <t>OPEN SEASON</t>
  </si>
  <si>
    <t>EX YEARS LOCAL RELEASES</t>
  </si>
  <si>
    <t>EX YEARS FOREIGN RELEASES</t>
  </si>
  <si>
    <t>KÜÇÜK KIYAMET</t>
  </si>
  <si>
    <t>DÜNYAYI KURTARAN ADAM'IN OĞLU</t>
  </si>
  <si>
    <t>BEYNELMİLEL</t>
  </si>
  <si>
    <t>97</t>
  </si>
  <si>
    <t>EVE GİDEN YOL 1914</t>
  </si>
  <si>
    <t>NIGHT AT THE MUSEUM</t>
  </si>
  <si>
    <t>CENNETİ BEKLERKEN</t>
  </si>
  <si>
    <t>İLK AŞK</t>
  </si>
  <si>
    <t>ÇİNLİLER GELİYOR</t>
  </si>
  <si>
    <t>PERA</t>
  </si>
  <si>
    <t>EVE DÖNÜŞ</t>
  </si>
  <si>
    <t>YOU, ME AND DUPREE</t>
  </si>
  <si>
    <t>ŞAŞKIN</t>
  </si>
  <si>
    <t>GRAND TOTAL OF 2007</t>
  </si>
  <si>
    <t>D PRODUCTIONS</t>
  </si>
  <si>
    <t>CERTI BAMBINI</t>
  </si>
  <si>
    <t>BELGE FILM</t>
  </si>
  <si>
    <t>January</t>
  </si>
  <si>
    <t>29-04</t>
  </si>
  <si>
    <t>Küçük Kıyamet</t>
  </si>
  <si>
    <t>05-11</t>
  </si>
  <si>
    <t>DEJA VU</t>
  </si>
  <si>
    <t>SCHOOL FOR SCOUNDRELS</t>
  </si>
  <si>
    <t>FILMPOP</t>
  </si>
  <si>
    <t>IBERIA</t>
  </si>
  <si>
    <t>RETURN, THE</t>
  </si>
  <si>
    <t>SHI GAN</t>
  </si>
  <si>
    <t>CINECLICK</t>
  </si>
  <si>
    <t>LORD OF THE RINGS 3, THE</t>
  </si>
  <si>
    <t>NEW LINE</t>
  </si>
  <si>
    <t>LORD OF THE RINGS 2, THE</t>
  </si>
  <si>
    <t>LORD OF THE RINGS 1, THE</t>
  </si>
  <si>
    <t>KADER</t>
  </si>
  <si>
    <t>MAVI</t>
  </si>
  <si>
    <t>STONE COUNCIL, THE</t>
  </si>
  <si>
    <t>MISSION: IMPOSSIBLE 3</t>
  </si>
  <si>
    <t>KNALLHART</t>
  </si>
  <si>
    <t>MARS</t>
  </si>
  <si>
    <t>FEARLESS</t>
  </si>
  <si>
    <t>SILENT HILL</t>
  </si>
  <si>
    <t>Deja Vu</t>
  </si>
  <si>
    <t>BIR F. - CINEMEDYA</t>
  </si>
  <si>
    <t>LITTLE CHILDREN</t>
  </si>
  <si>
    <t>30</t>
  </si>
  <si>
    <t>MAN OF THE YEAR</t>
  </si>
  <si>
    <t>EVERYONE'S HERO</t>
  </si>
  <si>
    <t>12:08 EAST OF BUCHAREST</t>
  </si>
  <si>
    <t>PARADISE NOW</t>
  </si>
  <si>
    <t>ROBOTS</t>
  </si>
  <si>
    <t>PINK PANTHER</t>
  </si>
  <si>
    <t>WOLF CREEK</t>
  </si>
  <si>
    <t>UNUTULMAYANLAR</t>
  </si>
  <si>
    <t>AKADEMI</t>
  </si>
  <si>
    <t>CLICK</t>
  </si>
  <si>
    <t>CRANK</t>
  </si>
  <si>
    <t>ÖZEN</t>
  </si>
  <si>
    <t>12-18</t>
  </si>
  <si>
    <t>Maskeli Beşler I.R.A.K</t>
  </si>
  <si>
    <t>HOLIDAY, THE</t>
  </si>
  <si>
    <t>19-25</t>
  </si>
  <si>
    <t>Son Osmanlı "Yandım Ali"</t>
  </si>
  <si>
    <t>MASKELİ BEŞLER I.R.A.K</t>
  </si>
  <si>
    <t>SON OSMANLI "YANDIM ALİ"</t>
  </si>
  <si>
    <t>EMRET KOMUTANIM ŞAH MAT</t>
  </si>
  <si>
    <t>ALTIOKLAR</t>
  </si>
  <si>
    <t>UMUT - OZEN</t>
  </si>
  <si>
    <t>GUIDE TO RECOGNIZING YOUR SAINTS, A</t>
  </si>
  <si>
    <t>FIRST LOOK</t>
  </si>
  <si>
    <t>HAPPY FEET</t>
  </si>
  <si>
    <t>MK2</t>
  </si>
  <si>
    <t>BITTERSWEET LIFE, A</t>
  </si>
  <si>
    <t>EFLATUN</t>
  </si>
  <si>
    <t>C.R.A.Z.Y.</t>
  </si>
  <si>
    <t>FILMS DIST.</t>
  </si>
  <si>
    <t>ETERNAL SUNSHINE OF THE SPOTLESS MIND</t>
  </si>
  <si>
    <t>GRAND VOYAGE, LE</t>
  </si>
  <si>
    <t>PYRAMIDE</t>
  </si>
  <si>
    <t>HOTEL RWANDA</t>
  </si>
  <si>
    <t>LIONS GATE</t>
  </si>
  <si>
    <t>İKLİMLER</t>
  </si>
  <si>
    <t>CO PRODUCTION</t>
  </si>
  <si>
    <t>KARDAN ADAMLAR</t>
  </si>
  <si>
    <t>PROJE</t>
  </si>
  <si>
    <t>CELLULOID D.</t>
  </si>
  <si>
    <t>VA, VIE &amp; DEVIENS</t>
  </si>
  <si>
    <t>BIR F. - ERMAN F.</t>
  </si>
  <si>
    <t>26-01</t>
  </si>
  <si>
    <t>February</t>
  </si>
  <si>
    <t>Çılgın Dersane</t>
  </si>
  <si>
    <t>one week</t>
  </si>
  <si>
    <t>IRREVERSIBLE</t>
  </si>
  <si>
    <t>EXCEPTION</t>
  </si>
  <si>
    <t>TOMB RAIDER 2</t>
  </si>
  <si>
    <t>MUTUAL</t>
  </si>
  <si>
    <t>DREAMERS, THE</t>
  </si>
  <si>
    <t xml:space="preserve">UMUT SANAT </t>
  </si>
  <si>
    <t>HANWAY</t>
  </si>
  <si>
    <t>SECRET THINGS</t>
  </si>
  <si>
    <t>STRAY DOGS</t>
  </si>
  <si>
    <t>BAMBI 2</t>
  </si>
  <si>
    <t>FATELESS</t>
  </si>
  <si>
    <t>H20</t>
  </si>
  <si>
    <t>COMBIEN TU M'AIMES</t>
  </si>
  <si>
    <t>13 (TZAMETI)</t>
  </si>
  <si>
    <t>AMERİKALILAR KARADENİZ'DE 2</t>
  </si>
  <si>
    <t>ENERGY</t>
  </si>
  <si>
    <t>163</t>
  </si>
  <si>
    <t>BLOOD DIAMOND</t>
  </si>
  <si>
    <t>9</t>
  </si>
  <si>
    <t>02-08</t>
  </si>
  <si>
    <t>JOYEUX NOEL</t>
  </si>
  <si>
    <t>LES TEXTILES</t>
  </si>
  <si>
    <t>REEKER, THE</t>
  </si>
  <si>
    <t>STOLEN EYES</t>
  </si>
  <si>
    <t>YAKA FILM</t>
  </si>
  <si>
    <t>BARDA</t>
  </si>
  <si>
    <t>FILMAKAR</t>
  </si>
  <si>
    <t>55</t>
  </si>
  <si>
    <t>FILM POP</t>
  </si>
  <si>
    <t>INCONVENIENT TRUTH, AN</t>
  </si>
  <si>
    <t>MISTRESS OF SPICES</t>
  </si>
  <si>
    <t>JOSHUA THE JEW</t>
  </si>
  <si>
    <t>09-15</t>
  </si>
  <si>
    <t>ÇILGIN DERSANE</t>
  </si>
  <si>
    <t>YOUNG HANNIBAL</t>
  </si>
  <si>
    <t>NEŞELİ GENÇLİK</t>
  </si>
  <si>
    <t>DEREN</t>
  </si>
  <si>
    <t>BLACK DAHLIA, THE</t>
  </si>
  <si>
    <t>LE GRAND VOYAGE</t>
  </si>
  <si>
    <t>MAVI FILM</t>
  </si>
  <si>
    <t>16-22</t>
  </si>
  <si>
    <t>SEPTEMBER 11</t>
  </si>
  <si>
    <t>BABAM VE OĞLUM</t>
  </si>
  <si>
    <t>AVSAR</t>
  </si>
  <si>
    <t>SEX &amp; PHILOSOPHY</t>
  </si>
  <si>
    <t>ICE AGE 2: THE MELTDOWN</t>
  </si>
  <si>
    <t>NIGHT LISTENER, THE</t>
  </si>
  <si>
    <t>SCANNER DARKLY, A</t>
  </si>
  <si>
    <t>POLİS</t>
  </si>
  <si>
    <t>SHARK BAIT</t>
  </si>
  <si>
    <t>PERFUME: THE STORY OF A MURDERER</t>
  </si>
  <si>
    <t>PAINTED VEIL, THE</t>
  </si>
  <si>
    <t>ARZU - FIDA</t>
  </si>
  <si>
    <t>QUEEN, THE</t>
  </si>
  <si>
    <t>10</t>
  </si>
  <si>
    <t>GHOST RIDER</t>
  </si>
  <si>
    <t>AKSOY</t>
  </si>
  <si>
    <t>Hayalet Sürücü</t>
  </si>
  <si>
    <t>23-01</t>
  </si>
  <si>
    <t>GOMEDA</t>
  </si>
  <si>
    <t>DREAMGIRLS</t>
  </si>
  <si>
    <t>SİS VE GECE</t>
  </si>
  <si>
    <t>KARA FILM</t>
  </si>
  <si>
    <t>LETTERS FROM IWO JIMA</t>
  </si>
  <si>
    <t>5</t>
  </si>
  <si>
    <t>MILLIONS</t>
  </si>
  <si>
    <t>BEŞ VAKİT</t>
  </si>
  <si>
    <t>ATLANTIK</t>
  </si>
  <si>
    <t>PURSUIT OF HAPPYNESS</t>
  </si>
  <si>
    <t xml:space="preserve">KNALLHART </t>
  </si>
  <si>
    <t>March</t>
  </si>
  <si>
    <t>065 FILMS SHOWN</t>
  </si>
  <si>
    <t>23 Numara</t>
  </si>
  <si>
    <t>SAME PERIOD IN 2006</t>
  </si>
  <si>
    <t>GENESIS</t>
  </si>
  <si>
    <t>STUDIO CANAL</t>
  </si>
  <si>
    <t>COMME T'Y ES BELLE</t>
  </si>
  <si>
    <t>EUROPA</t>
  </si>
  <si>
    <t>DEPARTED, THE</t>
  </si>
  <si>
    <t>365 times</t>
  </si>
  <si>
    <t>6</t>
  </si>
  <si>
    <t>8</t>
  </si>
  <si>
    <t>ROMANTİK</t>
  </si>
  <si>
    <t xml:space="preserve">PLATO </t>
  </si>
  <si>
    <t>98</t>
  </si>
  <si>
    <t>ADEM'İN TRENLERİ</t>
  </si>
  <si>
    <t>91</t>
  </si>
  <si>
    <t>UGLY DUCKLING AND ME, THE</t>
  </si>
  <si>
    <t>74</t>
  </si>
  <si>
    <t>NOTES ON A SCANDAL</t>
  </si>
  <si>
    <t>LAST KING OF SCOTLAND, THE</t>
  </si>
  <si>
    <t>62</t>
  </si>
  <si>
    <t>11</t>
  </si>
  <si>
    <r>
      <t xml:space="preserve">2007 Türkiye Annual Box Office Report  </t>
    </r>
    <r>
      <rPr>
        <sz val="16"/>
        <color indexed="9"/>
        <rFont val="Impact"/>
        <family val="2"/>
      </rPr>
      <t>29 Dec' '06 - 15 Mar' '07</t>
    </r>
  </si>
  <si>
    <r>
      <t>2007 Türkiye Ex Years Releases Annual Box Office Report</t>
    </r>
    <r>
      <rPr>
        <sz val="26"/>
        <color indexed="9"/>
        <rFont val="Impact"/>
        <family val="2"/>
      </rPr>
      <t xml:space="preserve">  </t>
    </r>
    <r>
      <rPr>
        <sz val="16"/>
        <color indexed="9"/>
        <rFont val="Impact"/>
        <family val="2"/>
      </rPr>
      <t>29 Dec' 06 - 15 Mar' '07</t>
    </r>
  </si>
  <si>
    <t>*Dağıtımcı firmalardan Barbar Film ve R Film bu hafta film  dağıtmamıştır.</t>
  </si>
  <si>
    <t>068 FILMS SHOWN</t>
  </si>
  <si>
    <t>MAVİ GÖZLÜ DEV</t>
  </si>
  <si>
    <t>ENERGY - SINEVIZYON</t>
  </si>
  <si>
    <t>66</t>
  </si>
  <si>
    <t>NUMBER 23, THE</t>
  </si>
  <si>
    <t>GOOD SHEPERD, A</t>
  </si>
  <si>
    <t>ALPHA DOG</t>
  </si>
  <si>
    <t>BİR İHTİMAL DAHA VAR</t>
  </si>
  <si>
    <t>CINEMEDYA - ESEK</t>
  </si>
  <si>
    <t>96</t>
  </si>
  <si>
    <t>IFR</t>
  </si>
  <si>
    <t>94</t>
  </si>
  <si>
    <t>PRA</t>
  </si>
  <si>
    <t>LIVES OF OTHERS, THE</t>
  </si>
  <si>
    <t>BETA FILM</t>
  </si>
  <si>
    <t>57</t>
  </si>
  <si>
    <t>18'LER TAKIMI</t>
  </si>
  <si>
    <t>BREAKING AND ENTERING</t>
  </si>
  <si>
    <t>45</t>
  </si>
  <si>
    <t>3</t>
  </si>
  <si>
    <t>4</t>
  </si>
  <si>
    <t>MOTORCYCLE DIARIES, THE</t>
  </si>
  <si>
    <t>AVSAR FILM</t>
  </si>
  <si>
    <t>YENİ SİNEMACILAR</t>
  </si>
  <si>
    <t>7</t>
  </si>
  <si>
    <t>NEW FRANCE</t>
  </si>
  <si>
    <t>27</t>
  </si>
  <si>
    <t>JE NE SUIS PAS LA POUR ETRE AIME</t>
  </si>
  <si>
    <t>REZO</t>
  </si>
  <si>
    <t>PRESTIGE, THE</t>
  </si>
  <si>
    <t>PASSION OF JOSHUA THE JEW, THE</t>
  </si>
  <si>
    <t>14</t>
  </si>
  <si>
    <t>17</t>
  </si>
  <si>
    <t>Mavi Gözlü Dev</t>
  </si>
</sst>
</file>

<file path=xl/styles.xml><?xml version="1.0" encoding="utf-8"?>
<styleSheet xmlns="http://schemas.openxmlformats.org/spreadsheetml/2006/main">
  <numFmts count="5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s>
  <fonts count="50">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b/>
      <sz val="10"/>
      <name val="Century Gothic"/>
      <family val="2"/>
    </font>
    <font>
      <sz val="10"/>
      <name val="Impact"/>
      <family val="2"/>
    </font>
    <font>
      <sz val="14"/>
      <name val="Arial"/>
      <family val="2"/>
    </font>
    <font>
      <sz val="40"/>
      <color indexed="9"/>
      <name val="Impact"/>
      <family val="2"/>
    </font>
    <font>
      <sz val="26"/>
      <color indexed="9"/>
      <name val="Impact"/>
      <family val="2"/>
    </font>
    <font>
      <sz val="20"/>
      <color indexed="9"/>
      <name val="Impact"/>
      <family val="2"/>
    </font>
    <font>
      <sz val="16"/>
      <color indexed="9"/>
      <name val="Impact"/>
      <family val="2"/>
    </font>
    <font>
      <b/>
      <sz val="8"/>
      <name val="Trebuchet MS"/>
      <family val="0"/>
    </font>
    <font>
      <sz val="8"/>
      <name val="Trebuchet MS"/>
      <family val="2"/>
    </font>
    <font>
      <b/>
      <sz val="10"/>
      <name val="Arial"/>
      <family val="2"/>
    </font>
    <font>
      <sz val="20"/>
      <name val="Impact"/>
      <family val="2"/>
    </font>
    <font>
      <sz val="10"/>
      <name val="Trebuchet MS"/>
      <family val="2"/>
    </font>
    <font>
      <i/>
      <sz val="9"/>
      <name val="Arial"/>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sz val="40"/>
      <color indexed="9"/>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b/>
      <sz val="11"/>
      <name val="Arial"/>
      <family val="0"/>
    </font>
    <font>
      <b/>
      <sz val="9"/>
      <name val="Trebuchet MS"/>
      <family val="2"/>
    </font>
    <font>
      <sz val="9"/>
      <name val="Arial"/>
      <family val="0"/>
    </font>
    <font>
      <sz val="9"/>
      <name val="Trebuchet MS"/>
      <family val="2"/>
    </font>
    <font>
      <b/>
      <sz val="9"/>
      <name val="Arial Narrow"/>
      <family val="2"/>
    </font>
    <font>
      <b/>
      <sz val="11"/>
      <color indexed="9"/>
      <name val="Century Gothic"/>
      <family val="2"/>
    </font>
    <font>
      <sz val="26"/>
      <name val="Arial"/>
      <family val="0"/>
    </font>
    <font>
      <i/>
      <sz val="10"/>
      <name val="Arial"/>
      <family val="2"/>
    </font>
    <font>
      <b/>
      <sz val="14"/>
      <name val="Impact"/>
      <family val="2"/>
    </font>
    <font>
      <b/>
      <sz val="14"/>
      <name val="Arial"/>
      <family val="2"/>
    </font>
    <font>
      <sz val="10"/>
      <color indexed="9"/>
      <name val="Arial"/>
      <family val="0"/>
    </font>
    <font>
      <b/>
      <sz val="8"/>
      <color indexed="9"/>
      <name val="Trebuchet MS"/>
      <family val="0"/>
    </font>
    <font>
      <b/>
      <sz val="10"/>
      <name val="Trebuchet MS"/>
      <family val="2"/>
    </font>
    <font>
      <sz val="20"/>
      <color indexed="42"/>
      <name val="GoudyLight"/>
      <family val="0"/>
    </font>
    <font>
      <b/>
      <u val="single"/>
      <sz val="10"/>
      <name val="Arial"/>
      <family val="2"/>
    </font>
    <font>
      <sz val="7"/>
      <name val="Impact"/>
      <family val="2"/>
    </font>
    <font>
      <sz val="7"/>
      <color indexed="9"/>
      <name val="Impact"/>
      <family val="2"/>
    </font>
    <font>
      <b/>
      <sz val="9"/>
      <color indexed="10"/>
      <name val="Arial Narrow"/>
      <family val="2"/>
    </font>
    <font>
      <sz val="10"/>
      <color indexed="10"/>
      <name val="Arial"/>
      <family val="0"/>
    </font>
  </fonts>
  <fills count="7">
    <fill>
      <patternFill/>
    </fill>
    <fill>
      <patternFill patternType="gray125"/>
    </fill>
    <fill>
      <patternFill patternType="solid">
        <fgColor indexed="8"/>
        <bgColor indexed="64"/>
      </patternFill>
    </fill>
    <fill>
      <patternFill patternType="solid">
        <fgColor indexed="11"/>
        <bgColor indexed="64"/>
      </patternFill>
    </fill>
    <fill>
      <patternFill patternType="solid">
        <fgColor indexed="44"/>
        <bgColor indexed="64"/>
      </patternFill>
    </fill>
    <fill>
      <patternFill patternType="solid">
        <fgColor indexed="42"/>
        <bgColor indexed="64"/>
      </patternFill>
    </fill>
    <fill>
      <patternFill patternType="solid">
        <fgColor indexed="17"/>
        <bgColor indexed="64"/>
      </patternFill>
    </fill>
  </fills>
  <borders count="50">
    <border>
      <left/>
      <right/>
      <top/>
      <bottom/>
      <diagonal/>
    </border>
    <border>
      <left style="hair"/>
      <right style="hair"/>
      <top style="hair"/>
      <bottom style="hair"/>
    </border>
    <border>
      <left style="hair"/>
      <right style="medium"/>
      <top style="hair"/>
      <bottom style="hair"/>
    </border>
    <border>
      <left style="thin"/>
      <right style="thin"/>
      <top style="medium"/>
      <bottom style="thin"/>
    </border>
    <border>
      <left style="hair"/>
      <right style="hair"/>
      <top style="hair"/>
      <bottom style="medium"/>
    </border>
    <border>
      <left>
        <color indexed="63"/>
      </left>
      <right style="hair"/>
      <top style="medium"/>
      <bottom style="hair"/>
    </border>
    <border>
      <left>
        <color indexed="63"/>
      </left>
      <right style="hair"/>
      <top style="hair"/>
      <bottom style="hair"/>
    </border>
    <border>
      <left>
        <color indexed="63"/>
      </left>
      <right style="hair"/>
      <top style="hair"/>
      <bottom style="medium"/>
    </border>
    <border>
      <left style="medium"/>
      <right style="thin"/>
      <top style="medium"/>
      <bottom style="hair"/>
    </border>
    <border>
      <left style="medium"/>
      <right style="thin"/>
      <top style="hair"/>
      <bottom style="hair"/>
    </border>
    <border>
      <left style="medium"/>
      <right style="thin"/>
      <top style="hair"/>
      <bottom style="medium"/>
    </border>
    <border>
      <left style="medium"/>
      <right style="thin"/>
      <top>
        <color indexed="63"/>
      </top>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hair"/>
      <right style="medium"/>
      <top style="hair"/>
      <bottom style="thin"/>
    </border>
    <border>
      <left style="medium"/>
      <right>
        <color indexed="63"/>
      </right>
      <top style="medium"/>
      <bottom>
        <color indexed="63"/>
      </bottom>
    </border>
    <border>
      <left style="medium"/>
      <right>
        <color indexed="63"/>
      </right>
      <top>
        <color indexed="63"/>
      </top>
      <bottom style="medium"/>
    </border>
    <border>
      <left style="thin"/>
      <right style="thin"/>
      <top style="thin"/>
      <bottom>
        <color indexed="63"/>
      </bottom>
    </border>
    <border>
      <left style="medium"/>
      <right>
        <color indexed="63"/>
      </right>
      <top>
        <color indexed="63"/>
      </top>
      <bottom>
        <color indexed="63"/>
      </bottom>
    </border>
    <border>
      <left style="medium"/>
      <right>
        <color indexed="63"/>
      </right>
      <top style="hair"/>
      <bottom style="hair"/>
    </border>
    <border>
      <left style="hair"/>
      <right style="medium"/>
      <top>
        <color indexed="63"/>
      </top>
      <bottom style="hair"/>
    </border>
    <border>
      <left style="medium"/>
      <right style="hair"/>
      <top style="hair"/>
      <bottom style="hair"/>
    </border>
    <border>
      <left style="medium"/>
      <right style="hair"/>
      <top style="hair"/>
      <bottom style="medium"/>
    </border>
    <border>
      <left style="hair"/>
      <right style="medium"/>
      <top style="hair"/>
      <bottom style="medium"/>
    </border>
    <border>
      <left style="hair"/>
      <right style="hair"/>
      <top style="medium"/>
      <bottom style="hair"/>
    </border>
    <border>
      <left style="hair"/>
      <right>
        <color indexed="63"/>
      </right>
      <top style="hair"/>
      <bottom style="hair"/>
    </border>
    <border>
      <left style="hair"/>
      <right>
        <color indexed="63"/>
      </right>
      <top>
        <color indexed="63"/>
      </top>
      <bottom style="hair"/>
    </border>
    <border>
      <left style="hair"/>
      <right style="medium"/>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style="hair"/>
      <top style="medium"/>
      <bottom style="hair"/>
    </border>
    <border>
      <left style="medium"/>
      <right>
        <color indexed="63"/>
      </right>
      <top>
        <color indexed="63"/>
      </top>
      <bottom style="hair"/>
    </border>
    <border>
      <left style="medium"/>
      <right>
        <color indexed="63"/>
      </right>
      <top style="hair"/>
      <bottom style="thin"/>
    </border>
    <border>
      <left style="thin"/>
      <right style="medium"/>
      <top style="thin"/>
      <bottom>
        <color indexed="63"/>
      </bottom>
    </border>
    <border>
      <left style="medium"/>
      <right style="hair"/>
      <top>
        <color indexed="63"/>
      </top>
      <bottom style="hair"/>
    </border>
    <border>
      <left style="medium"/>
      <right style="hair"/>
      <top style="hair"/>
      <bottom style="thin"/>
    </border>
    <border>
      <left>
        <color indexed="63"/>
      </left>
      <right style="medium"/>
      <top>
        <color indexed="63"/>
      </top>
      <bottom>
        <color indexed="63"/>
      </bottom>
    </border>
    <border>
      <left style="thin"/>
      <right style="medium"/>
      <top style="medium"/>
      <bottom style="thin"/>
    </border>
    <border>
      <left style="thin"/>
      <right style="thin"/>
      <top style="medium"/>
      <bottom>
        <color indexed="63"/>
      </bottom>
    </border>
    <border>
      <left style="thin"/>
      <right style="thin"/>
      <top>
        <color indexed="63"/>
      </top>
      <bottom>
        <color indexed="63"/>
      </bottom>
    </border>
    <border>
      <left style="medium"/>
      <right>
        <color indexed="63"/>
      </right>
      <top style="medium"/>
      <bottom style="hair"/>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73">
    <xf numFmtId="0" fontId="0" fillId="0" borderId="0" xfId="0" applyAlignment="1">
      <alignment/>
    </xf>
    <xf numFmtId="43" fontId="3" fillId="0" borderId="0" xfId="15"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protection locked="0"/>
    </xf>
    <xf numFmtId="0" fontId="13" fillId="0" borderId="0"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13" fillId="0" borderId="0" xfId="0" applyNumberFormat="1" applyFont="1" applyFill="1" applyBorder="1" applyAlignment="1" applyProtection="1">
      <alignment horizontal="center" vertical="center"/>
      <protection locked="0"/>
    </xf>
    <xf numFmtId="184" fontId="7"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xf>
    <xf numFmtId="0" fontId="13" fillId="0"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187" fontId="4" fillId="0" borderId="0" xfId="0" applyNumberFormat="1" applyFont="1" applyFill="1" applyBorder="1" applyAlignment="1" applyProtection="1">
      <alignment horizontal="right" vertical="center"/>
      <protection/>
    </xf>
    <xf numFmtId="187" fontId="13" fillId="0" borderId="0" xfId="0" applyNumberFormat="1" applyFont="1" applyFill="1" applyBorder="1" applyAlignment="1" applyProtection="1">
      <alignment horizontal="right" vertical="center"/>
      <protection locked="0"/>
    </xf>
    <xf numFmtId="187" fontId="7" fillId="0" borderId="0" xfId="0" applyNumberFormat="1" applyFont="1" applyFill="1" applyBorder="1" applyAlignment="1" applyProtection="1">
      <alignment horizontal="right" vertical="center"/>
      <protection locked="0"/>
    </xf>
    <xf numFmtId="193" fontId="4" fillId="0" borderId="0" xfId="0" applyNumberFormat="1" applyFont="1" applyFill="1" applyBorder="1" applyAlignment="1" applyProtection="1">
      <alignment horizontal="right" vertical="center"/>
      <protection/>
    </xf>
    <xf numFmtId="192" fontId="13" fillId="0" borderId="0" xfId="0" applyNumberFormat="1" applyFont="1" applyFill="1" applyBorder="1" applyAlignment="1" applyProtection="1">
      <alignment vertical="center"/>
      <protection locked="0"/>
    </xf>
    <xf numFmtId="0" fontId="14" fillId="0" borderId="0" xfId="0" applyFont="1" applyBorder="1" applyAlignment="1">
      <alignment horizontal="center" vertical="center"/>
    </xf>
    <xf numFmtId="187" fontId="12" fillId="0" borderId="0" xfId="0" applyNumberFormat="1" applyFont="1" applyFill="1" applyBorder="1" applyAlignment="1" applyProtection="1">
      <alignment horizontal="center" vertical="center"/>
      <protection locked="0"/>
    </xf>
    <xf numFmtId="192" fontId="3" fillId="0" borderId="0" xfId="0" applyNumberFormat="1" applyFont="1" applyFill="1" applyBorder="1" applyAlignment="1" applyProtection="1">
      <alignment vertical="center"/>
      <protection/>
    </xf>
    <xf numFmtId="192" fontId="7" fillId="0" borderId="0" xfId="0" applyNumberFormat="1" applyFont="1" applyFill="1" applyBorder="1" applyAlignment="1" applyProtection="1">
      <alignment vertical="center"/>
      <protection locked="0"/>
    </xf>
    <xf numFmtId="0" fontId="16" fillId="0" borderId="0"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vertical="center"/>
      <protection locked="0"/>
    </xf>
    <xf numFmtId="0" fontId="19" fillId="2" borderId="1" xfId="0" applyFont="1" applyFill="1" applyBorder="1" applyAlignment="1">
      <alignment vertical="center"/>
    </xf>
    <xf numFmtId="184" fontId="19" fillId="2" borderId="1" xfId="0" applyNumberFormat="1" applyFont="1" applyFill="1" applyBorder="1" applyAlignment="1">
      <alignment horizontal="center" vertical="center"/>
    </xf>
    <xf numFmtId="0" fontId="19" fillId="2" borderId="1" xfId="0" applyFont="1" applyFill="1" applyBorder="1" applyAlignment="1">
      <alignment horizontal="center" vertical="center"/>
    </xf>
    <xf numFmtId="3" fontId="19" fillId="2" borderId="1" xfId="0" applyNumberFormat="1" applyFont="1" applyFill="1" applyBorder="1" applyAlignment="1">
      <alignment horizontal="center" vertical="center"/>
    </xf>
    <xf numFmtId="192" fontId="19" fillId="2" borderId="1" xfId="0" applyNumberFormat="1" applyFont="1" applyFill="1" applyBorder="1" applyAlignment="1">
      <alignment vertical="center"/>
    </xf>
    <xf numFmtId="193" fontId="12" fillId="0" borderId="0" xfId="0" applyNumberFormat="1" applyFont="1" applyFill="1" applyBorder="1" applyAlignment="1" applyProtection="1">
      <alignment horizontal="right" vertical="center"/>
      <protection locked="0"/>
    </xf>
    <xf numFmtId="193" fontId="13" fillId="0" borderId="0" xfId="0" applyNumberFormat="1" applyFont="1" applyFill="1" applyBorder="1" applyAlignment="1" applyProtection="1">
      <alignment horizontal="right" vertical="center"/>
      <protection locked="0"/>
    </xf>
    <xf numFmtId="193" fontId="3" fillId="0" borderId="0" xfId="0" applyNumberFormat="1" applyFont="1" applyFill="1" applyBorder="1" applyAlignment="1" applyProtection="1">
      <alignment horizontal="right" vertical="center"/>
      <protection/>
    </xf>
    <xf numFmtId="193" fontId="19" fillId="2" borderId="1" xfId="0" applyNumberFormat="1" applyFont="1" applyFill="1" applyBorder="1" applyAlignment="1">
      <alignment horizontal="right" vertical="center"/>
    </xf>
    <xf numFmtId="193" fontId="7" fillId="0" borderId="0"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horizontal="center" vertical="center" wrapText="1"/>
      <protection locked="0"/>
    </xf>
    <xf numFmtId="187" fontId="19" fillId="2" borderId="1" xfId="0" applyNumberFormat="1" applyFont="1" applyFill="1" applyBorder="1" applyAlignment="1">
      <alignment horizontal="right" vertical="center"/>
    </xf>
    <xf numFmtId="187" fontId="13" fillId="0" borderId="0" xfId="15" applyNumberFormat="1" applyFont="1" applyFill="1" applyBorder="1" applyAlignment="1" applyProtection="1">
      <alignment horizontal="right" vertical="center"/>
      <protection/>
    </xf>
    <xf numFmtId="192" fontId="3" fillId="0" borderId="0" xfId="0" applyNumberFormat="1" applyFont="1" applyFill="1" applyBorder="1" applyAlignment="1" applyProtection="1">
      <alignment horizontal="right" vertical="center"/>
      <protection/>
    </xf>
    <xf numFmtId="192" fontId="19" fillId="2" borderId="2" xfId="0" applyNumberFormat="1" applyFont="1" applyFill="1" applyBorder="1" applyAlignment="1">
      <alignment horizontal="right" vertical="center"/>
    </xf>
    <xf numFmtId="192" fontId="13" fillId="0" borderId="0" xfId="0" applyNumberFormat="1" applyFont="1" applyFill="1" applyBorder="1" applyAlignment="1" applyProtection="1">
      <alignment horizontal="right" vertical="center"/>
      <protection locked="0"/>
    </xf>
    <xf numFmtId="192" fontId="7" fillId="0" borderId="0" xfId="0" applyNumberFormat="1" applyFont="1" applyFill="1" applyBorder="1" applyAlignment="1" applyProtection="1">
      <alignment horizontal="right" vertical="center"/>
      <protection locked="0"/>
    </xf>
    <xf numFmtId="187" fontId="22" fillId="0" borderId="0" xfId="0" applyNumberFormat="1" applyFont="1" applyFill="1" applyBorder="1" applyAlignment="1" applyProtection="1">
      <alignment horizontal="right" vertical="center"/>
      <protection/>
    </xf>
    <xf numFmtId="187" fontId="18" fillId="2" borderId="1" xfId="0" applyNumberFormat="1" applyFont="1" applyFill="1" applyBorder="1" applyAlignment="1">
      <alignment horizontal="right" vertical="center"/>
    </xf>
    <xf numFmtId="187" fontId="23" fillId="0" borderId="0" xfId="0" applyNumberFormat="1" applyFont="1" applyFill="1" applyBorder="1" applyAlignment="1" applyProtection="1">
      <alignment horizontal="right" vertical="center"/>
      <protection locked="0"/>
    </xf>
    <xf numFmtId="187" fontId="24"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26" fillId="0" borderId="0" xfId="0" applyNumberFormat="1" applyFont="1" applyFill="1" applyBorder="1" applyAlignment="1" applyProtection="1">
      <alignment horizontal="right" vertical="center"/>
      <protection/>
    </xf>
    <xf numFmtId="1" fontId="26" fillId="0" borderId="0" xfId="0" applyNumberFormat="1" applyFont="1" applyFill="1" applyBorder="1" applyAlignment="1" applyProtection="1">
      <alignment horizontal="right" vertical="center"/>
      <protection locked="0"/>
    </xf>
    <xf numFmtId="0" fontId="29" fillId="0" borderId="3" xfId="0" applyNumberFormat="1" applyFont="1" applyFill="1" applyBorder="1" applyAlignment="1" applyProtection="1">
      <alignment horizontal="center" vertical="center" wrapText="1"/>
      <protection/>
    </xf>
    <xf numFmtId="4" fontId="32" fillId="0" borderId="1" xfId="0" applyNumberFormat="1" applyFont="1" applyFill="1" applyBorder="1" applyAlignment="1" applyProtection="1">
      <alignment horizontal="right" vertical="center" indent="1"/>
      <protection locked="0"/>
    </xf>
    <xf numFmtId="193" fontId="34" fillId="0" borderId="1" xfId="0" applyNumberFormat="1" applyFont="1" applyFill="1" applyBorder="1" applyAlignment="1" applyProtection="1">
      <alignment horizontal="right" vertical="center" indent="1"/>
      <protection locked="0"/>
    </xf>
    <xf numFmtId="4" fontId="32" fillId="0" borderId="4" xfId="0" applyNumberFormat="1" applyFont="1" applyFill="1" applyBorder="1" applyAlignment="1" applyProtection="1">
      <alignment horizontal="right" vertical="center" indent="1"/>
      <protection locked="0"/>
    </xf>
    <xf numFmtId="193" fontId="34" fillId="0" borderId="4" xfId="0" applyNumberFormat="1" applyFont="1" applyFill="1" applyBorder="1" applyAlignment="1" applyProtection="1">
      <alignment horizontal="right" vertical="center" indent="1"/>
      <protection locked="0"/>
    </xf>
    <xf numFmtId="0" fontId="32" fillId="0" borderId="5" xfId="0" applyFont="1" applyFill="1" applyBorder="1" applyAlignment="1" applyProtection="1">
      <alignment horizontal="center" vertical="center"/>
      <protection locked="0"/>
    </xf>
    <xf numFmtId="0" fontId="34" fillId="0" borderId="6" xfId="0" applyFont="1" applyFill="1" applyBorder="1" applyAlignment="1" applyProtection="1">
      <alignment horizontal="right" vertical="center"/>
      <protection locked="0"/>
    </xf>
    <xf numFmtId="0" fontId="34" fillId="0" borderId="7" xfId="0" applyFont="1" applyFill="1" applyBorder="1" applyAlignment="1" applyProtection="1">
      <alignment horizontal="right" vertical="center"/>
      <protection locked="0"/>
    </xf>
    <xf numFmtId="1" fontId="35" fillId="0" borderId="8" xfId="0" applyNumberFormat="1" applyFont="1" applyFill="1" applyBorder="1" applyAlignment="1" applyProtection="1">
      <alignment horizontal="right" vertical="center"/>
      <protection locked="0"/>
    </xf>
    <xf numFmtId="1" fontId="35" fillId="0" borderId="9" xfId="0" applyNumberFormat="1" applyFont="1" applyFill="1" applyBorder="1" applyAlignment="1" applyProtection="1">
      <alignment horizontal="right" vertical="center"/>
      <protection/>
    </xf>
    <xf numFmtId="1" fontId="35" fillId="0" borderId="10" xfId="0" applyNumberFormat="1" applyFont="1" applyFill="1" applyBorder="1" applyAlignment="1" applyProtection="1">
      <alignment horizontal="right" vertical="center"/>
      <protection/>
    </xf>
    <xf numFmtId="1" fontId="35" fillId="0" borderId="11" xfId="0" applyNumberFormat="1" applyFont="1" applyFill="1" applyBorder="1" applyAlignment="1" applyProtection="1">
      <alignment horizontal="right" vertical="center"/>
      <protection/>
    </xf>
    <xf numFmtId="0" fontId="34" fillId="0" borderId="12" xfId="0" applyFont="1" applyFill="1" applyBorder="1" applyAlignment="1" applyProtection="1">
      <alignment horizontal="right" vertical="center"/>
      <protection locked="0"/>
    </xf>
    <xf numFmtId="4" fontId="32" fillId="0" borderId="13" xfId="0" applyNumberFormat="1" applyFont="1" applyFill="1" applyBorder="1" applyAlignment="1" applyProtection="1">
      <alignment horizontal="right" vertical="center" indent="1"/>
      <protection locked="0"/>
    </xf>
    <xf numFmtId="193" fontId="34" fillId="0" borderId="13" xfId="0" applyNumberFormat="1" applyFont="1" applyFill="1" applyBorder="1" applyAlignment="1" applyProtection="1">
      <alignment horizontal="right" vertical="center" indent="1"/>
      <protection locked="0"/>
    </xf>
    <xf numFmtId="1" fontId="35" fillId="0" borderId="14" xfId="0" applyNumberFormat="1" applyFont="1" applyFill="1" applyBorder="1" applyAlignment="1" applyProtection="1">
      <alignment horizontal="right" vertical="center"/>
      <protection locked="0"/>
    </xf>
    <xf numFmtId="0" fontId="32" fillId="0" borderId="15" xfId="0" applyFont="1" applyFill="1" applyBorder="1" applyAlignment="1" applyProtection="1">
      <alignment horizontal="center" vertical="center"/>
      <protection locked="0"/>
    </xf>
    <xf numFmtId="184" fontId="32" fillId="0" borderId="16" xfId="0" applyNumberFormat="1" applyFont="1" applyFill="1" applyBorder="1" applyAlignment="1" applyProtection="1">
      <alignment horizontal="center" vertical="center"/>
      <protection locked="0"/>
    </xf>
    <xf numFmtId="0" fontId="32" fillId="0" borderId="16" xfId="0" applyFont="1" applyFill="1" applyBorder="1" applyAlignment="1" applyProtection="1">
      <alignment horizontal="center" vertical="center"/>
      <protection locked="0"/>
    </xf>
    <xf numFmtId="0" fontId="32" fillId="0" borderId="17" xfId="0" applyNumberFormat="1" applyFont="1" applyFill="1" applyBorder="1" applyAlignment="1" applyProtection="1">
      <alignment horizontal="center" vertical="center" wrapText="1"/>
      <protection locked="0"/>
    </xf>
    <xf numFmtId="0" fontId="0" fillId="0" borderId="0" xfId="0" applyAlignment="1">
      <alignment vertical="center" readingOrder="1"/>
    </xf>
    <xf numFmtId="0" fontId="0" fillId="0" borderId="0" xfId="0" applyAlignment="1">
      <alignment horizontal="right" vertical="center"/>
    </xf>
    <xf numFmtId="1" fontId="28" fillId="0" borderId="18" xfId="0" applyNumberFormat="1" applyFont="1" applyFill="1" applyBorder="1" applyAlignment="1" applyProtection="1">
      <alignment horizontal="center" vertical="center" wrapText="1"/>
      <protection/>
    </xf>
    <xf numFmtId="1" fontId="30" fillId="0" borderId="19" xfId="0" applyNumberFormat="1" applyFont="1" applyFill="1" applyBorder="1" applyAlignment="1" applyProtection="1">
      <alignment horizontal="center" vertical="center" wrapText="1"/>
      <protection/>
    </xf>
    <xf numFmtId="187" fontId="29" fillId="0" borderId="20" xfId="0" applyNumberFormat="1" applyFont="1" applyFill="1" applyBorder="1" applyAlignment="1" applyProtection="1">
      <alignment horizontal="center" vertical="center" wrapText="1"/>
      <protection/>
    </xf>
    <xf numFmtId="193" fontId="29" fillId="0" borderId="20" xfId="0" applyNumberFormat="1" applyFont="1" applyFill="1" applyBorder="1" applyAlignment="1" applyProtection="1">
      <alignment horizontal="center" vertical="center" wrapText="1"/>
      <protection/>
    </xf>
    <xf numFmtId="0" fontId="20" fillId="0" borderId="0" xfId="0" applyFont="1" applyBorder="1" applyAlignment="1">
      <alignment vertical="center"/>
    </xf>
    <xf numFmtId="0" fontId="29"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187" fontId="14" fillId="0" borderId="0" xfId="0" applyNumberFormat="1" applyFont="1" applyFill="1" applyBorder="1" applyAlignment="1">
      <alignment horizontal="right" vertical="center"/>
    </xf>
    <xf numFmtId="192" fontId="0" fillId="0" borderId="0" xfId="0" applyNumberFormat="1" applyFont="1" applyFill="1" applyBorder="1" applyAlignment="1">
      <alignment horizontal="right" vertical="center" indent="1"/>
    </xf>
    <xf numFmtId="0" fontId="0" fillId="0" borderId="0" xfId="0" applyBorder="1" applyAlignment="1">
      <alignment vertical="center"/>
    </xf>
    <xf numFmtId="187" fontId="14" fillId="0" borderId="0" xfId="0" applyNumberFormat="1" applyFont="1" applyBorder="1" applyAlignment="1">
      <alignment horizontal="right" vertical="center"/>
    </xf>
    <xf numFmtId="192" fontId="0" fillId="0" borderId="0" xfId="0" applyNumberFormat="1" applyBorder="1" applyAlignment="1">
      <alignment horizontal="right" vertical="center" indent="1"/>
    </xf>
    <xf numFmtId="0" fontId="0" fillId="0" borderId="0" xfId="0" applyBorder="1" applyAlignment="1">
      <alignment horizontal="right" vertical="center" wrapText="1"/>
    </xf>
    <xf numFmtId="0" fontId="26" fillId="0" borderId="0" xfId="0" applyFont="1" applyFill="1" applyBorder="1" applyAlignment="1">
      <alignment horizontal="right" vertical="center"/>
    </xf>
    <xf numFmtId="0" fontId="26" fillId="0" borderId="0" xfId="0" applyFont="1" applyBorder="1" applyAlignment="1">
      <alignment horizontal="right" vertical="center"/>
    </xf>
    <xf numFmtId="193" fontId="39" fillId="0" borderId="0" xfId="0" applyNumberFormat="1" applyFont="1" applyFill="1" applyBorder="1" applyAlignment="1" applyProtection="1">
      <alignment horizontal="right" vertical="center"/>
      <protection/>
    </xf>
    <xf numFmtId="193" fontId="18" fillId="2" borderId="1" xfId="0" applyNumberFormat="1" applyFont="1" applyFill="1" applyBorder="1" applyAlignment="1">
      <alignment horizontal="right" vertical="center"/>
    </xf>
    <xf numFmtId="193" fontId="40" fillId="0" borderId="0" xfId="0" applyNumberFormat="1" applyFont="1" applyFill="1" applyBorder="1" applyAlignment="1" applyProtection="1">
      <alignment horizontal="right" vertical="center"/>
      <protection locked="0"/>
    </xf>
    <xf numFmtId="0" fontId="26" fillId="0" borderId="18" xfId="0" applyFont="1" applyFill="1" applyBorder="1" applyAlignment="1">
      <alignment horizontal="center" vertical="center"/>
    </xf>
    <xf numFmtId="0" fontId="27" fillId="0" borderId="19" xfId="0" applyFont="1" applyFill="1" applyBorder="1" applyAlignment="1">
      <alignment horizontal="center" vertical="center"/>
    </xf>
    <xf numFmtId="193" fontId="14" fillId="0" borderId="0" xfId="0" applyNumberFormat="1" applyFont="1" applyFill="1" applyBorder="1" applyAlignment="1">
      <alignment horizontal="right" vertical="center" indent="1"/>
    </xf>
    <xf numFmtId="193" fontId="14" fillId="0" borderId="0" xfId="0" applyNumberFormat="1" applyFont="1" applyBorder="1" applyAlignment="1">
      <alignment horizontal="right" vertical="center" indent="1"/>
    </xf>
    <xf numFmtId="0" fontId="29" fillId="0" borderId="18" xfId="0" applyFont="1" applyFill="1" applyBorder="1" applyAlignment="1">
      <alignment horizontal="center" vertical="center"/>
    </xf>
    <xf numFmtId="0" fontId="29" fillId="0" borderId="20" xfId="0" applyNumberFormat="1" applyFont="1" applyFill="1" applyBorder="1" applyAlignment="1">
      <alignment horizontal="center" wrapText="1"/>
    </xf>
    <xf numFmtId="0" fontId="36" fillId="0" borderId="21" xfId="0" applyFont="1" applyFill="1" applyBorder="1" applyAlignment="1">
      <alignment horizontal="center" vertical="center"/>
    </xf>
    <xf numFmtId="1" fontId="26" fillId="0" borderId="22" xfId="0" applyNumberFormat="1" applyFont="1" applyFill="1" applyBorder="1" applyAlignment="1" applyProtection="1">
      <alignment horizontal="right" vertical="center"/>
      <protection/>
    </xf>
    <xf numFmtId="0" fontId="0" fillId="0" borderId="0" xfId="0" applyBorder="1" applyAlignment="1">
      <alignment horizontal="center" vertical="center" wrapText="1"/>
    </xf>
    <xf numFmtId="184" fontId="19" fillId="2" borderId="13" xfId="0" applyNumberFormat="1" applyFont="1" applyFill="1" applyBorder="1" applyAlignment="1">
      <alignment horizontal="center" vertical="center"/>
    </xf>
    <xf numFmtId="0" fontId="19" fillId="2" borderId="13" xfId="0" applyFont="1" applyFill="1" applyBorder="1" applyAlignment="1">
      <alignment horizontal="center" vertical="center"/>
    </xf>
    <xf numFmtId="0" fontId="19" fillId="2" borderId="13" xfId="0" applyFont="1" applyFill="1" applyBorder="1" applyAlignment="1">
      <alignment vertical="center"/>
    </xf>
    <xf numFmtId="3" fontId="19" fillId="2" borderId="13" xfId="0" applyNumberFormat="1" applyFont="1" applyFill="1" applyBorder="1" applyAlignment="1">
      <alignment horizontal="center" vertical="center"/>
    </xf>
    <xf numFmtId="187" fontId="18" fillId="2" borderId="13" xfId="0" applyNumberFormat="1" applyFont="1" applyFill="1" applyBorder="1" applyAlignment="1">
      <alignment horizontal="right" vertical="center"/>
    </xf>
    <xf numFmtId="193" fontId="18" fillId="2" borderId="13" xfId="0" applyNumberFormat="1" applyFont="1" applyFill="1" applyBorder="1" applyAlignment="1">
      <alignment horizontal="right" vertical="center"/>
    </xf>
    <xf numFmtId="193" fontId="19" fillId="2" borderId="13" xfId="0" applyNumberFormat="1" applyFont="1" applyFill="1" applyBorder="1" applyAlignment="1">
      <alignment horizontal="right" vertical="center"/>
    </xf>
    <xf numFmtId="192" fontId="19" fillId="2" borderId="13" xfId="0" applyNumberFormat="1" applyFont="1" applyFill="1" applyBorder="1" applyAlignment="1">
      <alignment vertical="center"/>
    </xf>
    <xf numFmtId="187" fontId="19" fillId="2" borderId="13" xfId="0" applyNumberFormat="1" applyFont="1" applyFill="1" applyBorder="1" applyAlignment="1">
      <alignment horizontal="right" vertical="center"/>
    </xf>
    <xf numFmtId="192" fontId="19" fillId="2" borderId="23" xfId="0" applyNumberFormat="1" applyFont="1" applyFill="1" applyBorder="1" applyAlignment="1">
      <alignment horizontal="right" vertical="center"/>
    </xf>
    <xf numFmtId="0" fontId="42" fillId="0" borderId="0" xfId="0" applyFont="1" applyFill="1" applyBorder="1" applyAlignment="1" applyProtection="1">
      <alignment vertical="center"/>
      <protection locked="0"/>
    </xf>
    <xf numFmtId="184" fontId="16" fillId="0" borderId="1" xfId="0" applyNumberFormat="1" applyFont="1" applyFill="1" applyBorder="1" applyAlignment="1" applyProtection="1">
      <alignment horizontal="center" vertical="center"/>
      <protection locked="0"/>
    </xf>
    <xf numFmtId="184" fontId="16" fillId="0" borderId="1" xfId="0" applyNumberFormat="1" applyFont="1" applyFill="1" applyBorder="1" applyAlignment="1">
      <alignment horizontal="center" vertical="center"/>
    </xf>
    <xf numFmtId="0" fontId="16" fillId="0" borderId="1" xfId="0" applyFont="1" applyFill="1" applyBorder="1" applyAlignment="1">
      <alignment horizontal="center" vertical="center"/>
    </xf>
    <xf numFmtId="184" fontId="16" fillId="0" borderId="1" xfId="0" applyNumberFormat="1" applyFont="1" applyFill="1" applyBorder="1" applyAlignment="1" applyProtection="1">
      <alignment horizontal="center" vertical="center"/>
      <protection/>
    </xf>
    <xf numFmtId="3" fontId="16" fillId="0" borderId="1" xfId="0" applyNumberFormat="1" applyFont="1" applyFill="1" applyBorder="1" applyAlignment="1">
      <alignment horizontal="center" vertical="center"/>
    </xf>
    <xf numFmtId="0" fontId="16" fillId="0" borderId="24" xfId="0" applyFont="1" applyFill="1" applyBorder="1" applyAlignment="1" applyProtection="1">
      <alignment horizontal="left" vertical="center"/>
      <protection/>
    </xf>
    <xf numFmtId="193" fontId="43" fillId="0" borderId="1" xfId="0" applyNumberFormat="1" applyFont="1" applyFill="1" applyBorder="1" applyAlignment="1">
      <alignment horizontal="right" vertical="center"/>
    </xf>
    <xf numFmtId="0" fontId="14" fillId="0" borderId="0" xfId="0" applyFont="1" applyBorder="1" applyAlignment="1">
      <alignment horizontal="right" vertical="center" wrapText="1"/>
    </xf>
    <xf numFmtId="0" fontId="14" fillId="0" borderId="0" xfId="0" applyFont="1" applyAlignment="1">
      <alignment horizontal="right" vertical="center"/>
    </xf>
    <xf numFmtId="0" fontId="14" fillId="0" borderId="0" xfId="0" applyFont="1" applyAlignment="1">
      <alignment vertical="center" readingOrder="1"/>
    </xf>
    <xf numFmtId="0" fontId="16" fillId="0" borderId="1" xfId="0" applyFont="1" applyFill="1" applyBorder="1" applyAlignment="1" applyProtection="1">
      <alignment horizontal="left" vertical="center"/>
      <protection locked="0"/>
    </xf>
    <xf numFmtId="184" fontId="16" fillId="0" borderId="1" xfId="0" applyNumberFormat="1" applyFont="1" applyFill="1" applyBorder="1" applyAlignment="1" applyProtection="1">
      <alignment horizontal="left" vertical="center"/>
      <protection locked="0"/>
    </xf>
    <xf numFmtId="0" fontId="16" fillId="0" borderId="1" xfId="0" applyFont="1" applyFill="1" applyBorder="1" applyAlignment="1">
      <alignment horizontal="left" vertical="center"/>
    </xf>
    <xf numFmtId="49" fontId="16" fillId="0" borderId="1" xfId="0" applyNumberFormat="1" applyFont="1" applyFill="1" applyBorder="1" applyAlignment="1" applyProtection="1">
      <alignment horizontal="left" vertical="center"/>
      <protection locked="0"/>
    </xf>
    <xf numFmtId="0" fontId="16" fillId="0" borderId="1" xfId="0" applyFont="1" applyFill="1" applyBorder="1" applyAlignment="1" applyProtection="1">
      <alignment horizontal="left" vertical="center"/>
      <protection/>
    </xf>
    <xf numFmtId="49" fontId="16" fillId="0" borderId="1" xfId="0" applyNumberFormat="1" applyFont="1" applyFill="1" applyBorder="1" applyAlignment="1">
      <alignment horizontal="left" vertical="center"/>
    </xf>
    <xf numFmtId="197" fontId="16" fillId="0" borderId="1" xfId="0" applyNumberFormat="1" applyFont="1" applyFill="1" applyBorder="1" applyAlignment="1">
      <alignment horizontal="left" vertical="center"/>
    </xf>
    <xf numFmtId="0" fontId="41" fillId="0" borderId="0" xfId="0" applyFont="1" applyFill="1" applyBorder="1" applyAlignment="1">
      <alignment horizontal="center"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6" fillId="0" borderId="0" xfId="0" applyFont="1" applyFill="1" applyBorder="1" applyAlignment="1">
      <alignment horizontal="center" vertical="center"/>
    </xf>
    <xf numFmtId="0" fontId="18" fillId="2" borderId="1" xfId="0" applyFont="1" applyFill="1" applyBorder="1" applyAlignment="1">
      <alignment horizontal="center" vertical="center"/>
    </xf>
    <xf numFmtId="3" fontId="18" fillId="2" borderId="1" xfId="0" applyNumberFormat="1" applyFont="1" applyFill="1" applyBorder="1" applyAlignment="1">
      <alignment horizontal="center" vertical="center"/>
    </xf>
    <xf numFmtId="0" fontId="43" fillId="0" borderId="1" xfId="0" applyFont="1" applyFill="1" applyBorder="1" applyAlignment="1">
      <alignment horizontal="center" vertical="center"/>
    </xf>
    <xf numFmtId="0" fontId="0" fillId="2" borderId="1" xfId="0" applyFont="1" applyFill="1" applyBorder="1" applyAlignment="1">
      <alignment horizontal="center" vertical="center"/>
    </xf>
    <xf numFmtId="187" fontId="43" fillId="0" borderId="1" xfId="0" applyNumberFormat="1" applyFont="1" applyFill="1" applyBorder="1" applyAlignment="1">
      <alignment horizontal="right" vertical="center"/>
    </xf>
    <xf numFmtId="193" fontId="0" fillId="0" borderId="0" xfId="0" applyNumberFormat="1" applyBorder="1" applyAlignment="1">
      <alignment horizontal="center" vertical="center"/>
    </xf>
    <xf numFmtId="193" fontId="16" fillId="0" borderId="0" xfId="0" applyNumberFormat="1" applyFont="1" applyBorder="1" applyAlignment="1">
      <alignment vertical="center"/>
    </xf>
    <xf numFmtId="193" fontId="0" fillId="0" borderId="0" xfId="0" applyNumberFormat="1" applyBorder="1" applyAlignment="1">
      <alignment vertical="center"/>
    </xf>
    <xf numFmtId="49" fontId="16" fillId="0" borderId="24" xfId="0" applyNumberFormat="1" applyFont="1" applyFill="1" applyBorder="1" applyAlignment="1" applyProtection="1">
      <alignment vertical="center"/>
      <protection locked="0"/>
    </xf>
    <xf numFmtId="0" fontId="16" fillId="0" borderId="1" xfId="0" applyFont="1" applyFill="1" applyBorder="1" applyAlignment="1">
      <alignment horizontal="left"/>
    </xf>
    <xf numFmtId="0" fontId="16" fillId="0" borderId="24" xfId="0" applyFont="1" applyFill="1" applyBorder="1" applyAlignment="1" applyProtection="1">
      <alignment vertical="center"/>
      <protection locked="0"/>
    </xf>
    <xf numFmtId="0" fontId="16" fillId="0" borderId="24" xfId="0" applyFont="1" applyFill="1" applyBorder="1" applyAlignment="1">
      <alignment horizontal="left"/>
    </xf>
    <xf numFmtId="0" fontId="16" fillId="0" borderId="24" xfId="0" applyFont="1" applyFill="1" applyBorder="1" applyAlignment="1">
      <alignment vertical="center"/>
    </xf>
    <xf numFmtId="49" fontId="16" fillId="0" borderId="24" xfId="0" applyNumberFormat="1" applyFont="1" applyFill="1" applyBorder="1" applyAlignment="1">
      <alignment vertical="center"/>
    </xf>
    <xf numFmtId="184" fontId="16" fillId="0" borderId="1" xfId="0" applyNumberFormat="1" applyFont="1" applyFill="1" applyBorder="1" applyAlignment="1">
      <alignment horizontal="center"/>
    </xf>
    <xf numFmtId="184" fontId="0" fillId="0" borderId="0" xfId="0" applyNumberFormat="1" applyAlignment="1">
      <alignment horizontal="center" vertical="center"/>
    </xf>
    <xf numFmtId="49" fontId="34" fillId="0" borderId="13" xfId="0" applyNumberFormat="1" applyFont="1" applyFill="1" applyBorder="1" applyAlignment="1" applyProtection="1">
      <alignment horizontal="center" vertical="center"/>
      <protection locked="0"/>
    </xf>
    <xf numFmtId="49" fontId="34" fillId="0" borderId="1" xfId="0" applyNumberFormat="1" applyFont="1" applyFill="1" applyBorder="1" applyAlignment="1" applyProtection="1">
      <alignment horizontal="center" vertical="center"/>
      <protection locked="0"/>
    </xf>
    <xf numFmtId="49" fontId="34" fillId="0" borderId="4" xfId="0" applyNumberFormat="1" applyFont="1" applyFill="1" applyBorder="1" applyAlignment="1" applyProtection="1">
      <alignment horizontal="center" vertical="center"/>
      <protection locked="0"/>
    </xf>
    <xf numFmtId="193" fontId="43" fillId="0" borderId="2" xfId="15" applyNumberFormat="1" applyFont="1" applyFill="1" applyBorder="1" applyAlignment="1" applyProtection="1">
      <alignment horizontal="right" vertical="center"/>
      <protection locked="0"/>
    </xf>
    <xf numFmtId="193" fontId="43" fillId="0" borderId="2" xfId="0" applyNumberFormat="1" applyFont="1" applyFill="1" applyBorder="1" applyAlignment="1">
      <alignment horizontal="right"/>
    </xf>
    <xf numFmtId="193" fontId="43" fillId="0" borderId="2" xfId="15" applyNumberFormat="1" applyFont="1" applyFill="1" applyBorder="1" applyAlignment="1" applyProtection="1">
      <alignment horizontal="right" vertical="center"/>
      <protection/>
    </xf>
    <xf numFmtId="193" fontId="43" fillId="0" borderId="2" xfId="0" applyNumberFormat="1" applyFont="1" applyFill="1" applyBorder="1" applyAlignment="1">
      <alignment horizontal="right" vertical="center"/>
    </xf>
    <xf numFmtId="193" fontId="43" fillId="0" borderId="2" xfId="0" applyNumberFormat="1" applyFont="1" applyFill="1" applyBorder="1" applyAlignment="1" applyProtection="1">
      <alignment horizontal="right" vertical="center"/>
      <protection/>
    </xf>
    <xf numFmtId="193" fontId="43" fillId="0" borderId="2" xfId="0" applyNumberFormat="1" applyFont="1" applyFill="1" applyBorder="1" applyAlignment="1" applyProtection="1">
      <alignment horizontal="right" vertical="center"/>
      <protection locked="0"/>
    </xf>
    <xf numFmtId="192" fontId="16" fillId="0" borderId="2" xfId="0" applyNumberFormat="1" applyFont="1" applyBorder="1" applyAlignment="1">
      <alignment vertical="center"/>
    </xf>
    <xf numFmtId="192" fontId="18" fillId="2" borderId="2" xfId="0" applyNumberFormat="1" applyFont="1" applyFill="1" applyBorder="1" applyAlignment="1">
      <alignment horizontal="center" vertical="center"/>
    </xf>
    <xf numFmtId="0" fontId="43" fillId="0" borderId="24" xfId="0" applyFont="1" applyFill="1" applyBorder="1" applyAlignment="1">
      <alignment horizontal="right" vertical="center"/>
    </xf>
    <xf numFmtId="0" fontId="26" fillId="2" borderId="24" xfId="0" applyFont="1" applyFill="1" applyBorder="1" applyAlignment="1">
      <alignment horizontal="center" vertical="center"/>
    </xf>
    <xf numFmtId="0" fontId="43" fillId="3" borderId="25" xfId="0" applyFont="1" applyFill="1" applyBorder="1" applyAlignment="1">
      <alignment vertical="center"/>
    </xf>
    <xf numFmtId="0" fontId="43" fillId="3" borderId="4" xfId="0" applyFont="1" applyFill="1" applyBorder="1" applyAlignment="1">
      <alignment vertical="center"/>
    </xf>
    <xf numFmtId="187" fontId="43" fillId="3" borderId="4" xfId="0" applyNumberFormat="1" applyFont="1" applyFill="1" applyBorder="1" applyAlignment="1">
      <alignment vertical="center"/>
    </xf>
    <xf numFmtId="193" fontId="43" fillId="3" borderId="4" xfId="0" applyNumberFormat="1" applyFont="1" applyFill="1" applyBorder="1" applyAlignment="1">
      <alignment vertical="center"/>
    </xf>
    <xf numFmtId="192" fontId="43" fillId="3" borderId="26" xfId="0" applyNumberFormat="1" applyFont="1" applyFill="1" applyBorder="1" applyAlignment="1">
      <alignment vertical="center"/>
    </xf>
    <xf numFmtId="193" fontId="14" fillId="0" borderId="0" xfId="0" applyNumberFormat="1" applyFont="1" applyFill="1" applyBorder="1" applyAlignment="1">
      <alignment horizontal="right" vertical="center"/>
    </xf>
    <xf numFmtId="193" fontId="14" fillId="0" borderId="0" xfId="0" applyNumberFormat="1" applyFont="1" applyBorder="1" applyAlignment="1">
      <alignment horizontal="right" vertical="center"/>
    </xf>
    <xf numFmtId="193" fontId="14" fillId="0" borderId="0" xfId="0" applyNumberFormat="1" applyFont="1" applyBorder="1" applyAlignment="1">
      <alignment horizontal="right" vertical="center" wrapText="1"/>
    </xf>
    <xf numFmtId="193" fontId="14" fillId="0" borderId="0" xfId="0" applyNumberFormat="1" applyFont="1" applyAlignment="1">
      <alignment/>
    </xf>
    <xf numFmtId="0" fontId="32" fillId="0" borderId="0" xfId="0" applyFont="1" applyFill="1" applyBorder="1" applyAlignment="1" applyProtection="1">
      <alignment horizontal="center" vertical="center"/>
      <protection locked="0"/>
    </xf>
    <xf numFmtId="0" fontId="32" fillId="0" borderId="0" xfId="0" applyNumberFormat="1" applyFont="1" applyFill="1" applyBorder="1" applyAlignment="1" applyProtection="1">
      <alignment horizontal="center" vertical="center"/>
      <protection locked="0"/>
    </xf>
    <xf numFmtId="0" fontId="16" fillId="0" borderId="1" xfId="0" applyNumberFormat="1" applyFont="1" applyFill="1" applyBorder="1" applyAlignment="1">
      <alignment horizontal="left" vertical="center"/>
    </xf>
    <xf numFmtId="0" fontId="16" fillId="0" borderId="1" xfId="0" applyNumberFormat="1" applyFont="1" applyFill="1" applyBorder="1" applyAlignment="1" applyProtection="1">
      <alignment horizontal="left" vertical="center"/>
      <protection locked="0"/>
    </xf>
    <xf numFmtId="0" fontId="16" fillId="0" borderId="1"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vertical="center"/>
      <protection locked="0"/>
    </xf>
    <xf numFmtId="0" fontId="16" fillId="0" borderId="24" xfId="0" applyNumberFormat="1" applyFont="1" applyFill="1" applyBorder="1" applyAlignment="1">
      <alignment vertical="center"/>
    </xf>
    <xf numFmtId="0" fontId="16" fillId="0" borderId="24" xfId="0" applyNumberFormat="1" applyFont="1" applyFill="1" applyBorder="1" applyAlignment="1" applyProtection="1">
      <alignment vertical="center"/>
      <protection/>
    </xf>
    <xf numFmtId="184" fontId="16" fillId="0" borderId="27" xfId="0" applyNumberFormat="1" applyFont="1" applyFill="1" applyBorder="1" applyAlignment="1">
      <alignment horizontal="center" vertical="center"/>
    </xf>
    <xf numFmtId="0" fontId="27" fillId="0" borderId="21" xfId="0" applyFont="1" applyFill="1" applyBorder="1" applyAlignment="1">
      <alignment horizontal="center" vertical="center"/>
    </xf>
    <xf numFmtId="0" fontId="18" fillId="2" borderId="13" xfId="0" applyFont="1" applyFill="1" applyBorder="1" applyAlignment="1">
      <alignment horizontal="center" vertical="center"/>
    </xf>
    <xf numFmtId="3" fontId="18" fillId="2" borderId="13" xfId="0" applyNumberFormat="1" applyFont="1" applyFill="1" applyBorder="1" applyAlignment="1">
      <alignment horizontal="center" vertical="center"/>
    </xf>
    <xf numFmtId="187" fontId="18" fillId="2" borderId="13" xfId="0" applyNumberFormat="1" applyFont="1" applyFill="1" applyBorder="1" applyAlignment="1">
      <alignment horizontal="center" vertical="center"/>
    </xf>
    <xf numFmtId="193" fontId="18" fillId="2" borderId="13" xfId="0" applyNumberFormat="1" applyFont="1" applyFill="1" applyBorder="1" applyAlignment="1">
      <alignment horizontal="center" vertical="center"/>
    </xf>
    <xf numFmtId="192" fontId="18" fillId="2" borderId="23" xfId="0" applyNumberFormat="1" applyFont="1" applyFill="1" applyBorder="1" applyAlignment="1">
      <alignment horizontal="center" vertical="center"/>
    </xf>
    <xf numFmtId="0" fontId="26" fillId="0" borderId="28" xfId="0" applyFont="1" applyFill="1" applyBorder="1" applyAlignment="1" applyProtection="1">
      <alignment horizontal="right" vertical="center"/>
      <protection/>
    </xf>
    <xf numFmtId="0" fontId="43" fillId="3" borderId="4" xfId="0" applyFont="1" applyFill="1" applyBorder="1" applyAlignment="1">
      <alignment horizontal="center" vertical="center"/>
    </xf>
    <xf numFmtId="0" fontId="26" fillId="0" borderId="22" xfId="0" applyFont="1" applyFill="1" applyBorder="1" applyAlignment="1">
      <alignment horizontal="right" vertical="center"/>
    </xf>
    <xf numFmtId="0" fontId="26" fillId="0" borderId="29" xfId="0" applyFont="1" applyFill="1" applyBorder="1" applyAlignment="1" applyProtection="1">
      <alignment horizontal="right" vertical="center"/>
      <protection/>
    </xf>
    <xf numFmtId="193" fontId="43" fillId="0" borderId="30" xfId="0" applyNumberFormat="1" applyFont="1" applyFill="1" applyBorder="1" applyAlignment="1">
      <alignment vertical="center"/>
    </xf>
    <xf numFmtId="193" fontId="43" fillId="0" borderId="2" xfId="15" applyNumberFormat="1" applyFont="1" applyFill="1" applyBorder="1" applyAlignment="1" applyProtection="1">
      <alignment vertical="center"/>
      <protection locked="0"/>
    </xf>
    <xf numFmtId="193" fontId="43" fillId="0" borderId="2" xfId="0" applyNumberFormat="1" applyFont="1" applyFill="1" applyBorder="1" applyAlignment="1">
      <alignment vertical="center"/>
    </xf>
    <xf numFmtId="193" fontId="43" fillId="0" borderId="2" xfId="15" applyNumberFormat="1" applyFont="1" applyFill="1" applyBorder="1" applyAlignment="1" applyProtection="1">
      <alignment vertical="center"/>
      <protection/>
    </xf>
    <xf numFmtId="193" fontId="43" fillId="0" borderId="2" xfId="0" applyNumberFormat="1" applyFont="1" applyFill="1" applyBorder="1" applyAlignment="1" applyProtection="1">
      <alignment vertical="center"/>
      <protection/>
    </xf>
    <xf numFmtId="193" fontId="43" fillId="0" borderId="2" xfId="0" applyNumberFormat="1" applyFont="1" applyFill="1" applyBorder="1" applyAlignment="1" applyProtection="1">
      <alignment vertical="center"/>
      <protection locked="0"/>
    </xf>
    <xf numFmtId="0" fontId="16" fillId="0" borderId="25" xfId="0" applyFont="1" applyFill="1" applyBorder="1" applyAlignment="1">
      <alignment horizontal="left"/>
    </xf>
    <xf numFmtId="184" fontId="16" fillId="0" borderId="4" xfId="0" applyNumberFormat="1" applyFont="1" applyFill="1" applyBorder="1" applyAlignment="1">
      <alignment horizontal="center"/>
    </xf>
    <xf numFmtId="0" fontId="16" fillId="0" borderId="4" xfId="0" applyFont="1" applyFill="1" applyBorder="1" applyAlignment="1">
      <alignment horizontal="left" vertical="center"/>
    </xf>
    <xf numFmtId="0" fontId="16" fillId="0" borderId="4" xfId="0" applyFont="1" applyFill="1" applyBorder="1" applyAlignment="1">
      <alignment horizontal="left"/>
    </xf>
    <xf numFmtId="193" fontId="43" fillId="0" borderId="26" xfId="0" applyNumberFormat="1" applyFont="1" applyFill="1" applyBorder="1" applyAlignment="1">
      <alignment horizontal="right"/>
    </xf>
    <xf numFmtId="0" fontId="35" fillId="4" borderId="31" xfId="0" applyFont="1" applyFill="1" applyBorder="1" applyAlignment="1">
      <alignment horizontal="right"/>
    </xf>
    <xf numFmtId="49" fontId="35" fillId="4" borderId="32" xfId="0" applyNumberFormat="1" applyFont="1" applyFill="1" applyBorder="1" applyAlignment="1">
      <alignment horizontal="right"/>
    </xf>
    <xf numFmtId="0" fontId="35" fillId="4" borderId="32" xfId="0" applyFont="1" applyFill="1" applyBorder="1" applyAlignment="1">
      <alignment/>
    </xf>
    <xf numFmtId="0" fontId="35" fillId="4" borderId="32" xfId="0" applyFont="1" applyFill="1" applyBorder="1" applyAlignment="1">
      <alignment horizontal="right"/>
    </xf>
    <xf numFmtId="0" fontId="35" fillId="4" borderId="33" xfId="0" applyFont="1" applyFill="1" applyBorder="1" applyAlignment="1">
      <alignment horizontal="right"/>
    </xf>
    <xf numFmtId="0" fontId="35" fillId="5" borderId="31" xfId="0" applyFont="1" applyFill="1" applyBorder="1" applyAlignment="1">
      <alignment horizontal="right"/>
    </xf>
    <xf numFmtId="4" fontId="35" fillId="5" borderId="32" xfId="0" applyNumberFormat="1" applyFont="1" applyFill="1" applyBorder="1" applyAlignment="1">
      <alignment horizontal="right"/>
    </xf>
    <xf numFmtId="3" fontId="35" fillId="5" borderId="33" xfId="0" applyNumberFormat="1" applyFont="1" applyFill="1" applyBorder="1" applyAlignment="1">
      <alignment horizontal="right"/>
    </xf>
    <xf numFmtId="0" fontId="35" fillId="4" borderId="31" xfId="0" applyFont="1" applyFill="1" applyBorder="1" applyAlignment="1">
      <alignment/>
    </xf>
    <xf numFmtId="4" fontId="35" fillId="4" borderId="32" xfId="0" applyNumberFormat="1" applyFont="1" applyFill="1" applyBorder="1" applyAlignment="1">
      <alignment horizontal="right"/>
    </xf>
    <xf numFmtId="3" fontId="35" fillId="4" borderId="32" xfId="0" applyNumberFormat="1" applyFont="1" applyFill="1" applyBorder="1" applyAlignment="1">
      <alignment horizontal="right"/>
    </xf>
    <xf numFmtId="10" fontId="35" fillId="4" borderId="33" xfId="0" applyNumberFormat="1" applyFont="1" applyFill="1" applyBorder="1" applyAlignment="1">
      <alignment horizontal="right"/>
    </xf>
    <xf numFmtId="3" fontId="35" fillId="5" borderId="32" xfId="0" applyNumberFormat="1" applyFont="1" applyFill="1" applyBorder="1" applyAlignment="1">
      <alignment horizontal="right"/>
    </xf>
    <xf numFmtId="10" fontId="35" fillId="5" borderId="33" xfId="0" applyNumberFormat="1" applyFont="1" applyFill="1" applyBorder="1" applyAlignment="1">
      <alignment horizontal="right"/>
    </xf>
    <xf numFmtId="0" fontId="35" fillId="5" borderId="31" xfId="0" applyFont="1" applyFill="1" applyBorder="1" applyAlignment="1">
      <alignment/>
    </xf>
    <xf numFmtId="0" fontId="35" fillId="0" borderId="0" xfId="0" applyFont="1" applyFill="1" applyAlignment="1">
      <alignment/>
    </xf>
    <xf numFmtId="0" fontId="35" fillId="4" borderId="34" xfId="0" applyFont="1" applyFill="1" applyBorder="1" applyAlignment="1">
      <alignment horizontal="right"/>
    </xf>
    <xf numFmtId="0" fontId="35" fillId="5" borderId="34" xfId="0" applyFont="1" applyFill="1" applyBorder="1" applyAlignment="1">
      <alignment horizontal="right"/>
    </xf>
    <xf numFmtId="4" fontId="35" fillId="5" borderId="34" xfId="0" applyNumberFormat="1" applyFont="1" applyFill="1" applyBorder="1" applyAlignment="1">
      <alignment horizontal="right"/>
    </xf>
    <xf numFmtId="3" fontId="35" fillId="5" borderId="34" xfId="0" applyNumberFormat="1" applyFont="1" applyFill="1" applyBorder="1" applyAlignment="1">
      <alignment horizontal="right"/>
    </xf>
    <xf numFmtId="4" fontId="35" fillId="4" borderId="34" xfId="0" applyNumberFormat="1" applyFont="1" applyFill="1" applyBorder="1" applyAlignment="1">
      <alignment horizontal="right"/>
    </xf>
    <xf numFmtId="3" fontId="35" fillId="4" borderId="34" xfId="0" applyNumberFormat="1" applyFont="1" applyFill="1" applyBorder="1" applyAlignment="1">
      <alignment horizontal="right"/>
    </xf>
    <xf numFmtId="10" fontId="35" fillId="4" borderId="34" xfId="0" applyNumberFormat="1" applyFont="1" applyFill="1" applyBorder="1" applyAlignment="1">
      <alignment horizontal="right"/>
    </xf>
    <xf numFmtId="10" fontId="35" fillId="5" borderId="34" xfId="0" applyNumberFormat="1" applyFont="1" applyFill="1" applyBorder="1" applyAlignment="1">
      <alignment horizontal="right"/>
    </xf>
    <xf numFmtId="0" fontId="35" fillId="5" borderId="34" xfId="0" applyFont="1" applyFill="1" applyBorder="1" applyAlignment="1">
      <alignment/>
    </xf>
    <xf numFmtId="0" fontId="35" fillId="4" borderId="0" xfId="0" applyFont="1" applyFill="1" applyAlignment="1">
      <alignment horizontal="right"/>
    </xf>
    <xf numFmtId="49" fontId="35" fillId="4" borderId="0" xfId="0" applyNumberFormat="1" applyFont="1" applyFill="1" applyAlignment="1">
      <alignment horizontal="right"/>
    </xf>
    <xf numFmtId="0" fontId="35" fillId="4" borderId="0" xfId="0" applyFont="1" applyFill="1" applyAlignment="1">
      <alignment/>
    </xf>
    <xf numFmtId="0" fontId="35" fillId="5" borderId="0" xfId="0" applyFont="1" applyFill="1" applyAlignment="1">
      <alignment horizontal="right"/>
    </xf>
    <xf numFmtId="4" fontId="35" fillId="5" borderId="0" xfId="0" applyNumberFormat="1" applyFont="1" applyFill="1" applyAlignment="1">
      <alignment horizontal="right"/>
    </xf>
    <xf numFmtId="3" fontId="35" fillId="5" borderId="0" xfId="0" applyNumberFormat="1" applyFont="1" applyFill="1" applyAlignment="1">
      <alignment horizontal="right"/>
    </xf>
    <xf numFmtId="4" fontId="35" fillId="4" borderId="0" xfId="0" applyNumberFormat="1" applyFont="1" applyFill="1" applyAlignment="1">
      <alignment horizontal="right"/>
    </xf>
    <xf numFmtId="3" fontId="35" fillId="4" borderId="0" xfId="0" applyNumberFormat="1" applyFont="1" applyFill="1" applyAlignment="1">
      <alignment horizontal="right"/>
    </xf>
    <xf numFmtId="10" fontId="35" fillId="4" borderId="0" xfId="0" applyNumberFormat="1" applyFont="1" applyFill="1" applyAlignment="1">
      <alignment horizontal="right"/>
    </xf>
    <xf numFmtId="10" fontId="35" fillId="5" borderId="0" xfId="0" applyNumberFormat="1" applyFont="1" applyFill="1" applyAlignment="1">
      <alignment horizontal="right"/>
    </xf>
    <xf numFmtId="0" fontId="35" fillId="5" borderId="0" xfId="0" applyFont="1" applyFill="1" applyAlignment="1">
      <alignment/>
    </xf>
    <xf numFmtId="0" fontId="16" fillId="0" borderId="24" xfId="0" applyFont="1" applyFill="1" applyBorder="1" applyAlignment="1" applyProtection="1">
      <alignment vertical="center"/>
      <protection/>
    </xf>
    <xf numFmtId="0" fontId="46" fillId="0" borderId="0" xfId="0" applyFont="1" applyFill="1" applyBorder="1" applyAlignment="1" applyProtection="1">
      <alignment vertical="center"/>
      <protection locked="0"/>
    </xf>
    <xf numFmtId="0" fontId="46" fillId="0" borderId="0" xfId="0" applyFont="1" applyFill="1" applyBorder="1" applyAlignment="1" applyProtection="1">
      <alignment vertical="center" wrapText="1"/>
      <protection locked="0"/>
    </xf>
    <xf numFmtId="0" fontId="47" fillId="0" borderId="0" xfId="0" applyFont="1" applyFill="1" applyBorder="1" applyAlignment="1" applyProtection="1">
      <alignment vertical="center"/>
      <protection locked="0"/>
    </xf>
    <xf numFmtId="192" fontId="34" fillId="0" borderId="2" xfId="0" applyNumberFormat="1" applyFont="1" applyFill="1" applyBorder="1" applyAlignment="1" applyProtection="1">
      <alignment horizontal="right" vertical="center"/>
      <protection locked="0"/>
    </xf>
    <xf numFmtId="197" fontId="16" fillId="0" borderId="27" xfId="0" applyNumberFormat="1" applyFont="1" applyFill="1" applyBorder="1" applyAlignment="1">
      <alignment horizontal="left" vertical="center"/>
    </xf>
    <xf numFmtId="49" fontId="16" fillId="0" borderId="27" xfId="0" applyNumberFormat="1" applyFont="1" applyFill="1" applyBorder="1" applyAlignment="1">
      <alignment horizontal="left" vertical="center"/>
    </xf>
    <xf numFmtId="0" fontId="16" fillId="0" borderId="24" xfId="0" applyFont="1" applyFill="1" applyBorder="1" applyAlignment="1" applyProtection="1">
      <alignment horizontal="left" vertical="center"/>
      <protection locked="0"/>
    </xf>
    <xf numFmtId="0" fontId="16" fillId="0" borderId="24" xfId="0" applyFont="1" applyFill="1" applyBorder="1" applyAlignment="1">
      <alignment horizontal="left" vertical="center"/>
    </xf>
    <xf numFmtId="49" fontId="16" fillId="0" borderId="24" xfId="0" applyNumberFormat="1" applyFont="1" applyFill="1" applyBorder="1" applyAlignment="1">
      <alignment horizontal="left" vertical="center"/>
    </xf>
    <xf numFmtId="49" fontId="16" fillId="0" borderId="24" xfId="0" applyNumberFormat="1" applyFont="1" applyFill="1" applyBorder="1" applyAlignment="1" applyProtection="1">
      <alignment horizontal="left" vertical="center"/>
      <protection locked="0"/>
    </xf>
    <xf numFmtId="200" fontId="43" fillId="0" borderId="1" xfId="0" applyNumberFormat="1" applyFont="1" applyFill="1" applyBorder="1" applyAlignment="1">
      <alignment vertical="center"/>
    </xf>
    <xf numFmtId="193" fontId="43" fillId="0" borderId="1" xfId="0" applyNumberFormat="1" applyFont="1" applyFill="1" applyBorder="1" applyAlignment="1">
      <alignment vertical="center"/>
    </xf>
    <xf numFmtId="200" fontId="43" fillId="0" borderId="1" xfId="15" applyNumberFormat="1" applyFont="1" applyFill="1" applyBorder="1" applyAlignment="1" applyProtection="1">
      <alignment vertical="center"/>
      <protection locked="0"/>
    </xf>
    <xf numFmtId="200" fontId="43" fillId="0" borderId="1" xfId="15" applyNumberFormat="1" applyFont="1" applyFill="1" applyBorder="1" applyAlignment="1" applyProtection="1">
      <alignment vertical="center"/>
      <protection/>
    </xf>
    <xf numFmtId="200" fontId="43" fillId="0" borderId="27" xfId="0" applyNumberFormat="1" applyFont="1" applyFill="1" applyBorder="1" applyAlignment="1">
      <alignment vertical="center"/>
    </xf>
    <xf numFmtId="200" fontId="43" fillId="0" borderId="1" xfId="0" applyNumberFormat="1" applyFont="1" applyFill="1" applyBorder="1" applyAlignment="1">
      <alignment horizontal="right" vertical="center"/>
    </xf>
    <xf numFmtId="200" fontId="43" fillId="0" borderId="1" xfId="15" applyNumberFormat="1" applyFont="1" applyFill="1" applyBorder="1" applyAlignment="1" applyProtection="1">
      <alignment horizontal="right" vertical="center"/>
      <protection locked="0"/>
    </xf>
    <xf numFmtId="200" fontId="43" fillId="0" borderId="1" xfId="0" applyNumberFormat="1" applyFont="1" applyFill="1" applyBorder="1" applyAlignment="1">
      <alignment horizontal="right"/>
    </xf>
    <xf numFmtId="200" fontId="43" fillId="0" borderId="1" xfId="15" applyNumberFormat="1" applyFont="1" applyFill="1" applyBorder="1" applyAlignment="1" applyProtection="1">
      <alignment horizontal="right" vertical="center"/>
      <protection/>
    </xf>
    <xf numFmtId="200" fontId="43" fillId="0" borderId="1" xfId="0" applyNumberFormat="1" applyFont="1" applyFill="1" applyBorder="1" applyAlignment="1" applyProtection="1">
      <alignment vertical="center"/>
      <protection/>
    </xf>
    <xf numFmtId="200" fontId="43" fillId="0" borderId="1" xfId="0" applyNumberFormat="1" applyFont="1" applyFill="1" applyBorder="1" applyAlignment="1" applyProtection="1">
      <alignment horizontal="right" vertical="center"/>
      <protection/>
    </xf>
    <xf numFmtId="200" fontId="43" fillId="0" borderId="1" xfId="0" applyNumberFormat="1" applyFont="1" applyFill="1" applyBorder="1" applyAlignment="1" applyProtection="1">
      <alignment vertical="center"/>
      <protection locked="0"/>
    </xf>
    <xf numFmtId="200" fontId="43" fillId="0" borderId="1" xfId="0" applyNumberFormat="1" applyFont="1" applyFill="1" applyBorder="1" applyAlignment="1" applyProtection="1">
      <alignment horizontal="right" vertical="center"/>
      <protection locked="0"/>
    </xf>
    <xf numFmtId="200" fontId="43" fillId="0" borderId="4" xfId="0" applyNumberFormat="1" applyFont="1" applyFill="1" applyBorder="1" applyAlignment="1">
      <alignment horizontal="right"/>
    </xf>
    <xf numFmtId="200" fontId="18" fillId="2" borderId="13" xfId="0" applyNumberFormat="1" applyFont="1" applyFill="1" applyBorder="1" applyAlignment="1">
      <alignment horizontal="center" vertical="center"/>
    </xf>
    <xf numFmtId="200" fontId="14" fillId="0" borderId="0" xfId="0" applyNumberFormat="1" applyFont="1" applyFill="1" applyBorder="1" applyAlignment="1">
      <alignment horizontal="center" vertical="center"/>
    </xf>
    <xf numFmtId="200" fontId="14" fillId="0" borderId="0" xfId="0" applyNumberFormat="1" applyFont="1" applyBorder="1" applyAlignment="1">
      <alignment horizontal="center" vertical="center"/>
    </xf>
    <xf numFmtId="200" fontId="14" fillId="0" borderId="0" xfId="0" applyNumberFormat="1" applyFont="1" applyBorder="1" applyAlignment="1">
      <alignment horizontal="right" vertical="center" wrapText="1"/>
    </xf>
    <xf numFmtId="200" fontId="14" fillId="0" borderId="0" xfId="0" applyNumberFormat="1" applyFont="1" applyAlignment="1">
      <alignment/>
    </xf>
    <xf numFmtId="49" fontId="16" fillId="0" borderId="1" xfId="0" applyNumberFormat="1"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protection/>
    </xf>
    <xf numFmtId="192" fontId="16" fillId="0" borderId="2" xfId="21" applyNumberFormat="1" applyFont="1" applyFill="1" applyBorder="1" applyAlignment="1" applyProtection="1">
      <alignment vertical="center"/>
      <protection/>
    </xf>
    <xf numFmtId="184" fontId="16" fillId="0" borderId="27" xfId="0" applyNumberFormat="1" applyFont="1" applyFill="1" applyBorder="1" applyAlignment="1" applyProtection="1">
      <alignment horizontal="center" vertical="center"/>
      <protection locked="0"/>
    </xf>
    <xf numFmtId="184" fontId="16" fillId="0" borderId="4" xfId="0" applyNumberFormat="1" applyFont="1" applyFill="1" applyBorder="1" applyAlignment="1">
      <alignment horizontal="center" vertical="center"/>
    </xf>
    <xf numFmtId="3" fontId="16" fillId="0" borderId="4" xfId="0" applyNumberFormat="1" applyFont="1" applyFill="1" applyBorder="1" applyAlignment="1">
      <alignment horizontal="center" vertical="center"/>
    </xf>
    <xf numFmtId="49" fontId="16" fillId="0" borderId="35" xfId="0" applyNumberFormat="1" applyFont="1" applyFill="1" applyBorder="1" applyAlignment="1">
      <alignment horizontal="left" vertical="center"/>
    </xf>
    <xf numFmtId="1" fontId="26" fillId="0" borderId="36" xfId="0" applyNumberFormat="1" applyFont="1" applyFill="1" applyBorder="1" applyAlignment="1" applyProtection="1">
      <alignment horizontal="right" vertical="center"/>
      <protection/>
    </xf>
    <xf numFmtId="1" fontId="26" fillId="0" borderId="37" xfId="0" applyNumberFormat="1" applyFont="1" applyFill="1" applyBorder="1" applyAlignment="1" applyProtection="1">
      <alignment horizontal="right" vertical="center"/>
      <protection/>
    </xf>
    <xf numFmtId="184" fontId="16" fillId="0" borderId="1" xfId="0" applyNumberFormat="1" applyFont="1" applyFill="1" applyBorder="1" applyAlignment="1" applyProtection="1">
      <alignment vertical="center"/>
      <protection locked="0"/>
    </xf>
    <xf numFmtId="0" fontId="16" fillId="0" borderId="1" xfId="0" applyFont="1" applyFill="1" applyBorder="1" applyAlignment="1" applyProtection="1">
      <alignment vertical="center"/>
      <protection locked="0"/>
    </xf>
    <xf numFmtId="0" fontId="16" fillId="0" borderId="1" xfId="0" applyFont="1" applyFill="1" applyBorder="1" applyAlignment="1">
      <alignment/>
    </xf>
    <xf numFmtId="49" fontId="16" fillId="0" borderId="1" xfId="0" applyNumberFormat="1" applyFont="1" applyFill="1" applyBorder="1" applyAlignment="1" applyProtection="1">
      <alignment vertical="center"/>
      <protection locked="0"/>
    </xf>
    <xf numFmtId="197" fontId="16" fillId="0" borderId="1" xfId="0" applyNumberFormat="1" applyFont="1" applyFill="1" applyBorder="1" applyAlignment="1">
      <alignment vertical="center"/>
    </xf>
    <xf numFmtId="49" fontId="16" fillId="0" borderId="1" xfId="0" applyNumberFormat="1" applyFont="1" applyFill="1" applyBorder="1" applyAlignment="1">
      <alignment vertical="center"/>
    </xf>
    <xf numFmtId="0" fontId="16" fillId="0" borderId="1" xfId="0" applyNumberFormat="1" applyFont="1" applyFill="1" applyBorder="1" applyAlignment="1" applyProtection="1">
      <alignment horizontal="center" vertical="center"/>
      <protection locked="0"/>
    </xf>
    <xf numFmtId="0" fontId="16" fillId="0" borderId="1" xfId="0" applyFont="1" applyFill="1" applyBorder="1" applyAlignment="1" applyProtection="1">
      <alignment vertical="center"/>
      <protection/>
    </xf>
    <xf numFmtId="200" fontId="29" fillId="0" borderId="20" xfId="0" applyNumberFormat="1" applyFont="1" applyFill="1" applyBorder="1" applyAlignment="1" applyProtection="1">
      <alignment horizontal="center" vertical="center" wrapText="1"/>
      <protection/>
    </xf>
    <xf numFmtId="193" fontId="29" fillId="0" borderId="38" xfId="0" applyNumberFormat="1" applyFont="1" applyFill="1" applyBorder="1" applyAlignment="1" applyProtection="1">
      <alignment horizontal="center" vertical="center" wrapText="1"/>
      <protection/>
    </xf>
    <xf numFmtId="0" fontId="16" fillId="0" borderId="1" xfId="0" applyFont="1" applyFill="1" applyBorder="1" applyAlignment="1">
      <alignment vertical="center"/>
    </xf>
    <xf numFmtId="193" fontId="43" fillId="0" borderId="1" xfId="0" applyNumberFormat="1" applyFont="1" applyFill="1" applyBorder="1" applyAlignment="1" applyProtection="1">
      <alignment vertical="center"/>
      <protection locked="0"/>
    </xf>
    <xf numFmtId="187" fontId="43" fillId="0" borderId="1" xfId="0" applyNumberFormat="1" applyFont="1" applyFill="1" applyBorder="1" applyAlignment="1">
      <alignment vertical="center"/>
    </xf>
    <xf numFmtId="187" fontId="43" fillId="0" borderId="1" xfId="15" applyNumberFormat="1" applyFont="1" applyFill="1" applyBorder="1" applyAlignment="1" applyProtection="1">
      <alignment vertical="center"/>
      <protection locked="0"/>
    </xf>
    <xf numFmtId="187" fontId="43" fillId="0" borderId="1" xfId="15" applyNumberFormat="1" applyFont="1" applyFill="1" applyBorder="1" applyAlignment="1" applyProtection="1">
      <alignment vertical="center"/>
      <protection/>
    </xf>
    <xf numFmtId="193" fontId="43" fillId="0" borderId="1" xfId="0" applyNumberFormat="1" applyFont="1" applyFill="1" applyBorder="1" applyAlignment="1">
      <alignment horizontal="right"/>
    </xf>
    <xf numFmtId="0" fontId="16" fillId="0" borderId="1" xfId="0" applyFont="1" applyFill="1" applyBorder="1" applyAlignment="1">
      <alignment horizontal="center"/>
    </xf>
    <xf numFmtId="192" fontId="16" fillId="0" borderId="2" xfId="21" applyNumberFormat="1" applyFont="1" applyFill="1" applyBorder="1" applyAlignment="1" applyProtection="1">
      <alignment horizontal="right" vertical="center"/>
      <protection/>
    </xf>
    <xf numFmtId="0" fontId="16" fillId="0" borderId="24" xfId="0" applyFont="1" applyFill="1" applyBorder="1" applyAlignment="1">
      <alignment/>
    </xf>
    <xf numFmtId="0" fontId="0" fillId="0" borderId="0" xfId="0" applyBorder="1" applyAlignment="1">
      <alignment/>
    </xf>
    <xf numFmtId="0" fontId="26" fillId="0" borderId="36" xfId="0" applyFont="1" applyFill="1" applyBorder="1" applyAlignment="1">
      <alignment horizontal="right" vertical="center"/>
    </xf>
    <xf numFmtId="184" fontId="16" fillId="0" borderId="13" xfId="0" applyNumberFormat="1" applyFont="1" applyFill="1" applyBorder="1" applyAlignment="1" applyProtection="1">
      <alignment horizontal="center" vertical="center"/>
      <protection locked="0"/>
    </xf>
    <xf numFmtId="0" fontId="16" fillId="0" borderId="13" xfId="0" applyFont="1" applyFill="1" applyBorder="1" applyAlignment="1" applyProtection="1">
      <alignment horizontal="center" vertical="center"/>
      <protection locked="0"/>
    </xf>
    <xf numFmtId="0" fontId="26" fillId="0" borderId="37" xfId="0" applyFont="1" applyFill="1" applyBorder="1" applyAlignment="1">
      <alignment horizontal="right" vertical="center"/>
    </xf>
    <xf numFmtId="184" fontId="16" fillId="0" borderId="16" xfId="0" applyNumberFormat="1" applyFont="1" applyFill="1" applyBorder="1" applyAlignment="1" applyProtection="1">
      <alignment horizontal="center" vertical="center"/>
      <protection locked="0"/>
    </xf>
    <xf numFmtId="0" fontId="16" fillId="0" borderId="16" xfId="0" applyFont="1" applyFill="1" applyBorder="1" applyAlignment="1" applyProtection="1">
      <alignment horizontal="center" vertical="center"/>
      <protection locked="0"/>
    </xf>
    <xf numFmtId="0" fontId="48" fillId="5" borderId="34" xfId="0" applyFont="1" applyFill="1" applyBorder="1" applyAlignment="1">
      <alignment horizontal="right"/>
    </xf>
    <xf numFmtId="4" fontId="48" fillId="5" borderId="34" xfId="0" applyNumberFormat="1" applyFont="1" applyFill="1" applyBorder="1" applyAlignment="1">
      <alignment horizontal="right"/>
    </xf>
    <xf numFmtId="3" fontId="48" fillId="5" borderId="34" xfId="0" applyNumberFormat="1" applyFont="1" applyFill="1" applyBorder="1" applyAlignment="1">
      <alignment horizontal="right"/>
    </xf>
    <xf numFmtId="4" fontId="48" fillId="4" borderId="34" xfId="0" applyNumberFormat="1" applyFont="1" applyFill="1" applyBorder="1" applyAlignment="1">
      <alignment horizontal="right"/>
    </xf>
    <xf numFmtId="3" fontId="48" fillId="4" borderId="34" xfId="0" applyNumberFormat="1" applyFont="1" applyFill="1" applyBorder="1" applyAlignment="1">
      <alignment horizontal="right"/>
    </xf>
    <xf numFmtId="10" fontId="48" fillId="4" borderId="34" xfId="0" applyNumberFormat="1" applyFont="1" applyFill="1" applyBorder="1" applyAlignment="1">
      <alignment horizontal="right"/>
    </xf>
    <xf numFmtId="10" fontId="48" fillId="5" borderId="34" xfId="0" applyNumberFormat="1" applyFont="1" applyFill="1" applyBorder="1" applyAlignment="1">
      <alignment horizontal="right"/>
    </xf>
    <xf numFmtId="0" fontId="48" fillId="4" borderId="34" xfId="0" applyFont="1" applyFill="1" applyBorder="1" applyAlignment="1">
      <alignment horizontal="right"/>
    </xf>
    <xf numFmtId="0" fontId="48" fillId="5" borderId="34" xfId="0" applyFont="1" applyFill="1" applyBorder="1" applyAlignment="1">
      <alignment/>
    </xf>
    <xf numFmtId="0" fontId="48" fillId="0" borderId="0" xfId="0" applyFont="1" applyFill="1" applyAlignment="1">
      <alignment/>
    </xf>
    <xf numFmtId="184" fontId="16" fillId="0" borderId="0" xfId="0" applyNumberFormat="1" applyFont="1" applyFill="1" applyBorder="1" applyAlignment="1">
      <alignment horizontal="center" vertical="center"/>
    </xf>
    <xf numFmtId="193" fontId="43" fillId="0" borderId="1" xfId="15" applyNumberFormat="1" applyFont="1" applyFill="1" applyBorder="1" applyAlignment="1" applyProtection="1">
      <alignment vertical="center"/>
      <protection locked="0"/>
    </xf>
    <xf numFmtId="193" fontId="43" fillId="0" borderId="1" xfId="0" applyNumberFormat="1" applyFont="1" applyFill="1" applyBorder="1" applyAlignment="1" applyProtection="1">
      <alignment vertical="center"/>
      <protection/>
    </xf>
    <xf numFmtId="193" fontId="43" fillId="0" borderId="1" xfId="15" applyNumberFormat="1" applyFont="1" applyFill="1" applyBorder="1" applyAlignment="1" applyProtection="1">
      <alignment vertical="center"/>
      <protection/>
    </xf>
    <xf numFmtId="192" fontId="16" fillId="0" borderId="1" xfId="15" applyNumberFormat="1" applyFont="1" applyFill="1" applyBorder="1" applyAlignment="1" applyProtection="1">
      <alignment vertical="center"/>
      <protection/>
    </xf>
    <xf numFmtId="0" fontId="16" fillId="0" borderId="35" xfId="0" applyFont="1" applyFill="1" applyBorder="1" applyAlignment="1">
      <alignment horizontal="left" vertical="center"/>
    </xf>
    <xf numFmtId="0" fontId="16" fillId="0" borderId="27" xfId="0" applyFont="1" applyFill="1" applyBorder="1" applyAlignment="1">
      <alignment horizontal="left" vertical="center"/>
    </xf>
    <xf numFmtId="0" fontId="16" fillId="0" borderId="27" xfId="0" applyFont="1" applyFill="1" applyBorder="1" applyAlignment="1">
      <alignment horizontal="center" vertical="center"/>
    </xf>
    <xf numFmtId="193" fontId="43" fillId="0" borderId="27" xfId="0" applyNumberFormat="1" applyFont="1" applyFill="1" applyBorder="1" applyAlignment="1">
      <alignment vertical="center"/>
    </xf>
    <xf numFmtId="192" fontId="16" fillId="0" borderId="30" xfId="15" applyNumberFormat="1" applyFont="1" applyFill="1" applyBorder="1" applyAlignment="1" applyProtection="1">
      <alignment vertical="center"/>
      <protection/>
    </xf>
    <xf numFmtId="192" fontId="16" fillId="0" borderId="2" xfId="15" applyNumberFormat="1" applyFont="1" applyFill="1" applyBorder="1" applyAlignment="1" applyProtection="1">
      <alignment vertical="center"/>
      <protection/>
    </xf>
    <xf numFmtId="49" fontId="16" fillId="0" borderId="25" xfId="0" applyNumberFormat="1" applyFont="1" applyFill="1" applyBorder="1" applyAlignment="1">
      <alignment horizontal="left" vertical="center"/>
    </xf>
    <xf numFmtId="197" fontId="16" fillId="0" borderId="4" xfId="0" applyNumberFormat="1" applyFont="1" applyFill="1" applyBorder="1" applyAlignment="1">
      <alignment horizontal="left" vertical="center"/>
    </xf>
    <xf numFmtId="49" fontId="16" fillId="0" borderId="4" xfId="0" applyNumberFormat="1" applyFont="1" applyFill="1" applyBorder="1" applyAlignment="1">
      <alignment horizontal="left" vertical="center"/>
    </xf>
    <xf numFmtId="200" fontId="43" fillId="0" borderId="4" xfId="0" applyNumberFormat="1" applyFont="1" applyFill="1" applyBorder="1" applyAlignment="1">
      <alignment vertical="center"/>
    </xf>
    <xf numFmtId="193" fontId="43" fillId="0" borderId="4" xfId="0" applyNumberFormat="1" applyFont="1" applyFill="1" applyBorder="1" applyAlignment="1">
      <alignment vertical="center"/>
    </xf>
    <xf numFmtId="192" fontId="16" fillId="0" borderId="26" xfId="15" applyNumberFormat="1" applyFont="1" applyFill="1" applyBorder="1" applyAlignment="1" applyProtection="1">
      <alignment vertical="center"/>
      <protection/>
    </xf>
    <xf numFmtId="0" fontId="16" fillId="0" borderId="39" xfId="0" applyFont="1" applyFill="1" applyBorder="1" applyAlignment="1" applyProtection="1">
      <alignment horizontal="left" vertical="center"/>
      <protection locked="0"/>
    </xf>
    <xf numFmtId="184" fontId="16" fillId="0" borderId="13" xfId="0" applyNumberFormat="1" applyFont="1" applyFill="1" applyBorder="1" applyAlignment="1" applyProtection="1">
      <alignment horizontal="left" vertical="center"/>
      <protection locked="0"/>
    </xf>
    <xf numFmtId="0" fontId="16" fillId="0" borderId="13" xfId="0" applyFont="1" applyFill="1" applyBorder="1" applyAlignment="1" applyProtection="1">
      <alignment horizontal="left" vertical="center"/>
      <protection locked="0"/>
    </xf>
    <xf numFmtId="200" fontId="43" fillId="0" borderId="13" xfId="15" applyNumberFormat="1" applyFont="1" applyFill="1" applyBorder="1" applyAlignment="1" applyProtection="1">
      <alignment vertical="center"/>
      <protection locked="0"/>
    </xf>
    <xf numFmtId="193" fontId="43" fillId="0" borderId="13" xfId="15" applyNumberFormat="1" applyFont="1" applyFill="1" applyBorder="1" applyAlignment="1" applyProtection="1">
      <alignment vertical="center"/>
      <protection locked="0"/>
    </xf>
    <xf numFmtId="0" fontId="16" fillId="0" borderId="40" xfId="0" applyFont="1" applyFill="1" applyBorder="1" applyAlignment="1" applyProtection="1">
      <alignment horizontal="left" vertical="center"/>
      <protection locked="0"/>
    </xf>
    <xf numFmtId="184" fontId="16" fillId="0" borderId="16" xfId="0" applyNumberFormat="1" applyFont="1" applyFill="1" applyBorder="1" applyAlignment="1" applyProtection="1">
      <alignment horizontal="left" vertical="center"/>
      <protection locked="0"/>
    </xf>
    <xf numFmtId="0" fontId="16" fillId="0" borderId="16" xfId="0" applyFont="1" applyFill="1" applyBorder="1" applyAlignment="1" applyProtection="1">
      <alignment horizontal="left" vertical="center"/>
      <protection locked="0"/>
    </xf>
    <xf numFmtId="200" fontId="43" fillId="0" borderId="16" xfId="15" applyNumberFormat="1" applyFont="1" applyFill="1" applyBorder="1" applyAlignment="1" applyProtection="1">
      <alignment vertical="center"/>
      <protection locked="0"/>
    </xf>
    <xf numFmtId="193" fontId="43" fillId="0" borderId="16" xfId="15" applyNumberFormat="1" applyFont="1" applyFill="1" applyBorder="1" applyAlignment="1" applyProtection="1">
      <alignment vertical="center"/>
      <protection locked="0"/>
    </xf>
    <xf numFmtId="192" fontId="16" fillId="0" borderId="17" xfId="15" applyNumberFormat="1" applyFont="1" applyFill="1" applyBorder="1" applyAlignment="1" applyProtection="1">
      <alignment vertical="center"/>
      <protection/>
    </xf>
    <xf numFmtId="187" fontId="29" fillId="0" borderId="20" xfId="0" applyNumberFormat="1" applyFont="1" applyFill="1" applyBorder="1" applyAlignment="1" applyProtection="1">
      <alignment horizontal="center" wrapText="1"/>
      <protection/>
    </xf>
    <xf numFmtId="193" fontId="29" fillId="0" borderId="20" xfId="0" applyNumberFormat="1" applyFont="1" applyFill="1" applyBorder="1" applyAlignment="1" applyProtection="1">
      <alignment horizontal="center" wrapText="1"/>
      <protection/>
    </xf>
    <xf numFmtId="192" fontId="29" fillId="0" borderId="20" xfId="0" applyNumberFormat="1" applyFont="1" applyFill="1" applyBorder="1" applyAlignment="1" applyProtection="1">
      <alignment horizontal="center" wrapText="1"/>
      <protection/>
    </xf>
    <xf numFmtId="192" fontId="29" fillId="0" borderId="38" xfId="0" applyNumberFormat="1" applyFont="1" applyFill="1" applyBorder="1" applyAlignment="1" applyProtection="1">
      <alignment horizontal="center" wrapText="1"/>
      <protection/>
    </xf>
    <xf numFmtId="193" fontId="16" fillId="0" borderId="1" xfId="15" applyNumberFormat="1" applyFont="1" applyFill="1" applyBorder="1" applyAlignment="1" applyProtection="1">
      <alignment vertical="center"/>
      <protection/>
    </xf>
    <xf numFmtId="200" fontId="16" fillId="0" borderId="1" xfId="15" applyNumberFormat="1" applyFont="1" applyFill="1" applyBorder="1" applyAlignment="1" applyProtection="1">
      <alignment vertical="center"/>
      <protection locked="0"/>
    </xf>
    <xf numFmtId="193" fontId="16" fillId="0" borderId="1" xfId="15" applyNumberFormat="1" applyFont="1" applyFill="1" applyBorder="1" applyAlignment="1" applyProtection="1">
      <alignment vertical="center"/>
      <protection locked="0"/>
    </xf>
    <xf numFmtId="200" fontId="16" fillId="0" borderId="1" xfId="15" applyNumberFormat="1" applyFont="1" applyFill="1" applyBorder="1" applyAlignment="1" applyProtection="1">
      <alignment vertical="center"/>
      <protection/>
    </xf>
    <xf numFmtId="193" fontId="16" fillId="0" borderId="1" xfId="0" applyNumberFormat="1" applyFont="1" applyFill="1" applyBorder="1" applyAlignment="1">
      <alignment vertical="center"/>
    </xf>
    <xf numFmtId="200" fontId="16" fillId="0" borderId="1" xfId="0" applyNumberFormat="1" applyFont="1" applyFill="1" applyBorder="1" applyAlignment="1">
      <alignment vertical="center"/>
    </xf>
    <xf numFmtId="200" fontId="16" fillId="0" borderId="1" xfId="0" applyNumberFormat="1" applyFont="1" applyFill="1" applyBorder="1" applyAlignment="1" applyProtection="1">
      <alignment vertical="center"/>
      <protection/>
    </xf>
    <xf numFmtId="193" fontId="16" fillId="0" borderId="1" xfId="0" applyNumberFormat="1" applyFont="1" applyFill="1" applyBorder="1" applyAlignment="1" applyProtection="1">
      <alignment vertical="center"/>
      <protection/>
    </xf>
    <xf numFmtId="200" fontId="43" fillId="0" borderId="27" xfId="15" applyNumberFormat="1" applyFont="1" applyFill="1" applyBorder="1" applyAlignment="1" applyProtection="1">
      <alignment vertical="center"/>
      <protection locked="0"/>
    </xf>
    <xf numFmtId="193" fontId="43" fillId="0" borderId="27" xfId="15" applyNumberFormat="1" applyFont="1" applyFill="1" applyBorder="1" applyAlignment="1" applyProtection="1">
      <alignment vertical="center"/>
      <protection locked="0"/>
    </xf>
    <xf numFmtId="193" fontId="16" fillId="0" borderId="27" xfId="15" applyNumberFormat="1" applyFont="1" applyFill="1" applyBorder="1" applyAlignment="1" applyProtection="1">
      <alignment vertical="center"/>
      <protection/>
    </xf>
    <xf numFmtId="192" fontId="16" fillId="0" borderId="27" xfId="15" applyNumberFormat="1" applyFont="1" applyFill="1" applyBorder="1" applyAlignment="1" applyProtection="1">
      <alignment vertical="center"/>
      <protection/>
    </xf>
    <xf numFmtId="200" fontId="16" fillId="0" borderId="27" xfId="15" applyNumberFormat="1" applyFont="1" applyFill="1" applyBorder="1" applyAlignment="1" applyProtection="1">
      <alignment vertical="center"/>
      <protection locked="0"/>
    </xf>
    <xf numFmtId="193" fontId="16" fillId="0" borderId="27" xfId="15" applyNumberFormat="1" applyFont="1" applyFill="1" applyBorder="1" applyAlignment="1" applyProtection="1">
      <alignment vertical="center"/>
      <protection locked="0"/>
    </xf>
    <xf numFmtId="0" fontId="16" fillId="0" borderId="25" xfId="0" applyFont="1" applyFill="1" applyBorder="1" applyAlignment="1">
      <alignment horizontal="left" vertical="center"/>
    </xf>
    <xf numFmtId="0" fontId="16" fillId="0" borderId="4" xfId="0" applyFont="1" applyFill="1" applyBorder="1" applyAlignment="1">
      <alignment horizontal="center" vertical="center"/>
    </xf>
    <xf numFmtId="200" fontId="16" fillId="0" borderId="4" xfId="0" applyNumberFormat="1" applyFont="1" applyFill="1" applyBorder="1" applyAlignment="1">
      <alignment vertical="center"/>
    </xf>
    <xf numFmtId="193" fontId="16" fillId="0" borderId="4" xfId="0" applyNumberFormat="1" applyFont="1" applyFill="1" applyBorder="1" applyAlignment="1">
      <alignment vertical="center"/>
    </xf>
    <xf numFmtId="193" fontId="16" fillId="0" borderId="13" xfId="15" applyNumberFormat="1" applyFont="1" applyFill="1" applyBorder="1" applyAlignment="1" applyProtection="1">
      <alignment vertical="center"/>
      <protection/>
    </xf>
    <xf numFmtId="192" fontId="16" fillId="0" borderId="13" xfId="15" applyNumberFormat="1" applyFont="1" applyFill="1" applyBorder="1" applyAlignment="1" applyProtection="1">
      <alignment vertical="center"/>
      <protection/>
    </xf>
    <xf numFmtId="192" fontId="16" fillId="0" borderId="23" xfId="15" applyNumberFormat="1" applyFont="1" applyFill="1" applyBorder="1" applyAlignment="1" applyProtection="1">
      <alignment vertical="center"/>
      <protection/>
    </xf>
    <xf numFmtId="193" fontId="16" fillId="0" borderId="16" xfId="15" applyNumberFormat="1" applyFont="1" applyFill="1" applyBorder="1" applyAlignment="1" applyProtection="1">
      <alignment vertical="center"/>
      <protection/>
    </xf>
    <xf numFmtId="192" fontId="16" fillId="0" borderId="16" xfId="15" applyNumberFormat="1" applyFont="1" applyFill="1" applyBorder="1" applyAlignment="1" applyProtection="1">
      <alignment vertical="center"/>
      <protection/>
    </xf>
    <xf numFmtId="192" fontId="34" fillId="0" borderId="26" xfId="0" applyNumberFormat="1" applyFont="1" applyFill="1" applyBorder="1" applyAlignment="1" applyProtection="1">
      <alignment horizontal="right" vertical="center"/>
      <protection locked="0"/>
    </xf>
    <xf numFmtId="0" fontId="0" fillId="0" borderId="6" xfId="0" applyBorder="1" applyAlignment="1">
      <alignment horizontal="right" vertical="center"/>
    </xf>
    <xf numFmtId="192" fontId="16" fillId="0" borderId="1" xfId="0" applyNumberFormat="1" applyFont="1" applyFill="1" applyBorder="1" applyAlignment="1">
      <alignment vertical="center"/>
    </xf>
    <xf numFmtId="0" fontId="19" fillId="2" borderId="22" xfId="0" applyFont="1" applyFill="1" applyBorder="1" applyAlignment="1">
      <alignment horizontal="right" vertical="center"/>
    </xf>
    <xf numFmtId="49" fontId="16" fillId="0" borderId="35" xfId="0" applyNumberFormat="1" applyFont="1" applyFill="1" applyBorder="1" applyAlignment="1" applyProtection="1">
      <alignment horizontal="left" vertical="center"/>
      <protection locked="0"/>
    </xf>
    <xf numFmtId="49" fontId="16" fillId="0" borderId="27" xfId="0" applyNumberFormat="1" applyFont="1" applyFill="1" applyBorder="1" applyAlignment="1" applyProtection="1">
      <alignment horizontal="left" vertical="center"/>
      <protection locked="0"/>
    </xf>
    <xf numFmtId="49" fontId="16" fillId="0" borderId="27" xfId="0" applyNumberFormat="1" applyFont="1" applyFill="1" applyBorder="1" applyAlignment="1" applyProtection="1">
      <alignment horizontal="center" vertical="center"/>
      <protection locked="0"/>
    </xf>
    <xf numFmtId="192" fontId="16" fillId="0" borderId="2" xfId="0" applyNumberFormat="1" applyFont="1" applyFill="1" applyBorder="1" applyAlignment="1">
      <alignment vertical="center"/>
    </xf>
    <xf numFmtId="193" fontId="16" fillId="0" borderId="4" xfId="15" applyNumberFormat="1" applyFont="1" applyFill="1" applyBorder="1" applyAlignment="1" applyProtection="1">
      <alignment vertical="center"/>
      <protection/>
    </xf>
    <xf numFmtId="192" fontId="16" fillId="0" borderId="4" xfId="15" applyNumberFormat="1" applyFont="1" applyFill="1" applyBorder="1" applyAlignment="1" applyProtection="1">
      <alignment vertical="center"/>
      <protection/>
    </xf>
    <xf numFmtId="0" fontId="16" fillId="0" borderId="39" xfId="0" applyFont="1" applyFill="1" applyBorder="1" applyAlignment="1">
      <alignment horizontal="left" vertical="center"/>
    </xf>
    <xf numFmtId="184" fontId="16" fillId="0" borderId="13" xfId="0" applyNumberFormat="1" applyFont="1" applyFill="1" applyBorder="1" applyAlignment="1">
      <alignment horizontal="center" vertical="center"/>
    </xf>
    <xf numFmtId="0" fontId="16" fillId="0" borderId="13" xfId="0" applyFont="1" applyFill="1" applyBorder="1" applyAlignment="1">
      <alignment horizontal="left" vertical="center"/>
    </xf>
    <xf numFmtId="0" fontId="16" fillId="0" borderId="13" xfId="0" applyFont="1" applyFill="1" applyBorder="1" applyAlignment="1">
      <alignment horizontal="center" vertical="center"/>
    </xf>
    <xf numFmtId="200" fontId="43" fillId="0" borderId="13" xfId="0" applyNumberFormat="1" applyFont="1" applyFill="1" applyBorder="1" applyAlignment="1">
      <alignment vertical="center"/>
    </xf>
    <xf numFmtId="193" fontId="43" fillId="0" borderId="13" xfId="0" applyNumberFormat="1" applyFont="1" applyFill="1" applyBorder="1" applyAlignment="1">
      <alignment vertical="center"/>
    </xf>
    <xf numFmtId="200" fontId="16" fillId="0" borderId="13" xfId="0" applyNumberFormat="1" applyFont="1" applyFill="1" applyBorder="1" applyAlignment="1">
      <alignment vertical="center"/>
    </xf>
    <xf numFmtId="193" fontId="16" fillId="0" borderId="13" xfId="0" applyNumberFormat="1" applyFont="1" applyFill="1" applyBorder="1" applyAlignment="1">
      <alignment vertical="center"/>
    </xf>
    <xf numFmtId="0" fontId="16" fillId="0" borderId="40" xfId="0" applyFont="1" applyFill="1" applyBorder="1" applyAlignment="1">
      <alignment horizontal="left" vertical="center"/>
    </xf>
    <xf numFmtId="184" fontId="16" fillId="0" borderId="16" xfId="0" applyNumberFormat="1" applyFont="1" applyFill="1" applyBorder="1" applyAlignment="1">
      <alignment horizontal="center" vertical="center"/>
    </xf>
    <xf numFmtId="0" fontId="16" fillId="0" borderId="16" xfId="0" applyFont="1" applyFill="1" applyBorder="1" applyAlignment="1">
      <alignment horizontal="left" vertical="center"/>
    </xf>
    <xf numFmtId="0" fontId="16" fillId="0" borderId="16" xfId="0" applyFont="1" applyFill="1" applyBorder="1" applyAlignment="1">
      <alignment horizontal="center" vertical="center"/>
    </xf>
    <xf numFmtId="200" fontId="43" fillId="0" borderId="16" xfId="0" applyNumberFormat="1" applyFont="1" applyFill="1" applyBorder="1" applyAlignment="1">
      <alignment vertical="center"/>
    </xf>
    <xf numFmtId="193" fontId="43" fillId="0" borderId="16" xfId="0" applyNumberFormat="1" applyFont="1" applyFill="1" applyBorder="1" applyAlignment="1">
      <alignment vertical="center"/>
    </xf>
    <xf numFmtId="200" fontId="16" fillId="0" borderId="16" xfId="0" applyNumberFormat="1" applyFont="1" applyFill="1" applyBorder="1" applyAlignment="1">
      <alignment vertical="center"/>
    </xf>
    <xf numFmtId="193" fontId="16" fillId="0" borderId="16" xfId="0" applyNumberFormat="1" applyFont="1" applyFill="1" applyBorder="1" applyAlignment="1">
      <alignment vertical="center"/>
    </xf>
    <xf numFmtId="2" fontId="35" fillId="4" borderId="34" xfId="0" applyNumberFormat="1" applyFont="1" applyFill="1" applyBorder="1" applyAlignment="1">
      <alignment/>
    </xf>
    <xf numFmtId="2" fontId="48" fillId="4" borderId="34" xfId="0" applyNumberFormat="1" applyFont="1" applyFill="1" applyBorder="1" applyAlignment="1">
      <alignment/>
    </xf>
    <xf numFmtId="192" fontId="16" fillId="0" borderId="26" xfId="0" applyNumberFormat="1" applyFont="1" applyFill="1" applyBorder="1" applyAlignment="1">
      <alignment vertical="center"/>
    </xf>
    <xf numFmtId="0" fontId="43" fillId="0" borderId="35" xfId="0" applyFont="1" applyFill="1" applyBorder="1" applyAlignment="1" applyProtection="1">
      <alignment horizontal="right" vertical="center"/>
      <protection/>
    </xf>
    <xf numFmtId="0" fontId="16" fillId="0" borderId="27" xfId="0" applyFont="1" applyBorder="1" applyAlignment="1">
      <alignment vertical="center"/>
    </xf>
    <xf numFmtId="0" fontId="16" fillId="0" borderId="27" xfId="0" applyFont="1" applyBorder="1" applyAlignment="1">
      <alignment horizontal="center" vertical="center"/>
    </xf>
    <xf numFmtId="3" fontId="16" fillId="0" borderId="27" xfId="0" applyNumberFormat="1" applyFont="1" applyBorder="1" applyAlignment="1">
      <alignment horizontal="center" vertical="center"/>
    </xf>
    <xf numFmtId="187" fontId="43" fillId="0" borderId="27" xfId="0" applyNumberFormat="1" applyFont="1" applyBorder="1" applyAlignment="1">
      <alignment horizontal="right" vertical="center"/>
    </xf>
    <xf numFmtId="193" fontId="43" fillId="0" borderId="27" xfId="0" applyNumberFormat="1" applyFont="1" applyBorder="1" applyAlignment="1">
      <alignment vertical="center"/>
    </xf>
    <xf numFmtId="192" fontId="16" fillId="0" borderId="30" xfId="0" applyNumberFormat="1" applyFont="1" applyBorder="1" applyAlignment="1">
      <alignment vertical="center"/>
    </xf>
    <xf numFmtId="0" fontId="43" fillId="0" borderId="25" xfId="0" applyFont="1" applyFill="1" applyBorder="1" applyAlignment="1" applyProtection="1">
      <alignment horizontal="right" vertical="center"/>
      <protection/>
    </xf>
    <xf numFmtId="0" fontId="16" fillId="0" borderId="4" xfId="0" applyFont="1" applyBorder="1" applyAlignment="1">
      <alignment vertical="center"/>
    </xf>
    <xf numFmtId="0" fontId="16" fillId="0" borderId="4" xfId="0" applyFont="1" applyBorder="1" applyAlignment="1">
      <alignment horizontal="center" vertical="center"/>
    </xf>
    <xf numFmtId="3" fontId="16" fillId="0" borderId="4" xfId="0" applyNumberFormat="1" applyFont="1" applyBorder="1" applyAlignment="1">
      <alignment horizontal="center" vertical="center"/>
    </xf>
    <xf numFmtId="187" fontId="43" fillId="0" borderId="4" xfId="0" applyNumberFormat="1" applyFont="1" applyBorder="1" applyAlignment="1">
      <alignment horizontal="right" vertical="center"/>
    </xf>
    <xf numFmtId="193" fontId="43" fillId="0" borderId="4" xfId="0" applyNumberFormat="1" applyFont="1" applyBorder="1" applyAlignment="1">
      <alignment vertical="center"/>
    </xf>
    <xf numFmtId="192" fontId="16" fillId="0" borderId="26" xfId="0" applyNumberFormat="1" applyFont="1" applyBorder="1" applyAlignment="1">
      <alignment vertical="center"/>
    </xf>
    <xf numFmtId="49" fontId="16" fillId="0" borderId="21" xfId="0" applyNumberFormat="1" applyFont="1" applyFill="1" applyBorder="1" applyAlignment="1">
      <alignment horizontal="left" vertical="center"/>
    </xf>
    <xf numFmtId="197" fontId="16" fillId="0" borderId="0" xfId="0" applyNumberFormat="1" applyFont="1" applyFill="1" applyBorder="1" applyAlignment="1">
      <alignment vertical="center"/>
    </xf>
    <xf numFmtId="49" fontId="16" fillId="0" borderId="0" xfId="0" applyNumberFormat="1" applyFont="1" applyFill="1" applyBorder="1" applyAlignment="1">
      <alignment vertical="center"/>
    </xf>
    <xf numFmtId="200" fontId="43" fillId="0" borderId="0" xfId="0" applyNumberFormat="1" applyFont="1" applyFill="1" applyBorder="1" applyAlignment="1">
      <alignment horizontal="right" vertical="center"/>
    </xf>
    <xf numFmtId="193" fontId="43" fillId="0" borderId="41" xfId="0" applyNumberFormat="1" applyFont="1" applyFill="1" applyBorder="1" applyAlignment="1">
      <alignment horizontal="right" vertical="center"/>
    </xf>
    <xf numFmtId="0" fontId="44" fillId="2" borderId="0" xfId="0" applyFont="1" applyFill="1" applyBorder="1" applyAlignment="1" applyProtection="1">
      <alignment horizontal="center" vertical="center"/>
      <protection/>
    </xf>
    <xf numFmtId="0" fontId="0" fillId="0" borderId="0" xfId="0" applyAlignment="1">
      <alignment horizontal="center"/>
    </xf>
    <xf numFmtId="181" fontId="29" fillId="0" borderId="3" xfId="0" applyNumberFormat="1" applyFont="1" applyFill="1" applyBorder="1" applyAlignment="1" applyProtection="1">
      <alignment horizontal="center" vertical="center" wrapText="1"/>
      <protection/>
    </xf>
    <xf numFmtId="181" fontId="29" fillId="0" borderId="42" xfId="0" applyNumberFormat="1" applyFont="1" applyFill="1" applyBorder="1" applyAlignment="1" applyProtection="1">
      <alignment horizontal="center" vertical="center" wrapText="1"/>
      <protection/>
    </xf>
    <xf numFmtId="0" fontId="29" fillId="0" borderId="3" xfId="0" applyNumberFormat="1" applyFont="1" applyFill="1" applyBorder="1" applyAlignment="1" applyProtection="1">
      <alignment horizontal="center" vertical="center" wrapText="1"/>
      <protection/>
    </xf>
    <xf numFmtId="0" fontId="31" fillId="0" borderId="20" xfId="0" applyFont="1" applyBorder="1" applyAlignment="1">
      <alignment horizontal="center" vertical="center"/>
    </xf>
    <xf numFmtId="43" fontId="29" fillId="0" borderId="3" xfId="15" applyFont="1" applyFill="1" applyBorder="1" applyAlignment="1" applyProtection="1">
      <alignment horizontal="center" vertical="center" wrapText="1"/>
      <protection/>
    </xf>
    <xf numFmtId="0" fontId="29" fillId="0" borderId="3" xfId="0" applyFont="1" applyFill="1" applyBorder="1" applyAlignment="1" applyProtection="1">
      <alignment horizontal="center" vertical="center" wrapText="1"/>
      <protection/>
    </xf>
    <xf numFmtId="0" fontId="29" fillId="0" borderId="43" xfId="0" applyNumberFormat="1" applyFont="1" applyFill="1" applyBorder="1" applyAlignment="1" applyProtection="1">
      <alignment horizontal="center" vertical="center" wrapText="1"/>
      <protection/>
    </xf>
    <xf numFmtId="0" fontId="31" fillId="0" borderId="44" xfId="0" applyFont="1" applyBorder="1" applyAlignment="1">
      <alignment horizontal="center" vertical="center" wrapText="1"/>
    </xf>
    <xf numFmtId="4" fontId="29" fillId="0" borderId="3" xfId="0" applyNumberFormat="1" applyFont="1" applyFill="1" applyBorder="1" applyAlignment="1" applyProtection="1">
      <alignment horizontal="center" vertical="center" wrapText="1"/>
      <protection/>
    </xf>
    <xf numFmtId="184" fontId="29" fillId="0" borderId="3" xfId="0" applyNumberFormat="1" applyFont="1" applyFill="1" applyBorder="1" applyAlignment="1" applyProtection="1">
      <alignment horizontal="center" vertical="center" wrapText="1"/>
      <protection/>
    </xf>
    <xf numFmtId="184" fontId="31" fillId="0" borderId="20" xfId="0" applyNumberFormat="1" applyFont="1" applyBorder="1" applyAlignment="1">
      <alignment horizontal="center" vertical="center"/>
    </xf>
    <xf numFmtId="0" fontId="13"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3" fillId="0" borderId="0" xfId="0" applyFont="1" applyAlignment="1">
      <alignment horizontal="right" vertical="center" wrapText="1"/>
    </xf>
    <xf numFmtId="0" fontId="19" fillId="2" borderId="45" xfId="0" applyFont="1" applyFill="1" applyBorder="1" applyAlignment="1">
      <alignment horizontal="right" vertical="center"/>
    </xf>
    <xf numFmtId="0" fontId="41" fillId="0" borderId="12" xfId="0" applyFont="1" applyBorder="1" applyAlignment="1">
      <alignment horizontal="right" vertical="center"/>
    </xf>
    <xf numFmtId="184" fontId="32" fillId="0" borderId="27" xfId="0" applyNumberFormat="1" applyFont="1" applyFill="1" applyBorder="1" applyAlignment="1" applyProtection="1">
      <alignment horizontal="center" vertical="center"/>
      <protection locked="0"/>
    </xf>
    <xf numFmtId="0" fontId="33" fillId="0" borderId="27" xfId="0" applyFont="1" applyBorder="1" applyAlignment="1">
      <alignment horizontal="center"/>
    </xf>
    <xf numFmtId="0" fontId="33" fillId="0" borderId="30" xfId="0" applyFont="1" applyBorder="1" applyAlignment="1">
      <alignment horizontal="center"/>
    </xf>
    <xf numFmtId="0" fontId="21" fillId="0" borderId="0" xfId="0" applyFont="1" applyBorder="1" applyAlignment="1" applyProtection="1">
      <alignment horizontal="right" vertical="center" wrapText="1"/>
      <protection locked="0"/>
    </xf>
    <xf numFmtId="184" fontId="32" fillId="0" borderId="0" xfId="0" applyNumberFormat="1" applyFont="1" applyFill="1" applyBorder="1" applyAlignment="1" applyProtection="1">
      <alignment horizontal="center" vertical="center"/>
      <protection locked="0"/>
    </xf>
    <xf numFmtId="0" fontId="38" fillId="0" borderId="0" xfId="0" applyFont="1" applyBorder="1" applyAlignment="1" applyProtection="1">
      <alignment horizontal="right" vertical="center" wrapText="1"/>
      <protection locked="0"/>
    </xf>
    <xf numFmtId="0" fontId="17" fillId="0" borderId="0" xfId="0" applyFont="1" applyBorder="1" applyAlignment="1" applyProtection="1">
      <alignment horizontal="right" vertical="center" wrapText="1"/>
      <protection locked="0"/>
    </xf>
    <xf numFmtId="0" fontId="32" fillId="0" borderId="0" xfId="0" applyFont="1" applyFill="1" applyBorder="1" applyAlignment="1" applyProtection="1">
      <alignment horizontal="center" vertical="center"/>
      <protection locked="0"/>
    </xf>
    <xf numFmtId="0" fontId="29" fillId="0" borderId="43" xfId="0" applyNumberFormat="1" applyFont="1" applyFill="1" applyBorder="1" applyAlignment="1">
      <alignment horizontal="center" vertical="center" wrapText="1"/>
    </xf>
    <xf numFmtId="0" fontId="29" fillId="0" borderId="44" xfId="0" applyNumberFormat="1" applyFont="1" applyFill="1" applyBorder="1" applyAlignment="1">
      <alignment horizontal="center" vertical="center" wrapText="1"/>
    </xf>
    <xf numFmtId="0" fontId="29" fillId="0" borderId="44" xfId="0" applyNumberFormat="1" applyFont="1" applyFill="1" applyBorder="1" applyAlignment="1" applyProtection="1">
      <alignment horizontal="center" vertical="center" wrapText="1"/>
      <protection/>
    </xf>
    <xf numFmtId="0" fontId="29" fillId="0" borderId="46" xfId="0" applyNumberFormat="1" applyFont="1" applyFill="1" applyBorder="1" applyAlignment="1" applyProtection="1">
      <alignment horizontal="center" vertical="center" wrapText="1"/>
      <protection/>
    </xf>
    <xf numFmtId="0" fontId="29" fillId="0" borderId="47" xfId="0" applyNumberFormat="1" applyFont="1" applyFill="1" applyBorder="1" applyAlignment="1" applyProtection="1">
      <alignment horizontal="center" vertical="center" wrapText="1"/>
      <protection/>
    </xf>
    <xf numFmtId="192" fontId="29" fillId="0" borderId="48" xfId="0" applyNumberFormat="1" applyFont="1" applyFill="1" applyBorder="1" applyAlignment="1" applyProtection="1">
      <alignment horizontal="center" vertical="center" wrapText="1"/>
      <protection/>
    </xf>
    <xf numFmtId="192" fontId="29" fillId="0" borderId="49" xfId="0" applyNumberFormat="1" applyFont="1" applyFill="1" applyBorder="1" applyAlignment="1" applyProtection="1">
      <alignment horizontal="center" vertical="center" wrapText="1"/>
      <protection/>
    </xf>
    <xf numFmtId="0" fontId="13" fillId="0" borderId="0" xfId="0" applyFont="1" applyBorder="1" applyAlignment="1">
      <alignment horizontal="right" vertical="center" wrapText="1"/>
    </xf>
    <xf numFmtId="0" fontId="9" fillId="6" borderId="34" xfId="0" applyFont="1" applyFill="1" applyBorder="1" applyAlignment="1">
      <alignment horizontal="center" vertical="center" wrapText="1"/>
    </xf>
    <xf numFmtId="0" fontId="18" fillId="2" borderId="36" xfId="0" applyFont="1" applyFill="1" applyBorder="1" applyAlignment="1">
      <alignment horizontal="center" vertical="center"/>
    </xf>
    <xf numFmtId="0" fontId="18" fillId="2" borderId="12" xfId="0" applyFont="1" applyFill="1" applyBorder="1" applyAlignment="1">
      <alignment horizontal="center" vertical="center"/>
    </xf>
    <xf numFmtId="0" fontId="43" fillId="2" borderId="36" xfId="0" applyFont="1" applyFill="1" applyBorder="1" applyAlignment="1">
      <alignment horizontal="center" vertical="center"/>
    </xf>
    <xf numFmtId="0" fontId="43" fillId="2" borderId="12" xfId="0" applyFont="1" applyFill="1" applyBorder="1" applyAlignment="1">
      <alignment horizontal="center" vertical="center"/>
    </xf>
    <xf numFmtId="0" fontId="0" fillId="0" borderId="0" xfId="0" applyBorder="1" applyAlignment="1">
      <alignment horizontal="right" vertical="center" wrapText="1"/>
    </xf>
    <xf numFmtId="0" fontId="13" fillId="0" borderId="0" xfId="0" applyFont="1" applyBorder="1" applyAlignment="1">
      <alignment horizontal="right" vertical="center" wrapText="1"/>
    </xf>
    <xf numFmtId="0" fontId="0" fillId="0" borderId="0" xfId="0" applyBorder="1" applyAlignment="1">
      <alignment vertical="center" wrapText="1"/>
    </xf>
    <xf numFmtId="0" fontId="11" fillId="6" borderId="0" xfId="0" applyFont="1" applyFill="1" applyBorder="1" applyAlignment="1">
      <alignment horizontal="center" vertical="center" wrapText="1"/>
    </xf>
    <xf numFmtId="0" fontId="37" fillId="6" borderId="0" xfId="0" applyFont="1" applyFill="1" applyAlignment="1">
      <alignment vertical="center"/>
    </xf>
    <xf numFmtId="0" fontId="29" fillId="0" borderId="3" xfId="0" applyNumberFormat="1" applyFont="1" applyFill="1" applyBorder="1" applyAlignment="1">
      <alignment horizontal="center" vertical="center" wrapText="1"/>
    </xf>
    <xf numFmtId="0" fontId="29" fillId="0" borderId="20" xfId="0" applyNumberFormat="1" applyFont="1" applyFill="1" applyBorder="1" applyAlignment="1">
      <alignment horizontal="center" vertical="center" wrapText="1"/>
    </xf>
    <xf numFmtId="0" fontId="29" fillId="0" borderId="42" xfId="0" applyNumberFormat="1" applyFont="1" applyFill="1" applyBorder="1" applyAlignment="1" applyProtection="1">
      <alignment horizontal="center" vertical="center" wrapText="1"/>
      <protection/>
    </xf>
    <xf numFmtId="0" fontId="18" fillId="2" borderId="39" xfId="0" applyFont="1" applyFill="1" applyBorder="1" applyAlignment="1">
      <alignment horizontal="center" vertical="center"/>
    </xf>
    <xf numFmtId="0" fontId="41" fillId="0" borderId="13" xfId="0" applyFont="1" applyBorder="1" applyAlignment="1">
      <alignment horizontal="center" vertical="center"/>
    </xf>
    <xf numFmtId="0" fontId="35" fillId="4" borderId="34" xfId="0" applyNumberFormat="1" applyFont="1" applyFill="1" applyBorder="1" applyAlignment="1">
      <alignment horizontal="center" wrapText="1"/>
    </xf>
    <xf numFmtId="0" fontId="0" fillId="0" borderId="34" xfId="0" applyNumberFormat="1" applyBorder="1" applyAlignment="1">
      <alignment horizontal="center" wrapText="1"/>
    </xf>
    <xf numFmtId="0" fontId="48" fillId="4" borderId="34" xfId="0" applyNumberFormat="1" applyFont="1" applyFill="1" applyBorder="1" applyAlignment="1">
      <alignment horizontal="center" wrapText="1"/>
    </xf>
    <xf numFmtId="0" fontId="49" fillId="0" borderId="34" xfId="0" applyNumberFormat="1" applyFont="1" applyBorder="1" applyAlignment="1">
      <alignment horizontal="center" wrapText="1"/>
    </xf>
  </cellXfs>
  <cellStyles count="8">
    <cellStyle name="Normal" xfId="0"/>
    <cellStyle name="Comma" xfId="15"/>
    <cellStyle name="Comma [0]" xfId="16"/>
    <cellStyle name="Followed Hyperlink" xfId="17"/>
    <cellStyle name="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15</xdr:col>
      <xdr:colOff>0</xdr:colOff>
      <xdr:row>0</xdr:row>
      <xdr:rowOff>1095375</xdr:rowOff>
    </xdr:to>
    <xdr:sp>
      <xdr:nvSpPr>
        <xdr:cNvPr id="1" name="TextBox 1"/>
        <xdr:cNvSpPr txBox="1">
          <a:spLocks noChangeArrowheads="1"/>
        </xdr:cNvSpPr>
      </xdr:nvSpPr>
      <xdr:spPr>
        <a:xfrm>
          <a:off x="19050" y="38100"/>
          <a:ext cx="12839700" cy="1057275"/>
        </a:xfrm>
        <a:prstGeom prst="rect">
          <a:avLst/>
        </a:prstGeom>
        <a:solidFill>
          <a:srgbClr val="006411"/>
        </a:solidFill>
        <a:ln w="38100" cmpd="dbl">
          <a:noFill/>
        </a:ln>
      </xdr:spPr>
      <xdr:txBody>
        <a:bodyPr vertOverflow="clip" wrap="square"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WEEKLY BOX OFFICE &amp; ADMISSION REPORT</a:t>
          </a:r>
        </a:p>
      </xdr:txBody>
    </xdr:sp>
    <xdr:clientData/>
  </xdr:twoCellAnchor>
  <xdr:twoCellAnchor>
    <xdr:from>
      <xdr:col>11</xdr:col>
      <xdr:colOff>104775</xdr:colOff>
      <xdr:row>0</xdr:row>
      <xdr:rowOff>466725</xdr:rowOff>
    </xdr:from>
    <xdr:to>
      <xdr:col>14</xdr:col>
      <xdr:colOff>400050</xdr:colOff>
      <xdr:row>0</xdr:row>
      <xdr:rowOff>1066800</xdr:rowOff>
    </xdr:to>
    <xdr:sp fLocksText="0">
      <xdr:nvSpPr>
        <xdr:cNvPr id="2" name="TextBox 2"/>
        <xdr:cNvSpPr txBox="1">
          <a:spLocks noChangeArrowheads="1"/>
        </xdr:cNvSpPr>
      </xdr:nvSpPr>
      <xdr:spPr>
        <a:xfrm>
          <a:off x="10210800" y="466725"/>
          <a:ext cx="2552700" cy="600075"/>
        </a:xfrm>
        <a:prstGeom prst="rect">
          <a:avLst/>
        </a:prstGeom>
        <a:solidFill>
          <a:srgbClr val="006411"/>
        </a:solidFill>
        <a:ln w="9525" cmpd="sng">
          <a:noFill/>
        </a:ln>
      </xdr:spPr>
      <xdr:txBody>
        <a:bodyPr vertOverflow="clip" wrap="square"/>
        <a:p>
          <a:pPr algn="r">
            <a:defRPr/>
          </a:pPr>
          <a:r>
            <a:rPr lang="en-US" cap="none" sz="2000" b="0" i="0" u="none" baseline="0">
              <a:solidFill>
                <a:srgbClr val="FFFFFF"/>
              </a:solidFill>
              <a:latin typeface="Impact"/>
              <a:ea typeface="Impact"/>
              <a:cs typeface="Impact"/>
            </a:rPr>
            <a:t>WEEK: 10
</a:t>
          </a:r>
          <a:r>
            <a:rPr lang="en-US" cap="none" sz="1600" b="0" i="0" u="none" baseline="0">
              <a:solidFill>
                <a:srgbClr val="FFFFFF"/>
              </a:solidFill>
              <a:latin typeface="Impact"/>
              <a:ea typeface="Impact"/>
              <a:cs typeface="Impact"/>
            </a:rPr>
            <a:t>09 - 15 Mar' '07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16</xdr:row>
      <xdr:rowOff>57150</xdr:rowOff>
    </xdr:from>
    <xdr:to>
      <xdr:col>22</xdr:col>
      <xdr:colOff>209550</xdr:colOff>
      <xdr:row>57</xdr:row>
      <xdr:rowOff>142875</xdr:rowOff>
    </xdr:to>
    <xdr:sp>
      <xdr:nvSpPr>
        <xdr:cNvPr id="1" name="TextBox 1"/>
        <xdr:cNvSpPr txBox="1">
          <a:spLocks noChangeArrowheads="1"/>
        </xdr:cNvSpPr>
      </xdr:nvSpPr>
      <xdr:spPr>
        <a:xfrm>
          <a:off x="57150" y="2952750"/>
          <a:ext cx="9982200" cy="13525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sng" baseline="0">
              <a:latin typeface="Arial"/>
              <a:ea typeface="Arial"/>
              <a:cs typeface="Arial"/>
            </a:rPr>
            <a:t>
a:</a:t>
          </a:r>
          <a:r>
            <a:rPr lang="en-US" cap="none" sz="1000" b="0" i="0" u="none" baseline="0">
              <a:latin typeface="Arial"/>
              <a:ea typeface="Arial"/>
              <a:cs typeface="Arial"/>
            </a:rPr>
            <a:t> hafta numarasını, </a:t>
          </a:r>
          <a:r>
            <a:rPr lang="en-US" cap="none" sz="1000" b="1" i="0" u="sng" baseline="0">
              <a:latin typeface="Arial"/>
              <a:ea typeface="Arial"/>
              <a:cs typeface="Arial"/>
            </a:rPr>
            <a:t>b:</a:t>
          </a:r>
          <a:r>
            <a:rPr lang="en-US" cap="none" sz="1000" b="0" i="0" u="none" baseline="0">
              <a:latin typeface="Arial"/>
              <a:ea typeface="Arial"/>
              <a:cs typeface="Arial"/>
            </a:rPr>
            <a:t> tarih aralığını,</a:t>
          </a:r>
          <a:r>
            <a:rPr lang="en-US" cap="none" sz="1000" b="1" i="0" u="none" baseline="0">
              <a:latin typeface="Arial"/>
              <a:ea typeface="Arial"/>
              <a:cs typeface="Arial"/>
            </a:rPr>
            <a:t> </a:t>
          </a:r>
          <a:r>
            <a:rPr lang="en-US" cap="none" sz="1000" b="1" i="0" u="sng" baseline="0">
              <a:latin typeface="Arial"/>
              <a:ea typeface="Arial"/>
              <a:cs typeface="Arial"/>
            </a:rPr>
            <a:t>c:</a:t>
          </a:r>
          <a:r>
            <a:rPr lang="en-US" cap="none" sz="1000" b="0" i="0" u="none" baseline="0">
              <a:latin typeface="Arial"/>
              <a:ea typeface="Arial"/>
              <a:cs typeface="Arial"/>
            </a:rPr>
            <a:t> ayı, </a:t>
          </a:r>
          <a:r>
            <a:rPr lang="en-US" cap="none" sz="1000" b="1" i="0" u="sng" baseline="0">
              <a:latin typeface="Arial"/>
              <a:ea typeface="Arial"/>
              <a:cs typeface="Arial"/>
            </a:rPr>
            <a:t>d:</a:t>
          </a:r>
          <a:r>
            <a:rPr lang="en-US" cap="none" sz="1000" b="0" i="0" u="none" baseline="0">
              <a:latin typeface="Arial"/>
              <a:ea typeface="Arial"/>
              <a:cs typeface="Arial"/>
            </a:rPr>
            <a:t> o hafta dağıtım yapan firma sayısını, </a:t>
          </a:r>
          <a:r>
            <a:rPr lang="en-US" cap="none" sz="1000" b="1" i="0" u="sng" baseline="0">
              <a:latin typeface="Arial"/>
              <a:ea typeface="Arial"/>
              <a:cs typeface="Arial"/>
            </a:rPr>
            <a:t>e:</a:t>
          </a:r>
          <a:r>
            <a:rPr lang="en-US" cap="none" sz="1000" b="0" i="0" u="none" baseline="0">
              <a:latin typeface="Arial"/>
              <a:ea typeface="Arial"/>
              <a:cs typeface="Arial"/>
            </a:rPr>
            <a:t> o hafta dağıtım yapmayan firma sayısını, </a:t>
          </a:r>
          <a:r>
            <a:rPr lang="en-US" cap="none" sz="1000" b="1" i="0" u="sng" baseline="0">
              <a:latin typeface="Arial"/>
              <a:ea typeface="Arial"/>
              <a:cs typeface="Arial"/>
            </a:rPr>
            <a:t>f:</a:t>
          </a:r>
          <a:r>
            <a:rPr lang="en-US" cap="none" sz="1000" b="0" i="0" u="none" baseline="0">
              <a:latin typeface="Arial"/>
              <a:ea typeface="Arial"/>
              <a:cs typeface="Arial"/>
            </a:rPr>
            <a:t> o hafta sinemalarda gösterilen film sayısını, </a:t>
          </a:r>
          <a:r>
            <a:rPr lang="en-US" cap="none" sz="1000" b="1" i="0" u="sng" baseline="0">
              <a:latin typeface="Arial"/>
              <a:ea typeface="Arial"/>
              <a:cs typeface="Arial"/>
            </a:rPr>
            <a:t>g:</a:t>
          </a:r>
          <a:r>
            <a:rPr lang="en-US" cap="none" sz="1000" b="0" i="0" u="none" baseline="0">
              <a:latin typeface="Arial"/>
              <a:ea typeface="Arial"/>
              <a:cs typeface="Arial"/>
            </a:rPr>
            <a:t> toplam hasılatı, </a:t>
          </a:r>
          <a:r>
            <a:rPr lang="en-US" cap="none" sz="1000" b="1" i="0" u="sng" baseline="0">
              <a:latin typeface="Arial"/>
              <a:ea typeface="Arial"/>
              <a:cs typeface="Arial"/>
            </a:rPr>
            <a:t>h:</a:t>
          </a:r>
          <a:r>
            <a:rPr lang="en-US" cap="none" sz="1000" b="0" i="0" u="none" baseline="0">
              <a:latin typeface="Arial"/>
              <a:ea typeface="Arial"/>
              <a:cs typeface="Arial"/>
            </a:rPr>
            <a:t> toplam seyirci sayısını, </a:t>
          </a:r>
          <a:r>
            <a:rPr lang="en-US" cap="none" sz="1000" b="1" i="0" u="none" baseline="0">
              <a:latin typeface="Arial"/>
              <a:ea typeface="Arial"/>
              <a:cs typeface="Arial"/>
            </a:rPr>
            <a:t>ı:</a:t>
          </a:r>
          <a:r>
            <a:rPr lang="en-US" cap="none" sz="1000" b="0" i="0" u="none" baseline="0">
              <a:latin typeface="Arial"/>
              <a:ea typeface="Arial"/>
              <a:cs typeface="Arial"/>
            </a:rPr>
            <a:t> en fazla hasılat yapan dağıtımcı firmayı,</a:t>
          </a:r>
          <a:r>
            <a:rPr lang="en-US" cap="none" sz="1000" b="1" i="0" u="none" baseline="0">
              <a:latin typeface="Arial"/>
              <a:ea typeface="Arial"/>
              <a:cs typeface="Arial"/>
            </a:rPr>
            <a:t> </a:t>
          </a:r>
          <a:r>
            <a:rPr lang="en-US" cap="none" sz="1000" b="1" i="0" u="sng" baseline="0">
              <a:latin typeface="Arial"/>
              <a:ea typeface="Arial"/>
              <a:cs typeface="Arial"/>
            </a:rPr>
            <a:t>j:</a:t>
          </a:r>
          <a:r>
            <a:rPr lang="en-US" cap="none" sz="1000" b="0" i="0" u="none" baseline="0">
              <a:latin typeface="Arial"/>
              <a:ea typeface="Arial"/>
              <a:cs typeface="Arial"/>
            </a:rPr>
            <a:t> hafta birincisi firmanın toplam hasılatını, </a:t>
          </a:r>
          <a:r>
            <a:rPr lang="en-US" cap="none" sz="1000" b="1" i="0" u="sng" baseline="0">
              <a:latin typeface="Arial"/>
              <a:ea typeface="Arial"/>
              <a:cs typeface="Arial"/>
            </a:rPr>
            <a:t>k:</a:t>
          </a:r>
          <a:r>
            <a:rPr lang="en-US" cap="none" sz="1000" b="0" i="0" u="none" baseline="0">
              <a:latin typeface="Arial"/>
              <a:ea typeface="Arial"/>
              <a:cs typeface="Arial"/>
            </a:rPr>
            <a:t> aynı firmanın toplam ulaştığı seyirci sayısını, </a:t>
          </a:r>
          <a:r>
            <a:rPr lang="en-US" cap="none" sz="1000" b="1" i="0" u="sng" baseline="0">
              <a:latin typeface="Arial"/>
              <a:ea typeface="Arial"/>
              <a:cs typeface="Arial"/>
            </a:rPr>
            <a:t>l:</a:t>
          </a:r>
          <a:r>
            <a:rPr lang="en-US" cap="none" sz="1000" b="0" i="0" u="none" baseline="0">
              <a:latin typeface="Arial"/>
              <a:ea typeface="Arial"/>
              <a:cs typeface="Arial"/>
            </a:rPr>
            <a:t> birinci firmanın toplam seyirci üzerindeki yüzdesini, </a:t>
          </a:r>
          <a:r>
            <a:rPr lang="en-US" cap="none" sz="1000" b="1" i="0" u="sng" baseline="0">
              <a:latin typeface="Arial"/>
              <a:ea typeface="Arial"/>
              <a:cs typeface="Arial"/>
            </a:rPr>
            <a:t>m:</a:t>
          </a:r>
          <a:r>
            <a:rPr lang="en-US" cap="none" sz="1000" b="0" i="0" u="none" baseline="0">
              <a:latin typeface="Arial"/>
              <a:ea typeface="Arial"/>
              <a:cs typeface="Arial"/>
            </a:rPr>
            <a:t> o hafta ilk kez gösterilen film sayısını, </a:t>
          </a:r>
          <a:r>
            <a:rPr lang="en-US" cap="none" sz="1000" b="1" i="0" u="sng" baseline="0">
              <a:latin typeface="Arial"/>
              <a:ea typeface="Arial"/>
              <a:cs typeface="Arial"/>
            </a:rPr>
            <a:t>n:</a:t>
          </a:r>
          <a:r>
            <a:rPr lang="en-US" cap="none" sz="1000" b="0" i="0" u="none" baseline="0">
              <a:latin typeface="Arial"/>
              <a:ea typeface="Arial"/>
              <a:cs typeface="Arial"/>
            </a:rPr>
            <a:t> bu yeni filmlerin toplam hasılatını, </a:t>
          </a:r>
          <a:r>
            <a:rPr lang="en-US" cap="none" sz="1000" b="1" i="0" u="sng" baseline="0">
              <a:latin typeface="Arial"/>
              <a:ea typeface="Arial"/>
              <a:cs typeface="Arial"/>
            </a:rPr>
            <a:t>o:</a:t>
          </a:r>
          <a:r>
            <a:rPr lang="en-US" cap="none" sz="1000" b="0" i="0" u="none" baseline="0">
              <a:latin typeface="Arial"/>
              <a:ea typeface="Arial"/>
              <a:cs typeface="Arial"/>
            </a:rPr>
            <a:t> aynı filmlerin seyirci sayısını, </a:t>
          </a:r>
          <a:r>
            <a:rPr lang="en-US" cap="none" sz="1000" b="1" i="0" u="sng" baseline="0">
              <a:latin typeface="Arial"/>
              <a:ea typeface="Arial"/>
              <a:cs typeface="Arial"/>
            </a:rPr>
            <a:t>p:</a:t>
          </a:r>
          <a:r>
            <a:rPr lang="en-US" cap="none" sz="1000" b="0" i="0" u="none" baseline="0">
              <a:latin typeface="Arial"/>
              <a:ea typeface="Arial"/>
              <a:cs typeface="Arial"/>
            </a:rPr>
            <a:t> yeni filmlerin toplam seyirci sayısı üzerindeki yüzdesini, </a:t>
          </a:r>
          <a:r>
            <a:rPr lang="en-US" cap="none" sz="1000" b="1" i="0" u="sng" baseline="0">
              <a:latin typeface="Arial"/>
              <a:ea typeface="Arial"/>
              <a:cs typeface="Arial"/>
            </a:rPr>
            <a:t>q:</a:t>
          </a:r>
          <a:r>
            <a:rPr lang="en-US" cap="none" sz="1000" b="0" i="0" u="none" baseline="0">
              <a:latin typeface="Arial"/>
              <a:ea typeface="Arial"/>
              <a:cs typeface="Arial"/>
            </a:rPr>
            <a:t> o hafta gösterilen yerli film sayısını, </a:t>
          </a:r>
          <a:r>
            <a:rPr lang="en-US" cap="none" sz="1000" b="1" i="0" u="sng" baseline="0">
              <a:latin typeface="Arial"/>
              <a:ea typeface="Arial"/>
              <a:cs typeface="Arial"/>
            </a:rPr>
            <a:t>r:</a:t>
          </a:r>
          <a:r>
            <a:rPr lang="en-US" cap="none" sz="1000" b="0" i="0" u="none" baseline="0">
              <a:latin typeface="Arial"/>
              <a:ea typeface="Arial"/>
              <a:cs typeface="Arial"/>
            </a:rPr>
            <a:t> bu filmlerin toplam hasılatını, </a:t>
          </a:r>
          <a:r>
            <a:rPr lang="en-US" cap="none" sz="1000" b="1" i="0" u="sng" baseline="0">
              <a:latin typeface="Arial"/>
              <a:ea typeface="Arial"/>
              <a:cs typeface="Arial"/>
            </a:rPr>
            <a:t>s:</a:t>
          </a:r>
          <a:r>
            <a:rPr lang="en-US" cap="none" sz="1000" b="0" i="0" u="none" baseline="0">
              <a:latin typeface="Arial"/>
              <a:ea typeface="Arial"/>
              <a:cs typeface="Arial"/>
            </a:rPr>
            <a:t> aynı filmlerin toplam seyirci sayısını, </a:t>
          </a:r>
          <a:r>
            <a:rPr lang="en-US" cap="none" sz="1000" b="1" i="0" u="sng" baseline="0">
              <a:latin typeface="Arial"/>
              <a:ea typeface="Arial"/>
              <a:cs typeface="Arial"/>
            </a:rPr>
            <a:t>t:</a:t>
          </a:r>
          <a:r>
            <a:rPr lang="en-US" cap="none" sz="1000" b="0" i="0" u="none" baseline="0">
              <a:latin typeface="Arial"/>
              <a:ea typeface="Arial"/>
              <a:cs typeface="Arial"/>
            </a:rPr>
            <a:t> yerli filmlerin toplam seyirci sayısı üzerindeki yüzdesini, </a:t>
          </a:r>
          <a:r>
            <a:rPr lang="en-US" cap="none" sz="1000" b="1" i="0" u="sng" baseline="0">
              <a:latin typeface="Arial"/>
              <a:ea typeface="Arial"/>
              <a:cs typeface="Arial"/>
            </a:rPr>
            <a:t>u:</a:t>
          </a:r>
          <a:r>
            <a:rPr lang="en-US" cap="none" sz="1000" b="0" i="0" u="none" baseline="0">
              <a:latin typeface="Arial"/>
              <a:ea typeface="Arial"/>
              <a:cs typeface="Arial"/>
            </a:rPr>
            <a:t> o hafta en fazla seyircinin izlediği filmi, </a:t>
          </a:r>
          <a:r>
            <a:rPr lang="en-US" cap="none" sz="1000" b="1" i="0" u="sng" baseline="0">
              <a:latin typeface="Arial"/>
              <a:ea typeface="Arial"/>
              <a:cs typeface="Arial"/>
            </a:rPr>
            <a:t>v:</a:t>
          </a:r>
          <a:r>
            <a:rPr lang="en-US" cap="none" sz="1000" b="0" i="0" u="none" baseline="0">
              <a:latin typeface="Arial"/>
              <a:ea typeface="Arial"/>
              <a:cs typeface="Arial"/>
            </a:rPr>
            <a:t> bu filmin ulaştığı seyirci sayısını ve </a:t>
          </a:r>
          <a:r>
            <a:rPr lang="en-US" cap="none" sz="1000" b="1" i="0" u="sng" baseline="0">
              <a:latin typeface="Arial"/>
              <a:ea typeface="Arial"/>
              <a:cs typeface="Arial"/>
            </a:rPr>
            <a:t>w:</a:t>
          </a:r>
          <a:r>
            <a:rPr lang="en-US" cap="none" sz="1000" b="0" i="0" u="none" baseline="0">
              <a:latin typeface="Arial"/>
              <a:ea typeface="Arial"/>
              <a:cs typeface="Arial"/>
            </a:rPr>
            <a:t> aynı filmin toplam seyirci sayısı üzerindeki yüzdesini göstermektedir.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113"/>
  <sheetViews>
    <sheetView showGridLines="0" tabSelected="1" zoomScale="65" zoomScaleNormal="65" workbookViewId="0" topLeftCell="A1">
      <pane xSplit="2" ySplit="4" topLeftCell="C5"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2.7109375" style="52" bestFit="1" customWidth="1"/>
    <col min="2" max="2" width="37.00390625" style="4" bestFit="1" customWidth="1"/>
    <col min="3" max="3" width="9.8515625" style="12" customWidth="1"/>
    <col min="4" max="4" width="18.00390625" style="16" bestFit="1" customWidth="1"/>
    <col min="5" max="5" width="21.28125" style="16" bestFit="1" customWidth="1"/>
    <col min="6" max="6" width="10.421875" style="6" customWidth="1"/>
    <col min="7" max="7" width="8.421875" style="6" bestFit="1" customWidth="1"/>
    <col min="8" max="8" width="10.421875" style="6" customWidth="1"/>
    <col min="9" max="9" width="14.8515625" style="48" bestFit="1" customWidth="1"/>
    <col min="10" max="10" width="9.421875" style="95" bestFit="1" customWidth="1"/>
    <col min="11" max="11" width="9.140625" style="37" bestFit="1" customWidth="1"/>
    <col min="12" max="12" width="7.421875" style="25" bestFit="1" customWidth="1"/>
    <col min="13" max="13" width="15.28125" style="19" bestFit="1" customWidth="1"/>
    <col min="14" max="14" width="11.140625" style="37" bestFit="1" customWidth="1"/>
    <col min="15" max="15" width="7.421875" style="44" bestFit="1" customWidth="1"/>
    <col min="16" max="16" width="3.00390625" style="242" bestFit="1" customWidth="1"/>
    <col min="17" max="16384" width="9.140625" style="4" customWidth="1"/>
  </cols>
  <sheetData>
    <row r="1" spans="1:16" s="2" customFormat="1" ht="90.75" customHeight="1">
      <c r="A1" s="51"/>
      <c r="B1" s="1"/>
      <c r="C1" s="10"/>
      <c r="D1" s="14"/>
      <c r="E1" s="14"/>
      <c r="F1" s="5"/>
      <c r="G1" s="5"/>
      <c r="H1" s="5"/>
      <c r="I1" s="45"/>
      <c r="J1" s="93"/>
      <c r="K1" s="35"/>
      <c r="L1" s="24"/>
      <c r="M1" s="17"/>
      <c r="N1" s="20"/>
      <c r="O1" s="41"/>
      <c r="P1" s="242"/>
    </row>
    <row r="2" spans="1:16" s="9" customFormat="1" ht="30.75" customHeight="1" thickBot="1">
      <c r="A2" s="420" t="s">
        <v>72</v>
      </c>
      <c r="B2" s="421"/>
      <c r="C2" s="421"/>
      <c r="D2" s="421"/>
      <c r="E2" s="421"/>
      <c r="F2" s="421"/>
      <c r="G2" s="421"/>
      <c r="H2" s="421"/>
      <c r="I2" s="421"/>
      <c r="J2" s="421"/>
      <c r="K2" s="421"/>
      <c r="L2" s="421"/>
      <c r="M2" s="421"/>
      <c r="N2" s="421"/>
      <c r="O2" s="421"/>
      <c r="P2" s="242"/>
    </row>
    <row r="3" spans="1:16" s="38" customFormat="1" ht="16.5">
      <c r="A3" s="75"/>
      <c r="B3" s="426" t="s">
        <v>1</v>
      </c>
      <c r="C3" s="431" t="s">
        <v>2</v>
      </c>
      <c r="D3" s="427" t="s">
        <v>54</v>
      </c>
      <c r="E3" s="427" t="s">
        <v>53</v>
      </c>
      <c r="F3" s="424" t="s">
        <v>3</v>
      </c>
      <c r="G3" s="424" t="s">
        <v>10</v>
      </c>
      <c r="H3" s="428" t="s">
        <v>18</v>
      </c>
      <c r="I3" s="430" t="s">
        <v>4</v>
      </c>
      <c r="J3" s="430"/>
      <c r="K3" s="430"/>
      <c r="L3" s="430"/>
      <c r="M3" s="422" t="s">
        <v>5</v>
      </c>
      <c r="N3" s="422"/>
      <c r="O3" s="423"/>
      <c r="P3" s="243"/>
    </row>
    <row r="4" spans="1:16" s="38" customFormat="1" ht="43.5" thickBot="1">
      <c r="A4" s="76"/>
      <c r="B4" s="425"/>
      <c r="C4" s="432"/>
      <c r="D4" s="425"/>
      <c r="E4" s="425"/>
      <c r="F4" s="425"/>
      <c r="G4" s="425"/>
      <c r="H4" s="429"/>
      <c r="I4" s="345" t="s">
        <v>6</v>
      </c>
      <c r="J4" s="346" t="s">
        <v>7</v>
      </c>
      <c r="K4" s="346" t="s">
        <v>107</v>
      </c>
      <c r="L4" s="347" t="s">
        <v>8</v>
      </c>
      <c r="M4" s="345" t="s">
        <v>6</v>
      </c>
      <c r="N4" s="346" t="s">
        <v>7</v>
      </c>
      <c r="O4" s="348" t="s">
        <v>9</v>
      </c>
      <c r="P4" s="243"/>
    </row>
    <row r="5" spans="1:16" s="3" customFormat="1" ht="15">
      <c r="A5" s="279">
        <v>1</v>
      </c>
      <c r="B5" s="376" t="s">
        <v>309</v>
      </c>
      <c r="C5" s="275">
        <v>39150</v>
      </c>
      <c r="D5" s="377" t="s">
        <v>45</v>
      </c>
      <c r="E5" s="377" t="s">
        <v>310</v>
      </c>
      <c r="F5" s="378" t="s">
        <v>303</v>
      </c>
      <c r="G5" s="378" t="s">
        <v>311</v>
      </c>
      <c r="H5" s="378" t="s">
        <v>20</v>
      </c>
      <c r="I5" s="357">
        <v>690593.5</v>
      </c>
      <c r="J5" s="358">
        <v>86101</v>
      </c>
      <c r="K5" s="359">
        <f aca="true" t="shared" si="0" ref="K5:K36">J5/G5</f>
        <v>1304.560606060606</v>
      </c>
      <c r="L5" s="360">
        <f aca="true" t="shared" si="1" ref="L5:L36">I5/J5</f>
        <v>8.020737273666972</v>
      </c>
      <c r="M5" s="361">
        <v>690593.5</v>
      </c>
      <c r="N5" s="362">
        <v>86101</v>
      </c>
      <c r="O5" s="326">
        <f aca="true" t="shared" si="2" ref="O5:O49">+M5/N5</f>
        <v>8.020737273666972</v>
      </c>
      <c r="P5" s="242"/>
    </row>
    <row r="6" spans="1:16" s="3" customFormat="1" ht="15">
      <c r="A6" s="103">
        <v>2</v>
      </c>
      <c r="B6" s="248" t="s">
        <v>312</v>
      </c>
      <c r="C6" s="116">
        <v>39143</v>
      </c>
      <c r="D6" s="127" t="s">
        <v>56</v>
      </c>
      <c r="E6" s="126" t="s">
        <v>71</v>
      </c>
      <c r="F6" s="272">
        <v>77</v>
      </c>
      <c r="G6" s="272">
        <v>78</v>
      </c>
      <c r="H6" s="272">
        <v>2</v>
      </c>
      <c r="I6" s="254">
        <v>621006</v>
      </c>
      <c r="J6" s="318">
        <v>74423</v>
      </c>
      <c r="K6" s="349">
        <f t="shared" si="0"/>
        <v>954.1410256410256</v>
      </c>
      <c r="L6" s="321">
        <f t="shared" si="1"/>
        <v>8.344275291240612</v>
      </c>
      <c r="M6" s="350">
        <f>846616+621006</f>
        <v>1467622</v>
      </c>
      <c r="N6" s="351">
        <f>102037+74423</f>
        <v>176460</v>
      </c>
      <c r="O6" s="327">
        <f t="shared" si="2"/>
        <v>8.317023688087952</v>
      </c>
      <c r="P6" s="242"/>
    </row>
    <row r="7" spans="1:16" s="3" customFormat="1" ht="15">
      <c r="A7" s="280">
        <v>3</v>
      </c>
      <c r="B7" s="390" t="s">
        <v>313</v>
      </c>
      <c r="C7" s="391">
        <v>39150</v>
      </c>
      <c r="D7" s="392" t="s">
        <v>55</v>
      </c>
      <c r="E7" s="392" t="s">
        <v>63</v>
      </c>
      <c r="F7" s="393">
        <v>57</v>
      </c>
      <c r="G7" s="393">
        <v>57</v>
      </c>
      <c r="H7" s="393">
        <v>1</v>
      </c>
      <c r="I7" s="394">
        <v>606619</v>
      </c>
      <c r="J7" s="395">
        <v>62751</v>
      </c>
      <c r="K7" s="370">
        <f t="shared" si="0"/>
        <v>1100.8947368421052</v>
      </c>
      <c r="L7" s="371">
        <f t="shared" si="1"/>
        <v>9.667081002693184</v>
      </c>
      <c r="M7" s="396">
        <f>+I7</f>
        <v>606619</v>
      </c>
      <c r="N7" s="397">
        <f>+J7</f>
        <v>62751</v>
      </c>
      <c r="O7" s="344">
        <f t="shared" si="2"/>
        <v>9.667081002693184</v>
      </c>
      <c r="P7" s="242"/>
    </row>
    <row r="8" spans="1:16" s="3" customFormat="1" ht="15">
      <c r="A8" s="279">
        <v>4</v>
      </c>
      <c r="B8" s="382" t="s">
        <v>314</v>
      </c>
      <c r="C8" s="383">
        <v>39150</v>
      </c>
      <c r="D8" s="384" t="s">
        <v>57</v>
      </c>
      <c r="E8" s="384" t="s">
        <v>71</v>
      </c>
      <c r="F8" s="385">
        <v>54</v>
      </c>
      <c r="G8" s="385">
        <v>54</v>
      </c>
      <c r="H8" s="385">
        <v>1</v>
      </c>
      <c r="I8" s="386">
        <v>320732</v>
      </c>
      <c r="J8" s="387">
        <v>35565</v>
      </c>
      <c r="K8" s="367">
        <f t="shared" si="0"/>
        <v>658.6111111111111</v>
      </c>
      <c r="L8" s="368">
        <f t="shared" si="1"/>
        <v>9.018192042738647</v>
      </c>
      <c r="M8" s="388">
        <v>320732</v>
      </c>
      <c r="N8" s="389">
        <v>35565</v>
      </c>
      <c r="O8" s="369">
        <f t="shared" si="2"/>
        <v>9.018192042738647</v>
      </c>
      <c r="P8" s="242"/>
    </row>
    <row r="9" spans="1:16" s="7" customFormat="1" ht="15">
      <c r="A9" s="103">
        <v>5</v>
      </c>
      <c r="B9" s="248" t="s">
        <v>280</v>
      </c>
      <c r="C9" s="116">
        <v>39143</v>
      </c>
      <c r="D9" s="127" t="s">
        <v>56</v>
      </c>
      <c r="E9" s="126" t="s">
        <v>61</v>
      </c>
      <c r="F9" s="272">
        <v>54</v>
      </c>
      <c r="G9" s="272">
        <v>55</v>
      </c>
      <c r="H9" s="272">
        <v>2</v>
      </c>
      <c r="I9" s="254">
        <v>314397</v>
      </c>
      <c r="J9" s="318">
        <v>34072</v>
      </c>
      <c r="K9" s="349">
        <f t="shared" si="0"/>
        <v>619.4909090909091</v>
      </c>
      <c r="L9" s="321">
        <f t="shared" si="1"/>
        <v>9.227430147922048</v>
      </c>
      <c r="M9" s="350">
        <f>1045+424606+314397</f>
        <v>740048</v>
      </c>
      <c r="N9" s="351">
        <f>101+45441+34072</f>
        <v>79614</v>
      </c>
      <c r="O9" s="327">
        <f t="shared" si="2"/>
        <v>9.295450548898435</v>
      </c>
      <c r="P9" s="242"/>
    </row>
    <row r="10" spans="1:16" s="7" customFormat="1" ht="15">
      <c r="A10" s="103">
        <v>6</v>
      </c>
      <c r="B10" s="251" t="s">
        <v>299</v>
      </c>
      <c r="C10" s="116">
        <v>39143</v>
      </c>
      <c r="D10" s="129" t="s">
        <v>73</v>
      </c>
      <c r="E10" s="129" t="s">
        <v>136</v>
      </c>
      <c r="F10" s="271" t="s">
        <v>300</v>
      </c>
      <c r="G10" s="271" t="s">
        <v>300</v>
      </c>
      <c r="H10" s="271" t="s">
        <v>37</v>
      </c>
      <c r="I10" s="254">
        <v>301425</v>
      </c>
      <c r="J10" s="318">
        <v>38970</v>
      </c>
      <c r="K10" s="349">
        <f t="shared" si="0"/>
        <v>526.6216216216217</v>
      </c>
      <c r="L10" s="321">
        <f t="shared" si="1"/>
        <v>7.734795996920708</v>
      </c>
      <c r="M10" s="350">
        <v>618011</v>
      </c>
      <c r="N10" s="351">
        <v>77539</v>
      </c>
      <c r="O10" s="327">
        <f t="shared" si="2"/>
        <v>7.970324610840996</v>
      </c>
      <c r="P10" s="242"/>
    </row>
    <row r="11" spans="1:16" s="7" customFormat="1" ht="15">
      <c r="A11" s="103">
        <v>7</v>
      </c>
      <c r="B11" s="250" t="s">
        <v>315</v>
      </c>
      <c r="C11" s="117">
        <v>39150</v>
      </c>
      <c r="D11" s="132" t="s">
        <v>23</v>
      </c>
      <c r="E11" s="131" t="s">
        <v>316</v>
      </c>
      <c r="F11" s="120">
        <v>100</v>
      </c>
      <c r="G11" s="120">
        <v>104</v>
      </c>
      <c r="H11" s="120">
        <v>1</v>
      </c>
      <c r="I11" s="252">
        <v>221689.5</v>
      </c>
      <c r="J11" s="253">
        <v>30032</v>
      </c>
      <c r="K11" s="353">
        <f t="shared" si="0"/>
        <v>288.7692307692308</v>
      </c>
      <c r="L11" s="374">
        <f t="shared" si="1"/>
        <v>7.38177610548748</v>
      </c>
      <c r="M11" s="354">
        <f>221689.5</f>
        <v>221689.5</v>
      </c>
      <c r="N11" s="353">
        <f>30032</f>
        <v>30032</v>
      </c>
      <c r="O11" s="327">
        <f t="shared" si="2"/>
        <v>7.38177610548748</v>
      </c>
      <c r="P11" s="242"/>
    </row>
    <row r="12" spans="1:16" s="7" customFormat="1" ht="15">
      <c r="A12" s="103">
        <v>8</v>
      </c>
      <c r="B12" s="248" t="s">
        <v>267</v>
      </c>
      <c r="C12" s="116">
        <v>39129</v>
      </c>
      <c r="D12" s="127" t="s">
        <v>56</v>
      </c>
      <c r="E12" s="126" t="s">
        <v>61</v>
      </c>
      <c r="F12" s="272">
        <v>72</v>
      </c>
      <c r="G12" s="272">
        <v>63</v>
      </c>
      <c r="H12" s="272">
        <v>4</v>
      </c>
      <c r="I12" s="254">
        <v>207911</v>
      </c>
      <c r="J12" s="318">
        <v>25967</v>
      </c>
      <c r="K12" s="349">
        <f t="shared" si="0"/>
        <v>412.1746031746032</v>
      </c>
      <c r="L12" s="321">
        <f t="shared" si="1"/>
        <v>8.006739322986867</v>
      </c>
      <c r="M12" s="350">
        <f>1024988+679541+410193+207911</f>
        <v>2322633</v>
      </c>
      <c r="N12" s="351">
        <f>121457+81309+49212+25967</f>
        <v>277945</v>
      </c>
      <c r="O12" s="327">
        <f t="shared" si="2"/>
        <v>8.35644821817266</v>
      </c>
      <c r="P12" s="242"/>
    </row>
    <row r="13" spans="1:16" s="7" customFormat="1" ht="15">
      <c r="A13" s="103">
        <v>9</v>
      </c>
      <c r="B13" s="251" t="s">
        <v>294</v>
      </c>
      <c r="C13" s="116">
        <v>39143</v>
      </c>
      <c r="D13" s="129" t="s">
        <v>45</v>
      </c>
      <c r="E13" s="129" t="s">
        <v>295</v>
      </c>
      <c r="F13" s="271" t="s">
        <v>296</v>
      </c>
      <c r="G13" s="271" t="s">
        <v>317</v>
      </c>
      <c r="H13" s="271" t="s">
        <v>37</v>
      </c>
      <c r="I13" s="254">
        <v>185306</v>
      </c>
      <c r="J13" s="318">
        <v>25295</v>
      </c>
      <c r="K13" s="349">
        <f t="shared" si="0"/>
        <v>263.4895833333333</v>
      </c>
      <c r="L13" s="321">
        <f t="shared" si="1"/>
        <v>7.325795611780984</v>
      </c>
      <c r="M13" s="350">
        <v>585483.5</v>
      </c>
      <c r="N13" s="351">
        <v>76608</v>
      </c>
      <c r="O13" s="327">
        <f t="shared" si="2"/>
        <v>7.642589546783626</v>
      </c>
      <c r="P13" s="242"/>
    </row>
    <row r="14" spans="1:16" s="7" customFormat="1" ht="15">
      <c r="A14" s="103">
        <v>10</v>
      </c>
      <c r="B14" s="251" t="s">
        <v>297</v>
      </c>
      <c r="C14" s="116">
        <v>39143</v>
      </c>
      <c r="D14" s="129" t="s">
        <v>45</v>
      </c>
      <c r="E14" s="129" t="s">
        <v>318</v>
      </c>
      <c r="F14" s="271" t="s">
        <v>298</v>
      </c>
      <c r="G14" s="271" t="s">
        <v>319</v>
      </c>
      <c r="H14" s="271" t="s">
        <v>37</v>
      </c>
      <c r="I14" s="254">
        <v>157922.5</v>
      </c>
      <c r="J14" s="318">
        <v>20965</v>
      </c>
      <c r="K14" s="349">
        <f t="shared" si="0"/>
        <v>223.03191489361703</v>
      </c>
      <c r="L14" s="321">
        <f t="shared" si="1"/>
        <v>7.5326735034581445</v>
      </c>
      <c r="M14" s="350">
        <v>513674.5</v>
      </c>
      <c r="N14" s="351">
        <v>67440</v>
      </c>
      <c r="O14" s="327">
        <f t="shared" si="2"/>
        <v>7.616763048635825</v>
      </c>
      <c r="P14" s="242"/>
    </row>
    <row r="15" spans="1:16" s="7" customFormat="1" ht="15">
      <c r="A15" s="103">
        <v>11</v>
      </c>
      <c r="B15" s="249" t="s">
        <v>261</v>
      </c>
      <c r="C15" s="117">
        <v>39129</v>
      </c>
      <c r="D15" s="128" t="s">
        <v>57</v>
      </c>
      <c r="E15" s="128" t="s">
        <v>320</v>
      </c>
      <c r="F15" s="118">
        <v>77</v>
      </c>
      <c r="G15" s="118">
        <v>77</v>
      </c>
      <c r="H15" s="118">
        <v>3</v>
      </c>
      <c r="I15" s="252">
        <v>125234</v>
      </c>
      <c r="J15" s="253">
        <v>17856</v>
      </c>
      <c r="K15" s="349">
        <f t="shared" si="0"/>
        <v>231.8961038961039</v>
      </c>
      <c r="L15" s="321">
        <f t="shared" si="1"/>
        <v>7.013552867383512</v>
      </c>
      <c r="M15" s="354">
        <v>1412287</v>
      </c>
      <c r="N15" s="353">
        <v>172090</v>
      </c>
      <c r="O15" s="327">
        <f t="shared" si="2"/>
        <v>8.206676738915684</v>
      </c>
      <c r="P15" s="242"/>
    </row>
    <row r="16" spans="1:16" s="7" customFormat="1" ht="15">
      <c r="A16" s="103">
        <v>12</v>
      </c>
      <c r="B16" s="249" t="s">
        <v>184</v>
      </c>
      <c r="C16" s="117">
        <v>39101</v>
      </c>
      <c r="D16" s="128" t="s">
        <v>58</v>
      </c>
      <c r="E16" s="128" t="s">
        <v>58</v>
      </c>
      <c r="F16" s="118">
        <v>197</v>
      </c>
      <c r="G16" s="118">
        <v>30</v>
      </c>
      <c r="H16" s="118">
        <v>8</v>
      </c>
      <c r="I16" s="252">
        <v>117687.5</v>
      </c>
      <c r="J16" s="253">
        <v>16236</v>
      </c>
      <c r="K16" s="349">
        <f t="shared" si="0"/>
        <v>541.2</v>
      </c>
      <c r="L16" s="321">
        <f t="shared" si="1"/>
        <v>7.248552599162355</v>
      </c>
      <c r="M16" s="354">
        <f>3815016+1300103.5+871510+26.5+643328.5+285+427492+144808.5-4582.5+117687.5+159.5</f>
        <v>7315834.5</v>
      </c>
      <c r="N16" s="353">
        <f>302979+231870+176034+121748+3+91906+35+60830+21133-764+16236+14</f>
        <v>1022024</v>
      </c>
      <c r="O16" s="327">
        <f t="shared" si="2"/>
        <v>7.158182684555353</v>
      </c>
      <c r="P16" s="242"/>
    </row>
    <row r="17" spans="1:16" s="7" customFormat="1" ht="15">
      <c r="A17" s="103">
        <v>13</v>
      </c>
      <c r="B17" s="249" t="s">
        <v>262</v>
      </c>
      <c r="C17" s="117">
        <v>39129</v>
      </c>
      <c r="D17" s="128" t="s">
        <v>58</v>
      </c>
      <c r="E17" s="128" t="s">
        <v>66</v>
      </c>
      <c r="F17" s="118">
        <v>43</v>
      </c>
      <c r="G17" s="118">
        <v>41</v>
      </c>
      <c r="H17" s="118">
        <v>4</v>
      </c>
      <c r="I17" s="252">
        <v>113636.5</v>
      </c>
      <c r="J17" s="253">
        <v>15320</v>
      </c>
      <c r="K17" s="349">
        <f t="shared" si="0"/>
        <v>373.6585365853659</v>
      </c>
      <c r="L17" s="321">
        <f t="shared" si="1"/>
        <v>7.4175261096605745</v>
      </c>
      <c r="M17" s="354">
        <f>384662.5+356262.5+212054+113636.5</f>
        <v>1066615.5</v>
      </c>
      <c r="N17" s="353">
        <f>44623+40340+24564+15320</f>
        <v>124847</v>
      </c>
      <c r="O17" s="327">
        <f t="shared" si="2"/>
        <v>8.54338109846452</v>
      </c>
      <c r="P17" s="242"/>
    </row>
    <row r="18" spans="1:16" s="7" customFormat="1" ht="15">
      <c r="A18" s="103">
        <v>14</v>
      </c>
      <c r="B18" s="248" t="s">
        <v>290</v>
      </c>
      <c r="C18" s="116">
        <v>39048</v>
      </c>
      <c r="D18" s="127" t="s">
        <v>56</v>
      </c>
      <c r="E18" s="126" t="s">
        <v>11</v>
      </c>
      <c r="F18" s="272">
        <v>69</v>
      </c>
      <c r="G18" s="272">
        <v>28</v>
      </c>
      <c r="H18" s="272">
        <v>12</v>
      </c>
      <c r="I18" s="254">
        <v>99293</v>
      </c>
      <c r="J18" s="318">
        <v>11789</v>
      </c>
      <c r="K18" s="349">
        <f t="shared" si="0"/>
        <v>421.0357142857143</v>
      </c>
      <c r="L18" s="321">
        <f t="shared" si="1"/>
        <v>8.422512511663415</v>
      </c>
      <c r="M18" s="350">
        <f>1784+717+847980+543938+437343+283662.5-1.5+63775-9+23989+24707+13479+875+2752+191667+99293</f>
        <v>2535951</v>
      </c>
      <c r="N18" s="351">
        <f>159+58+95070+64015+51768+33156+9566-1+4418+4942+2620+136+553+20779+11789</f>
        <v>299028</v>
      </c>
      <c r="O18" s="327">
        <f t="shared" si="2"/>
        <v>8.480647297243067</v>
      </c>
      <c r="P18" s="242"/>
    </row>
    <row r="19" spans="1:16" s="7" customFormat="1" ht="15">
      <c r="A19" s="103">
        <v>15</v>
      </c>
      <c r="B19" s="248" t="s">
        <v>229</v>
      </c>
      <c r="C19" s="116">
        <v>39115</v>
      </c>
      <c r="D19" s="127" t="s">
        <v>56</v>
      </c>
      <c r="E19" s="126" t="s">
        <v>11</v>
      </c>
      <c r="F19" s="272">
        <v>81</v>
      </c>
      <c r="G19" s="272">
        <v>55</v>
      </c>
      <c r="H19" s="272">
        <v>6</v>
      </c>
      <c r="I19" s="254">
        <v>88526</v>
      </c>
      <c r="J19" s="318">
        <v>16522</v>
      </c>
      <c r="K19" s="349">
        <f t="shared" si="0"/>
        <v>300.4</v>
      </c>
      <c r="L19" s="321">
        <f t="shared" si="1"/>
        <v>5.358068030504781</v>
      </c>
      <c r="M19" s="350">
        <f>3091+1174032+810484+561094+347033+135358+88526</f>
        <v>3119618</v>
      </c>
      <c r="N19" s="351">
        <f>289+128246+92369+63358+42093+20318+16522</f>
        <v>363195</v>
      </c>
      <c r="O19" s="327">
        <f t="shared" si="2"/>
        <v>8.589374853728714</v>
      </c>
      <c r="P19" s="242"/>
    </row>
    <row r="20" spans="1:16" s="7" customFormat="1" ht="15">
      <c r="A20" s="103">
        <v>16</v>
      </c>
      <c r="B20" s="249" t="s">
        <v>301</v>
      </c>
      <c r="C20" s="117">
        <v>39143</v>
      </c>
      <c r="D20" s="128" t="s">
        <v>58</v>
      </c>
      <c r="E20" s="128" t="s">
        <v>59</v>
      </c>
      <c r="F20" s="118">
        <v>20</v>
      </c>
      <c r="G20" s="118">
        <v>2</v>
      </c>
      <c r="H20" s="118">
        <v>20</v>
      </c>
      <c r="I20" s="252">
        <v>81464</v>
      </c>
      <c r="J20" s="253">
        <v>8086</v>
      </c>
      <c r="K20" s="349">
        <f t="shared" si="0"/>
        <v>4043</v>
      </c>
      <c r="L20" s="321">
        <f t="shared" si="1"/>
        <v>10.074697007172892</v>
      </c>
      <c r="M20" s="354">
        <f>129159.5+81464</f>
        <v>210623.5</v>
      </c>
      <c r="N20" s="353">
        <f>12733+8086</f>
        <v>20819</v>
      </c>
      <c r="O20" s="327">
        <f t="shared" si="2"/>
        <v>10.116888419232431</v>
      </c>
      <c r="P20" s="242"/>
    </row>
    <row r="21" spans="1:16" s="7" customFormat="1" ht="15">
      <c r="A21" s="103">
        <v>17</v>
      </c>
      <c r="B21" s="249" t="s">
        <v>321</v>
      </c>
      <c r="C21" s="119">
        <v>39150</v>
      </c>
      <c r="D21" s="130" t="s">
        <v>64</v>
      </c>
      <c r="E21" s="130" t="s">
        <v>322</v>
      </c>
      <c r="F21" s="273">
        <v>10</v>
      </c>
      <c r="G21" s="273">
        <v>11</v>
      </c>
      <c r="H21" s="273">
        <v>1</v>
      </c>
      <c r="I21" s="261">
        <v>79877</v>
      </c>
      <c r="J21" s="319">
        <v>7779</v>
      </c>
      <c r="K21" s="349">
        <f t="shared" si="0"/>
        <v>707.1818181818181</v>
      </c>
      <c r="L21" s="321">
        <f t="shared" si="1"/>
        <v>10.268286412135236</v>
      </c>
      <c r="M21" s="355">
        <f>I21</f>
        <v>79877</v>
      </c>
      <c r="N21" s="356">
        <f>J21</f>
        <v>7779</v>
      </c>
      <c r="O21" s="327">
        <f t="shared" si="2"/>
        <v>10.268286412135236</v>
      </c>
      <c r="P21" s="242"/>
    </row>
    <row r="22" spans="1:16" s="7" customFormat="1" ht="15">
      <c r="A22" s="103">
        <v>18</v>
      </c>
      <c r="B22" s="250" t="s">
        <v>265</v>
      </c>
      <c r="C22" s="117">
        <v>39136</v>
      </c>
      <c r="D22" s="132" t="s">
        <v>23</v>
      </c>
      <c r="E22" s="131" t="s">
        <v>69</v>
      </c>
      <c r="F22" s="120">
        <v>24</v>
      </c>
      <c r="G22" s="120">
        <v>24</v>
      </c>
      <c r="H22" s="120">
        <v>3</v>
      </c>
      <c r="I22" s="252">
        <v>71165</v>
      </c>
      <c r="J22" s="253">
        <v>7578</v>
      </c>
      <c r="K22" s="353">
        <f t="shared" si="0"/>
        <v>315.75</v>
      </c>
      <c r="L22" s="374">
        <f t="shared" si="1"/>
        <v>9.39100026392188</v>
      </c>
      <c r="M22" s="354">
        <f>3098.5+271243.5+169425.5+71165</f>
        <v>514932.5</v>
      </c>
      <c r="N22" s="353">
        <f>316+26059+16381+7578</f>
        <v>50334</v>
      </c>
      <c r="O22" s="327">
        <f t="shared" si="2"/>
        <v>10.230311519052728</v>
      </c>
      <c r="P22" s="242"/>
    </row>
    <row r="23" spans="1:16" s="7" customFormat="1" ht="15">
      <c r="A23" s="103">
        <v>19</v>
      </c>
      <c r="B23" s="251" t="s">
        <v>237</v>
      </c>
      <c r="C23" s="116">
        <v>39115</v>
      </c>
      <c r="D23" s="129" t="s">
        <v>45</v>
      </c>
      <c r="E23" s="129" t="s">
        <v>238</v>
      </c>
      <c r="F23" s="271" t="s">
        <v>239</v>
      </c>
      <c r="G23" s="271" t="s">
        <v>323</v>
      </c>
      <c r="H23" s="271" t="s">
        <v>292</v>
      </c>
      <c r="I23" s="254">
        <v>67133.5</v>
      </c>
      <c r="J23" s="318">
        <v>12786</v>
      </c>
      <c r="K23" s="349">
        <f t="shared" si="0"/>
        <v>224.31578947368422</v>
      </c>
      <c r="L23" s="321">
        <f t="shared" si="1"/>
        <v>5.250547473799468</v>
      </c>
      <c r="M23" s="350">
        <v>1623104</v>
      </c>
      <c r="N23" s="351">
        <v>225699</v>
      </c>
      <c r="O23" s="327">
        <f t="shared" si="2"/>
        <v>7.1914541048033</v>
      </c>
      <c r="P23" s="242"/>
    </row>
    <row r="24" spans="1:16" s="7" customFormat="1" ht="15">
      <c r="A24" s="103">
        <v>20</v>
      </c>
      <c r="B24" s="248" t="s">
        <v>245</v>
      </c>
      <c r="C24" s="116">
        <v>39108</v>
      </c>
      <c r="D24" s="127" t="s">
        <v>56</v>
      </c>
      <c r="E24" s="126" t="s">
        <v>268</v>
      </c>
      <c r="F24" s="272">
        <v>148</v>
      </c>
      <c r="G24" s="272">
        <v>47</v>
      </c>
      <c r="H24" s="272">
        <v>7</v>
      </c>
      <c r="I24" s="254">
        <v>57466</v>
      </c>
      <c r="J24" s="318">
        <v>12561</v>
      </c>
      <c r="K24" s="349">
        <f t="shared" si="0"/>
        <v>267.25531914893617</v>
      </c>
      <c r="L24" s="321">
        <f t="shared" si="1"/>
        <v>4.574954223389858</v>
      </c>
      <c r="M24" s="350">
        <f>1992651+1728920+984064+346169+182382+106480+57466</f>
        <v>5398132</v>
      </c>
      <c r="N24" s="351">
        <f>274655+238848+139396+51021+30073+21220+12561</f>
        <v>767774</v>
      </c>
      <c r="O24" s="327">
        <f t="shared" si="2"/>
        <v>7.030886693219619</v>
      </c>
      <c r="P24" s="242"/>
    </row>
    <row r="25" spans="1:16" s="7" customFormat="1" ht="15">
      <c r="A25" s="103">
        <v>21</v>
      </c>
      <c r="B25" s="249" t="s">
        <v>273</v>
      </c>
      <c r="C25" s="117">
        <v>39136</v>
      </c>
      <c r="D25" s="128" t="s">
        <v>58</v>
      </c>
      <c r="E25" s="128" t="s">
        <v>274</v>
      </c>
      <c r="F25" s="118">
        <v>50</v>
      </c>
      <c r="G25" s="118">
        <v>50</v>
      </c>
      <c r="H25" s="118">
        <v>3</v>
      </c>
      <c r="I25" s="252">
        <v>55649.5</v>
      </c>
      <c r="J25" s="253">
        <v>7944</v>
      </c>
      <c r="K25" s="349">
        <f t="shared" si="0"/>
        <v>158.88</v>
      </c>
      <c r="L25" s="321">
        <f t="shared" si="1"/>
        <v>7.005224068479356</v>
      </c>
      <c r="M25" s="354">
        <f>176703.5+117666.5+55649.5-153</f>
        <v>349866.5</v>
      </c>
      <c r="N25" s="353">
        <f>23632+15507+7944-13</f>
        <v>47070</v>
      </c>
      <c r="O25" s="327">
        <f t="shared" si="2"/>
        <v>7.432897811769704</v>
      </c>
      <c r="P25" s="242"/>
    </row>
    <row r="26" spans="1:16" s="7" customFormat="1" ht="15">
      <c r="A26" s="103">
        <v>22</v>
      </c>
      <c r="B26" s="248" t="s">
        <v>260</v>
      </c>
      <c r="C26" s="116">
        <v>39129</v>
      </c>
      <c r="D26" s="126" t="s">
        <v>48</v>
      </c>
      <c r="E26" s="126" t="s">
        <v>193</v>
      </c>
      <c r="F26" s="272">
        <v>113</v>
      </c>
      <c r="G26" s="272">
        <v>60</v>
      </c>
      <c r="H26" s="272">
        <v>4</v>
      </c>
      <c r="I26" s="255">
        <v>49818.5</v>
      </c>
      <c r="J26" s="320">
        <v>8503</v>
      </c>
      <c r="K26" s="349">
        <f t="shared" si="0"/>
        <v>141.71666666666667</v>
      </c>
      <c r="L26" s="321">
        <f t="shared" si="1"/>
        <v>5.858932141597084</v>
      </c>
      <c r="M26" s="352">
        <f>664515+531932.5+233215.5+49818.5</f>
        <v>1479481.5</v>
      </c>
      <c r="N26" s="353">
        <f>85126+68647+30568+8503</f>
        <v>192844</v>
      </c>
      <c r="O26" s="327">
        <f t="shared" si="2"/>
        <v>7.671908381904545</v>
      </c>
      <c r="P26" s="242"/>
    </row>
    <row r="27" spans="1:16" s="7" customFormat="1" ht="15">
      <c r="A27" s="103">
        <v>23</v>
      </c>
      <c r="B27" s="248" t="s">
        <v>246</v>
      </c>
      <c r="C27" s="116">
        <v>39122</v>
      </c>
      <c r="D27" s="127" t="s">
        <v>56</v>
      </c>
      <c r="E27" s="126" t="s">
        <v>240</v>
      </c>
      <c r="F27" s="272">
        <v>60</v>
      </c>
      <c r="G27" s="272">
        <v>24</v>
      </c>
      <c r="H27" s="272">
        <v>5</v>
      </c>
      <c r="I27" s="254">
        <v>39053</v>
      </c>
      <c r="J27" s="318">
        <v>7212</v>
      </c>
      <c r="K27" s="349">
        <f t="shared" si="0"/>
        <v>300.5</v>
      </c>
      <c r="L27" s="321">
        <f t="shared" si="1"/>
        <v>5.415002773155852</v>
      </c>
      <c r="M27" s="350">
        <f>532455+318401+212166+27739+39053</f>
        <v>1129814</v>
      </c>
      <c r="N27" s="351">
        <f>62334+37213+25119+5045+7212</f>
        <v>136923</v>
      </c>
      <c r="O27" s="327">
        <f t="shared" si="2"/>
        <v>8.25145519744674</v>
      </c>
      <c r="P27" s="242"/>
    </row>
    <row r="28" spans="1:16" s="7" customFormat="1" ht="15">
      <c r="A28" s="103">
        <v>24</v>
      </c>
      <c r="B28" s="248" t="s">
        <v>190</v>
      </c>
      <c r="C28" s="116">
        <v>39108</v>
      </c>
      <c r="D28" s="127" t="s">
        <v>56</v>
      </c>
      <c r="E28" s="126" t="s">
        <v>11</v>
      </c>
      <c r="F28" s="272">
        <v>131</v>
      </c>
      <c r="G28" s="272">
        <v>34</v>
      </c>
      <c r="H28" s="272">
        <v>7</v>
      </c>
      <c r="I28" s="254">
        <v>37161</v>
      </c>
      <c r="J28" s="318">
        <v>6979</v>
      </c>
      <c r="K28" s="349">
        <f t="shared" si="0"/>
        <v>205.26470588235293</v>
      </c>
      <c r="L28" s="321">
        <f t="shared" si="1"/>
        <v>5.324688350766586</v>
      </c>
      <c r="M28" s="350">
        <f>3063+1388108+1182918+556749+125580+97410+76666+37161</f>
        <v>3467655</v>
      </c>
      <c r="N28" s="351">
        <f>313+167433+145432+67053+17220+16427+14008+6979</f>
        <v>434865</v>
      </c>
      <c r="O28" s="327">
        <f t="shared" si="2"/>
        <v>7.97409540892001</v>
      </c>
      <c r="P28" s="242"/>
    </row>
    <row r="29" spans="1:16" s="7" customFormat="1" ht="15">
      <c r="A29" s="103">
        <v>25</v>
      </c>
      <c r="B29" s="249" t="s">
        <v>324</v>
      </c>
      <c r="C29" s="117">
        <v>39150</v>
      </c>
      <c r="D29" s="128" t="s">
        <v>58</v>
      </c>
      <c r="E29" s="128" t="s">
        <v>248</v>
      </c>
      <c r="F29" s="118">
        <v>36</v>
      </c>
      <c r="G29" s="118">
        <v>36</v>
      </c>
      <c r="H29" s="118">
        <v>1</v>
      </c>
      <c r="I29" s="252">
        <v>36532.5</v>
      </c>
      <c r="J29" s="253">
        <v>5376</v>
      </c>
      <c r="K29" s="349">
        <f t="shared" si="0"/>
        <v>149.33333333333334</v>
      </c>
      <c r="L29" s="321">
        <f t="shared" si="1"/>
        <v>6.795479910714286</v>
      </c>
      <c r="M29" s="354">
        <f>36532.5</f>
        <v>36532.5</v>
      </c>
      <c r="N29" s="353">
        <f>5376</f>
        <v>5376</v>
      </c>
      <c r="O29" s="327">
        <f t="shared" si="2"/>
        <v>6.795479910714286</v>
      </c>
      <c r="P29" s="242"/>
    </row>
    <row r="30" spans="1:16" s="7" customFormat="1" ht="15">
      <c r="A30" s="103">
        <v>26</v>
      </c>
      <c r="B30" s="249" t="s">
        <v>272</v>
      </c>
      <c r="C30" s="117">
        <v>39136</v>
      </c>
      <c r="D30" s="128" t="s">
        <v>57</v>
      </c>
      <c r="E30" s="128" t="s">
        <v>65</v>
      </c>
      <c r="F30" s="118">
        <v>34</v>
      </c>
      <c r="G30" s="118">
        <v>33</v>
      </c>
      <c r="H30" s="118">
        <v>3</v>
      </c>
      <c r="I30" s="252">
        <v>28463</v>
      </c>
      <c r="J30" s="253">
        <v>3253</v>
      </c>
      <c r="K30" s="349">
        <f t="shared" si="0"/>
        <v>98.57575757575758</v>
      </c>
      <c r="L30" s="321">
        <f t="shared" si="1"/>
        <v>8.749769443590532</v>
      </c>
      <c r="M30" s="354">
        <v>318858</v>
      </c>
      <c r="N30" s="353">
        <v>32810</v>
      </c>
      <c r="O30" s="327">
        <f t="shared" si="2"/>
        <v>9.718317586101799</v>
      </c>
      <c r="P30" s="242"/>
    </row>
    <row r="31" spans="1:16" s="7" customFormat="1" ht="15">
      <c r="A31" s="103">
        <v>27</v>
      </c>
      <c r="B31" s="249" t="s">
        <v>183</v>
      </c>
      <c r="C31" s="117">
        <v>39094</v>
      </c>
      <c r="D31" s="128" t="s">
        <v>58</v>
      </c>
      <c r="E31" s="128" t="s">
        <v>264</v>
      </c>
      <c r="F31" s="118">
        <v>226</v>
      </c>
      <c r="G31" s="118">
        <v>9</v>
      </c>
      <c r="H31" s="118">
        <v>9</v>
      </c>
      <c r="I31" s="252">
        <v>19023</v>
      </c>
      <c r="J31" s="253">
        <v>3829</v>
      </c>
      <c r="K31" s="349">
        <f t="shared" si="0"/>
        <v>425.44444444444446</v>
      </c>
      <c r="L31" s="321">
        <f t="shared" si="1"/>
        <v>4.968137895011752</v>
      </c>
      <c r="M31" s="354">
        <f>3142328+2138928+1454143+1085018.5-637+512497+119516+49072.5+21975.5+19023</f>
        <v>8541864.5</v>
      </c>
      <c r="N31" s="353">
        <f>453903+300559+202455+152725+101+73889+22414+10560+4196+3829</f>
        <v>1224631</v>
      </c>
      <c r="O31" s="327">
        <f t="shared" si="2"/>
        <v>6.975051668625079</v>
      </c>
      <c r="P31" s="242"/>
    </row>
    <row r="32" spans="1:16" s="7" customFormat="1" ht="15">
      <c r="A32" s="103">
        <v>28</v>
      </c>
      <c r="B32" s="249" t="s">
        <v>325</v>
      </c>
      <c r="C32" s="117">
        <v>39129</v>
      </c>
      <c r="D32" s="128" t="s">
        <v>57</v>
      </c>
      <c r="E32" s="128" t="s">
        <v>320</v>
      </c>
      <c r="F32" s="118">
        <v>39</v>
      </c>
      <c r="G32" s="118">
        <v>23</v>
      </c>
      <c r="H32" s="118">
        <v>3</v>
      </c>
      <c r="I32" s="252">
        <v>14326</v>
      </c>
      <c r="J32" s="253">
        <v>2780</v>
      </c>
      <c r="K32" s="349">
        <f t="shared" si="0"/>
        <v>120.8695652173913</v>
      </c>
      <c r="L32" s="321">
        <f t="shared" si="1"/>
        <v>5.1532374100719425</v>
      </c>
      <c r="M32" s="354">
        <v>897977</v>
      </c>
      <c r="N32" s="353">
        <v>94751</v>
      </c>
      <c r="O32" s="327">
        <f t="shared" si="2"/>
        <v>9.477229791770007</v>
      </c>
      <c r="P32" s="242"/>
    </row>
    <row r="33" spans="1:16" s="7" customFormat="1" ht="15">
      <c r="A33" s="103">
        <v>29</v>
      </c>
      <c r="B33" s="249" t="s">
        <v>241</v>
      </c>
      <c r="C33" s="117">
        <v>39122</v>
      </c>
      <c r="D33" s="128" t="s">
        <v>57</v>
      </c>
      <c r="E33" s="128" t="s">
        <v>60</v>
      </c>
      <c r="F33" s="118">
        <v>12</v>
      </c>
      <c r="G33" s="118">
        <v>12</v>
      </c>
      <c r="H33" s="118">
        <v>5</v>
      </c>
      <c r="I33" s="252">
        <v>13123</v>
      </c>
      <c r="J33" s="253">
        <v>2625</v>
      </c>
      <c r="K33" s="349">
        <f t="shared" si="0"/>
        <v>218.75</v>
      </c>
      <c r="L33" s="321">
        <f t="shared" si="1"/>
        <v>4.999238095238095</v>
      </c>
      <c r="M33" s="354">
        <v>242344</v>
      </c>
      <c r="N33" s="353">
        <v>38475</v>
      </c>
      <c r="O33" s="327">
        <f t="shared" si="2"/>
        <v>6.298739441195582</v>
      </c>
      <c r="P33" s="242"/>
    </row>
    <row r="34" spans="1:16" s="7" customFormat="1" ht="15">
      <c r="A34" s="103">
        <v>30</v>
      </c>
      <c r="B34" s="250" t="s">
        <v>167</v>
      </c>
      <c r="C34" s="117">
        <v>39094</v>
      </c>
      <c r="D34" s="132" t="s">
        <v>23</v>
      </c>
      <c r="E34" s="131" t="s">
        <v>69</v>
      </c>
      <c r="F34" s="120">
        <v>42</v>
      </c>
      <c r="G34" s="120">
        <v>19</v>
      </c>
      <c r="H34" s="120">
        <v>9</v>
      </c>
      <c r="I34" s="252">
        <v>12776</v>
      </c>
      <c r="J34" s="253">
        <v>2655</v>
      </c>
      <c r="K34" s="353">
        <f t="shared" si="0"/>
        <v>139.73684210526315</v>
      </c>
      <c r="L34" s="374">
        <f t="shared" si="1"/>
        <v>4.812052730696799</v>
      </c>
      <c r="M34" s="354">
        <f>116992.5+114120.5+59552+32990+22575.5+13689.5+13072.5+9182.5+12776</f>
        <v>394951</v>
      </c>
      <c r="N34" s="353">
        <f>13983+14934+8576+5091+3923+2713+2832+1841+2655</f>
        <v>56548</v>
      </c>
      <c r="O34" s="327">
        <f t="shared" si="2"/>
        <v>6.984349579118625</v>
      </c>
      <c r="P34" s="242"/>
    </row>
    <row r="35" spans="1:16" s="7" customFormat="1" ht="15">
      <c r="A35" s="103">
        <v>31</v>
      </c>
      <c r="B35" s="249" t="s">
        <v>247</v>
      </c>
      <c r="C35" s="117">
        <v>39122</v>
      </c>
      <c r="D35" s="128" t="s">
        <v>58</v>
      </c>
      <c r="E35" s="128" t="s">
        <v>248</v>
      </c>
      <c r="F35" s="118">
        <v>62</v>
      </c>
      <c r="G35" s="118">
        <v>22</v>
      </c>
      <c r="H35" s="118">
        <v>5</v>
      </c>
      <c r="I35" s="252">
        <v>12773.5</v>
      </c>
      <c r="J35" s="253">
        <v>2650</v>
      </c>
      <c r="K35" s="349">
        <f t="shared" si="0"/>
        <v>120.45454545454545</v>
      </c>
      <c r="L35" s="321">
        <f t="shared" si="1"/>
        <v>4.820188679245283</v>
      </c>
      <c r="M35" s="354">
        <f>248079.5+111544+46796.5+33721+12773.5</f>
        <v>452914.5</v>
      </c>
      <c r="N35" s="353">
        <f>36414+17429+7900+6638+2650</f>
        <v>71031</v>
      </c>
      <c r="O35" s="327">
        <f t="shared" si="2"/>
        <v>6.376293449339021</v>
      </c>
      <c r="P35" s="242"/>
    </row>
    <row r="36" spans="1:16" s="7" customFormat="1" ht="15">
      <c r="A36" s="103">
        <v>32</v>
      </c>
      <c r="B36" s="251" t="s">
        <v>271</v>
      </c>
      <c r="C36" s="116">
        <v>39136</v>
      </c>
      <c r="D36" s="129" t="s">
        <v>45</v>
      </c>
      <c r="E36" s="129" t="s">
        <v>227</v>
      </c>
      <c r="F36" s="271" t="s">
        <v>239</v>
      </c>
      <c r="G36" s="271" t="s">
        <v>326</v>
      </c>
      <c r="H36" s="271" t="s">
        <v>327</v>
      </c>
      <c r="I36" s="254">
        <v>10403</v>
      </c>
      <c r="J36" s="318">
        <v>1871</v>
      </c>
      <c r="K36" s="349">
        <f t="shared" si="0"/>
        <v>41.577777777777776</v>
      </c>
      <c r="L36" s="321">
        <f t="shared" si="1"/>
        <v>5.560128273650454</v>
      </c>
      <c r="M36" s="350">
        <v>313118.26852593897</v>
      </c>
      <c r="N36" s="351">
        <v>43863</v>
      </c>
      <c r="O36" s="327">
        <f t="shared" si="2"/>
        <v>7.138551137084535</v>
      </c>
      <c r="P36" s="242"/>
    </row>
    <row r="37" spans="1:16" s="7" customFormat="1" ht="15">
      <c r="A37" s="103">
        <v>33</v>
      </c>
      <c r="B37" s="248" t="s">
        <v>119</v>
      </c>
      <c r="C37" s="116">
        <v>39080</v>
      </c>
      <c r="D37" s="127" t="s">
        <v>56</v>
      </c>
      <c r="E37" s="126" t="s">
        <v>61</v>
      </c>
      <c r="F37" s="272">
        <v>80</v>
      </c>
      <c r="G37" s="272">
        <v>5</v>
      </c>
      <c r="H37" s="272">
        <v>11</v>
      </c>
      <c r="I37" s="254">
        <v>6907</v>
      </c>
      <c r="J37" s="318">
        <v>755</v>
      </c>
      <c r="K37" s="349">
        <f aca="true" t="shared" si="3" ref="K37:K68">J37/G37</f>
        <v>151</v>
      </c>
      <c r="L37" s="321">
        <f aca="true" t="shared" si="4" ref="L37:L68">I37/J37</f>
        <v>9.148344370860928</v>
      </c>
      <c r="M37" s="350">
        <f>1367+686114+384405+247619+146119+85619+63759-1+18934+11869+10791+11315+6907</f>
        <v>1674817</v>
      </c>
      <c r="N37" s="351">
        <f>80773+116+46317+29887+17891+10484+7685+2801+1917+1334+1333+755</f>
        <v>201293</v>
      </c>
      <c r="O37" s="327">
        <f t="shared" si="2"/>
        <v>8.32029429736752</v>
      </c>
      <c r="P37" s="242"/>
    </row>
    <row r="38" spans="1:16" s="7" customFormat="1" ht="15">
      <c r="A38" s="103">
        <v>34</v>
      </c>
      <c r="B38" s="251" t="s">
        <v>124</v>
      </c>
      <c r="C38" s="116">
        <v>39080</v>
      </c>
      <c r="D38" s="129" t="s">
        <v>45</v>
      </c>
      <c r="E38" s="129" t="s">
        <v>97</v>
      </c>
      <c r="F38" s="271" t="s">
        <v>125</v>
      </c>
      <c r="G38" s="271" t="s">
        <v>328</v>
      </c>
      <c r="H38" s="271" t="s">
        <v>304</v>
      </c>
      <c r="I38" s="254">
        <v>6272</v>
      </c>
      <c r="J38" s="318">
        <v>1383</v>
      </c>
      <c r="K38" s="349">
        <f t="shared" si="3"/>
        <v>345.75</v>
      </c>
      <c r="L38" s="321">
        <f t="shared" si="4"/>
        <v>4.5350686912509035</v>
      </c>
      <c r="M38" s="350">
        <v>2967544.5</v>
      </c>
      <c r="N38" s="351">
        <v>397663</v>
      </c>
      <c r="O38" s="327">
        <f t="shared" si="2"/>
        <v>7.462460676502466</v>
      </c>
      <c r="P38" s="242"/>
    </row>
    <row r="39" spans="1:16" s="7" customFormat="1" ht="15">
      <c r="A39" s="103">
        <v>35</v>
      </c>
      <c r="B39" s="251" t="s">
        <v>164</v>
      </c>
      <c r="C39" s="116">
        <v>39094</v>
      </c>
      <c r="D39" s="129" t="s">
        <v>73</v>
      </c>
      <c r="E39" s="129" t="s">
        <v>136</v>
      </c>
      <c r="F39" s="271" t="s">
        <v>165</v>
      </c>
      <c r="G39" s="271" t="s">
        <v>328</v>
      </c>
      <c r="H39" s="271" t="s">
        <v>230</v>
      </c>
      <c r="I39" s="254">
        <v>5692</v>
      </c>
      <c r="J39" s="318">
        <v>978</v>
      </c>
      <c r="K39" s="349">
        <f t="shared" si="3"/>
        <v>244.5</v>
      </c>
      <c r="L39" s="321">
        <f t="shared" si="4"/>
        <v>5.820040899795501</v>
      </c>
      <c r="M39" s="350">
        <v>760698</v>
      </c>
      <c r="N39" s="351">
        <v>81065</v>
      </c>
      <c r="O39" s="327">
        <f t="shared" si="2"/>
        <v>9.383803120952322</v>
      </c>
      <c r="P39" s="242"/>
    </row>
    <row r="40" spans="1:16" s="7" customFormat="1" ht="15">
      <c r="A40" s="103">
        <v>36</v>
      </c>
      <c r="B40" s="248" t="s">
        <v>275</v>
      </c>
      <c r="C40" s="116">
        <v>39136</v>
      </c>
      <c r="D40" s="127" t="s">
        <v>56</v>
      </c>
      <c r="E40" s="126" t="s">
        <v>11</v>
      </c>
      <c r="F40" s="272">
        <v>9</v>
      </c>
      <c r="G40" s="272">
        <v>7</v>
      </c>
      <c r="H40" s="272">
        <v>3</v>
      </c>
      <c r="I40" s="254">
        <v>5685</v>
      </c>
      <c r="J40" s="318">
        <v>660</v>
      </c>
      <c r="K40" s="349">
        <f t="shared" si="3"/>
        <v>94.28571428571429</v>
      </c>
      <c r="L40" s="321">
        <f t="shared" si="4"/>
        <v>8.613636363636363</v>
      </c>
      <c r="M40" s="350">
        <f>84092+44359+5685</f>
        <v>134136</v>
      </c>
      <c r="N40" s="351">
        <f>8135+4281+660</f>
        <v>13076</v>
      </c>
      <c r="O40" s="327">
        <f t="shared" si="2"/>
        <v>10.258182930559805</v>
      </c>
      <c r="P40" s="242"/>
    </row>
    <row r="41" spans="1:16" s="7" customFormat="1" ht="15">
      <c r="A41" s="103">
        <v>37</v>
      </c>
      <c r="B41" s="249" t="s">
        <v>249</v>
      </c>
      <c r="C41" s="117">
        <v>39122</v>
      </c>
      <c r="D41" s="128" t="s">
        <v>58</v>
      </c>
      <c r="E41" s="128" t="s">
        <v>66</v>
      </c>
      <c r="F41" s="118">
        <v>27</v>
      </c>
      <c r="G41" s="118">
        <v>17</v>
      </c>
      <c r="H41" s="118">
        <v>5</v>
      </c>
      <c r="I41" s="252">
        <v>5558</v>
      </c>
      <c r="J41" s="253">
        <v>1125</v>
      </c>
      <c r="K41" s="349">
        <f t="shared" si="3"/>
        <v>66.17647058823529</v>
      </c>
      <c r="L41" s="321">
        <f t="shared" si="4"/>
        <v>4.940444444444444</v>
      </c>
      <c r="M41" s="354">
        <f>119870.5+70279+18401+10562+5558</f>
        <v>224670.5</v>
      </c>
      <c r="N41" s="353">
        <f>12204+6994+1908+1977+1125</f>
        <v>24208</v>
      </c>
      <c r="O41" s="327">
        <f t="shared" si="2"/>
        <v>9.280836913417053</v>
      </c>
      <c r="P41" s="242"/>
    </row>
    <row r="42" spans="1:16" s="7" customFormat="1" ht="15">
      <c r="A42" s="103">
        <v>38</v>
      </c>
      <c r="B42" s="249" t="s">
        <v>185</v>
      </c>
      <c r="C42" s="117">
        <v>39115</v>
      </c>
      <c r="D42" s="128" t="s">
        <v>57</v>
      </c>
      <c r="E42" s="128" t="s">
        <v>186</v>
      </c>
      <c r="F42" s="118">
        <v>151</v>
      </c>
      <c r="G42" s="118">
        <v>7</v>
      </c>
      <c r="H42" s="118">
        <v>6</v>
      </c>
      <c r="I42" s="252">
        <v>5425</v>
      </c>
      <c r="J42" s="253">
        <v>1470</v>
      </c>
      <c r="K42" s="349">
        <f t="shared" si="3"/>
        <v>210</v>
      </c>
      <c r="L42" s="321">
        <f t="shared" si="4"/>
        <v>3.6904761904761907</v>
      </c>
      <c r="M42" s="354">
        <v>1036274</v>
      </c>
      <c r="N42" s="353">
        <v>149110</v>
      </c>
      <c r="O42" s="327">
        <f t="shared" si="2"/>
        <v>6.949728388438066</v>
      </c>
      <c r="P42" s="242"/>
    </row>
    <row r="43" spans="1:16" s="7" customFormat="1" ht="15">
      <c r="A43" s="103">
        <v>39</v>
      </c>
      <c r="B43" s="250" t="s">
        <v>83</v>
      </c>
      <c r="C43" s="117">
        <v>38877</v>
      </c>
      <c r="D43" s="132" t="s">
        <v>23</v>
      </c>
      <c r="E43" s="131" t="s">
        <v>27</v>
      </c>
      <c r="F43" s="120">
        <v>64</v>
      </c>
      <c r="G43" s="120">
        <v>3</v>
      </c>
      <c r="H43" s="120">
        <v>32</v>
      </c>
      <c r="I43" s="252">
        <v>5364.5</v>
      </c>
      <c r="J43" s="253">
        <v>1324</v>
      </c>
      <c r="K43" s="353">
        <f t="shared" si="3"/>
        <v>441.3333333333333</v>
      </c>
      <c r="L43" s="374">
        <f t="shared" si="4"/>
        <v>4.051737160120846</v>
      </c>
      <c r="M43" s="354">
        <f>94169.5+63426.5+19841+16453.5+12618.5+9991+4741+3516+3356+2065.5+678+1792.5+320+299+194+83+215+3730+139+814+787+999+514+709+2925+1298+249+160+755+1105+914+5364.5</f>
        <v>254222.5</v>
      </c>
      <c r="N43" s="353">
        <f>14426+9567+3182+3017+2315+1729+923+616+640+472+129+528+43+81+47+20+45+1220+34+161+225+329+168+228+966+413+62+16+140+285+239+1324</f>
        <v>43590</v>
      </c>
      <c r="O43" s="327">
        <f t="shared" si="2"/>
        <v>5.832128928653361</v>
      </c>
      <c r="P43" s="242"/>
    </row>
    <row r="44" spans="1:16" s="7" customFormat="1" ht="15">
      <c r="A44" s="103">
        <v>40</v>
      </c>
      <c r="B44" s="251" t="s">
        <v>329</v>
      </c>
      <c r="C44" s="116">
        <v>38296</v>
      </c>
      <c r="D44" s="129" t="s">
        <v>46</v>
      </c>
      <c r="E44" s="129" t="s">
        <v>187</v>
      </c>
      <c r="F44" s="287">
        <v>20</v>
      </c>
      <c r="G44" s="287">
        <v>3</v>
      </c>
      <c r="H44" s="287">
        <v>37</v>
      </c>
      <c r="I44" s="254">
        <v>5346</v>
      </c>
      <c r="J44" s="318">
        <v>1782</v>
      </c>
      <c r="K44" s="349">
        <f t="shared" si="3"/>
        <v>594</v>
      </c>
      <c r="L44" s="321">
        <f t="shared" si="4"/>
        <v>3</v>
      </c>
      <c r="M44" s="350">
        <v>331454</v>
      </c>
      <c r="N44" s="351">
        <v>50645</v>
      </c>
      <c r="O44" s="327">
        <f t="shared" si="2"/>
        <v>6.544653963866127</v>
      </c>
      <c r="P44" s="242"/>
    </row>
    <row r="45" spans="1:16" s="7" customFormat="1" ht="15">
      <c r="A45" s="103">
        <v>41</v>
      </c>
      <c r="B45" s="249" t="s">
        <v>254</v>
      </c>
      <c r="C45" s="117">
        <v>38674</v>
      </c>
      <c r="D45" s="128" t="s">
        <v>58</v>
      </c>
      <c r="E45" s="128" t="s">
        <v>330</v>
      </c>
      <c r="F45" s="118">
        <v>135</v>
      </c>
      <c r="G45" s="118">
        <v>1</v>
      </c>
      <c r="H45" s="118">
        <v>53</v>
      </c>
      <c r="I45" s="252">
        <v>5035</v>
      </c>
      <c r="J45" s="253">
        <v>1007</v>
      </c>
      <c r="K45" s="349">
        <f t="shared" si="3"/>
        <v>1007</v>
      </c>
      <c r="L45" s="321">
        <f t="shared" si="4"/>
        <v>5</v>
      </c>
      <c r="M45" s="354">
        <f>574568+1404261+2751877+3258896.5+2619095+1721177.5+1470030+1888546+1731654+1414026+1497050.5+996634+787201+777126+643480+509219.5+398974.5+275448+165366.5+73833.5+34414.5+18373+9776.5+10959.5+18948+5394+25647+638+416+7529+65562+23630+27062+8047+12612+19334+5461+21448+6611+467+80543+28795+5328+149+4598+326+2893+603+2376+315+1189+493+5035</f>
        <v>25413437</v>
      </c>
      <c r="N45" s="353">
        <f>74406+182802+367017+453161+369242+239307+216443+244832+235512+212084+230729+167361+134787+155924+132040+97910+71996+60438+31787+16691+9973+5959+2986+3569+5752+1319+6383+116+74+2435+21718+7677+8998+2322+3842+5954+1789+5799+2025+141+20137+7199+1304+37+1142+84+717+103+476+105+238+96+1007</f>
        <v>3825945</v>
      </c>
      <c r="O45" s="327">
        <f t="shared" si="2"/>
        <v>6.642394754759935</v>
      </c>
      <c r="P45" s="242"/>
    </row>
    <row r="46" spans="1:16" s="7" customFormat="1" ht="15">
      <c r="A46" s="103">
        <v>42</v>
      </c>
      <c r="B46" s="249" t="s">
        <v>302</v>
      </c>
      <c r="C46" s="117">
        <v>39136</v>
      </c>
      <c r="D46" s="128" t="s">
        <v>58</v>
      </c>
      <c r="E46" s="128" t="s">
        <v>59</v>
      </c>
      <c r="F46" s="118">
        <v>7</v>
      </c>
      <c r="G46" s="118">
        <v>7</v>
      </c>
      <c r="H46" s="118">
        <v>3</v>
      </c>
      <c r="I46" s="252">
        <v>4970.5</v>
      </c>
      <c r="J46" s="253">
        <v>546</v>
      </c>
      <c r="K46" s="349">
        <f t="shared" si="3"/>
        <v>78</v>
      </c>
      <c r="L46" s="321">
        <f t="shared" si="4"/>
        <v>9.103479853479854</v>
      </c>
      <c r="M46" s="354">
        <f>23106.5+15905+4970.5</f>
        <v>43982</v>
      </c>
      <c r="N46" s="353">
        <f>2469+1725</f>
        <v>4194</v>
      </c>
      <c r="O46" s="327">
        <f t="shared" si="2"/>
        <v>10.48688602765856</v>
      </c>
      <c r="P46" s="242"/>
    </row>
    <row r="47" spans="1:16" s="7" customFormat="1" ht="15">
      <c r="A47" s="103">
        <v>43</v>
      </c>
      <c r="B47" s="249" t="s">
        <v>79</v>
      </c>
      <c r="C47" s="117">
        <v>39052</v>
      </c>
      <c r="D47" s="128" t="s">
        <v>58</v>
      </c>
      <c r="E47" s="128" t="s">
        <v>331</v>
      </c>
      <c r="F47" s="118">
        <v>90</v>
      </c>
      <c r="G47" s="118">
        <v>2</v>
      </c>
      <c r="H47" s="118">
        <v>15</v>
      </c>
      <c r="I47" s="252">
        <v>4629</v>
      </c>
      <c r="J47" s="253">
        <v>964</v>
      </c>
      <c r="K47" s="349">
        <f t="shared" si="3"/>
        <v>482</v>
      </c>
      <c r="L47" s="321">
        <f t="shared" si="4"/>
        <v>4.801867219917012</v>
      </c>
      <c r="M47" s="354">
        <f>806671+699007+428408.5+133320+137891.5+96374+73504+30884+17454.5+10984.5+8264+17976+5607+2782+4629</f>
        <v>2473757</v>
      </c>
      <c r="N47" s="353">
        <f>108387+92156+56693+19301+21080+15913+13224+6184+3648+2101+1405+3081+939+414+964</f>
        <v>345490</v>
      </c>
      <c r="O47" s="327">
        <f t="shared" si="2"/>
        <v>7.160140669773365</v>
      </c>
      <c r="P47" s="242"/>
    </row>
    <row r="48" spans="1:16" s="7" customFormat="1" ht="15">
      <c r="A48" s="103">
        <v>44</v>
      </c>
      <c r="B48" s="248" t="s">
        <v>122</v>
      </c>
      <c r="C48" s="116">
        <v>39073</v>
      </c>
      <c r="D48" s="126" t="s">
        <v>48</v>
      </c>
      <c r="E48" s="126" t="s">
        <v>33</v>
      </c>
      <c r="F48" s="272">
        <v>112</v>
      </c>
      <c r="G48" s="272">
        <v>4</v>
      </c>
      <c r="H48" s="272">
        <v>12</v>
      </c>
      <c r="I48" s="255">
        <v>4541</v>
      </c>
      <c r="J48" s="320">
        <v>777</v>
      </c>
      <c r="K48" s="349">
        <f t="shared" si="3"/>
        <v>194.25</v>
      </c>
      <c r="L48" s="321">
        <f t="shared" si="4"/>
        <v>5.844272844272845</v>
      </c>
      <c r="M48" s="352">
        <f>789768+1289903.5+386658+174047.5+53640.5+11222+13202+16336.5+19067+4695+1360+4541</f>
        <v>2764441</v>
      </c>
      <c r="N48" s="353">
        <f>106210+169709+52723+26534+10972+2184+2814+3779+3834+945+312+777</f>
        <v>380793</v>
      </c>
      <c r="O48" s="327">
        <f t="shared" si="2"/>
        <v>7.259694899853726</v>
      </c>
      <c r="P48" s="242"/>
    </row>
    <row r="49" spans="1:16" s="7" customFormat="1" ht="15">
      <c r="A49" s="103">
        <v>45</v>
      </c>
      <c r="B49" s="249" t="s">
        <v>126</v>
      </c>
      <c r="C49" s="117">
        <v>39073</v>
      </c>
      <c r="D49" s="128" t="s">
        <v>58</v>
      </c>
      <c r="E49" s="128" t="s">
        <v>58</v>
      </c>
      <c r="F49" s="118">
        <v>186</v>
      </c>
      <c r="G49" s="118">
        <v>2</v>
      </c>
      <c r="H49" s="118">
        <v>11</v>
      </c>
      <c r="I49" s="252">
        <v>3378.5</v>
      </c>
      <c r="J49" s="253">
        <v>1198</v>
      </c>
      <c r="K49" s="349">
        <f t="shared" si="3"/>
        <v>599</v>
      </c>
      <c r="L49" s="321">
        <f t="shared" si="4"/>
        <v>2.8201168614357264</v>
      </c>
      <c r="M49" s="354">
        <f>585035+996891+491242.5+184490.5+17956.5+82961.5+2380+24501+8405+848+3378.5</f>
        <v>2398089.5</v>
      </c>
      <c r="N49" s="353">
        <f>86553+140459+66355+26647+3232+11969+430+4854+1984+350+1198</f>
        <v>344031</v>
      </c>
      <c r="O49" s="327">
        <f t="shared" si="2"/>
        <v>6.970562245844125</v>
      </c>
      <c r="P49" s="242"/>
    </row>
    <row r="50" spans="1:16" s="7" customFormat="1" ht="15">
      <c r="A50" s="103">
        <v>46</v>
      </c>
      <c r="B50" s="250" t="s">
        <v>102</v>
      </c>
      <c r="C50" s="117">
        <v>39059</v>
      </c>
      <c r="D50" s="132" t="s">
        <v>23</v>
      </c>
      <c r="E50" s="131" t="s">
        <v>103</v>
      </c>
      <c r="F50" s="120">
        <v>4</v>
      </c>
      <c r="G50" s="120">
        <v>2</v>
      </c>
      <c r="H50" s="120">
        <v>11</v>
      </c>
      <c r="I50" s="252">
        <v>2970</v>
      </c>
      <c r="J50" s="253">
        <v>759</v>
      </c>
      <c r="K50" s="353">
        <f t="shared" si="3"/>
        <v>379.5</v>
      </c>
      <c r="L50" s="374">
        <f t="shared" si="4"/>
        <v>3.9130434782608696</v>
      </c>
      <c r="M50" s="354">
        <f>5003+5487+2620+995+115+453+952+1068+60+117+340+2970</f>
        <v>20180</v>
      </c>
      <c r="N50" s="353">
        <f>1000+688+315+110+14+91+238+267+24+49+68+759</f>
        <v>3623</v>
      </c>
      <c r="O50" s="379">
        <f>M50/N50</f>
        <v>5.569969638421198</v>
      </c>
      <c r="P50" s="242"/>
    </row>
    <row r="51" spans="1:16" s="7" customFormat="1" ht="15">
      <c r="A51" s="103">
        <v>47</v>
      </c>
      <c r="B51" s="250" t="s">
        <v>94</v>
      </c>
      <c r="C51" s="117">
        <v>39010</v>
      </c>
      <c r="D51" s="132" t="s">
        <v>23</v>
      </c>
      <c r="E51" s="131" t="s">
        <v>85</v>
      </c>
      <c r="F51" s="120">
        <v>4</v>
      </c>
      <c r="G51" s="120">
        <v>1</v>
      </c>
      <c r="H51" s="120">
        <v>21</v>
      </c>
      <c r="I51" s="252">
        <v>2852</v>
      </c>
      <c r="J51" s="253">
        <v>713</v>
      </c>
      <c r="K51" s="353">
        <f t="shared" si="3"/>
        <v>713</v>
      </c>
      <c r="L51" s="374">
        <f t="shared" si="4"/>
        <v>4</v>
      </c>
      <c r="M51" s="354">
        <f>29917+16679+11125+3878+2666+4428+2241.5+1511+3063+970+820+1894+1723+1526+175+2339+1780+357.5+159+2083+351+2852</f>
        <v>92538</v>
      </c>
      <c r="N51" s="353">
        <f>3239+2157+1429+524+500+1570+699+278+431+179+191+394+386+373+27+447+445+84+37+384+51+713</f>
        <v>14538</v>
      </c>
      <c r="O51" s="379">
        <f>M51/N51</f>
        <v>6.365249690466364</v>
      </c>
      <c r="P51" s="242"/>
    </row>
    <row r="52" spans="1:16" s="7" customFormat="1" ht="15">
      <c r="A52" s="103">
        <v>48</v>
      </c>
      <c r="B52" s="250" t="s">
        <v>24</v>
      </c>
      <c r="C52" s="117">
        <v>38849</v>
      </c>
      <c r="D52" s="132" t="s">
        <v>23</v>
      </c>
      <c r="E52" s="131" t="s">
        <v>25</v>
      </c>
      <c r="F52" s="120">
        <v>4</v>
      </c>
      <c r="G52" s="120">
        <v>1</v>
      </c>
      <c r="H52" s="120">
        <v>16</v>
      </c>
      <c r="I52" s="252">
        <v>2852</v>
      </c>
      <c r="J52" s="253">
        <v>713</v>
      </c>
      <c r="K52" s="353">
        <f t="shared" si="3"/>
        <v>713</v>
      </c>
      <c r="L52" s="374">
        <f t="shared" si="4"/>
        <v>4</v>
      </c>
      <c r="M52" s="354">
        <f>12183.25+8569+5406+1833+4570+3387+1518.5+434.5+616.5+714+1068+450+27+36+75.5+1664+2852</f>
        <v>45404.25</v>
      </c>
      <c r="N52" s="353">
        <f>1678+1149+734+247+1506+495+228+65+102+238+356+150+5+7+29+416+713</f>
        <v>8118</v>
      </c>
      <c r="O52" s="379">
        <f>M52/N52</f>
        <v>5.593033998521803</v>
      </c>
      <c r="P52" s="242"/>
    </row>
    <row r="53" spans="1:16" s="7" customFormat="1" ht="15">
      <c r="A53" s="103">
        <v>49</v>
      </c>
      <c r="B53" s="250" t="s">
        <v>148</v>
      </c>
      <c r="C53" s="117">
        <v>39087</v>
      </c>
      <c r="D53" s="132" t="s">
        <v>23</v>
      </c>
      <c r="E53" s="131" t="s">
        <v>149</v>
      </c>
      <c r="F53" s="120">
        <v>1</v>
      </c>
      <c r="G53" s="120">
        <v>1</v>
      </c>
      <c r="H53" s="120">
        <v>9</v>
      </c>
      <c r="I53" s="252">
        <v>2852</v>
      </c>
      <c r="J53" s="253">
        <v>713</v>
      </c>
      <c r="K53" s="353">
        <f t="shared" si="3"/>
        <v>713</v>
      </c>
      <c r="L53" s="374">
        <f t="shared" si="4"/>
        <v>4</v>
      </c>
      <c r="M53" s="354">
        <f>22095+9204+7326+5702+4828+3872.5+1230+1085+707+2852</f>
        <v>58901.5</v>
      </c>
      <c r="N53" s="353">
        <f>2920+1031+821+648+551+476+146+128+89+713</f>
        <v>7523</v>
      </c>
      <c r="O53" s="379">
        <f>M53/N53</f>
        <v>7.8295227967566134</v>
      </c>
      <c r="P53" s="242"/>
    </row>
    <row r="54" spans="1:16" s="7" customFormat="1" ht="15">
      <c r="A54" s="103">
        <v>50</v>
      </c>
      <c r="B54" s="250" t="s">
        <v>168</v>
      </c>
      <c r="C54" s="117">
        <v>39094</v>
      </c>
      <c r="D54" s="132" t="s">
        <v>23</v>
      </c>
      <c r="E54" s="131" t="s">
        <v>159</v>
      </c>
      <c r="F54" s="120">
        <v>2</v>
      </c>
      <c r="G54" s="120">
        <v>1</v>
      </c>
      <c r="H54" s="120">
        <v>8</v>
      </c>
      <c r="I54" s="252">
        <v>2852</v>
      </c>
      <c r="J54" s="253">
        <v>713</v>
      </c>
      <c r="K54" s="353">
        <f t="shared" si="3"/>
        <v>713</v>
      </c>
      <c r="L54" s="374">
        <f t="shared" si="4"/>
        <v>4</v>
      </c>
      <c r="M54" s="354">
        <f>1685+7070+4182+870+1068+308+1896+1402+2852</f>
        <v>21333</v>
      </c>
      <c r="N54" s="353">
        <f>480+951+563+174+267+31+416+162+713</f>
        <v>3757</v>
      </c>
      <c r="O54" s="379">
        <f>M54/N54</f>
        <v>5.678200692041522</v>
      </c>
      <c r="P54" s="242"/>
    </row>
    <row r="55" spans="1:16" s="7" customFormat="1" ht="15">
      <c r="A55" s="103">
        <v>51</v>
      </c>
      <c r="B55" s="251" t="s">
        <v>226</v>
      </c>
      <c r="C55" s="116">
        <v>39108</v>
      </c>
      <c r="D55" s="129" t="s">
        <v>45</v>
      </c>
      <c r="E55" s="129" t="s">
        <v>227</v>
      </c>
      <c r="F55" s="271" t="s">
        <v>228</v>
      </c>
      <c r="G55" s="271" t="s">
        <v>276</v>
      </c>
      <c r="H55" s="271" t="s">
        <v>332</v>
      </c>
      <c r="I55" s="254">
        <v>2835</v>
      </c>
      <c r="J55" s="318">
        <v>772</v>
      </c>
      <c r="K55" s="349">
        <f t="shared" si="3"/>
        <v>154.4</v>
      </c>
      <c r="L55" s="321">
        <f t="shared" si="4"/>
        <v>3.672279792746114</v>
      </c>
      <c r="M55" s="350">
        <v>2816749.9672803213</v>
      </c>
      <c r="N55" s="351">
        <v>377280</v>
      </c>
      <c r="O55" s="327">
        <f aca="true" t="shared" si="5" ref="O55:O70">+M55/N55</f>
        <v>7.465940328881259</v>
      </c>
      <c r="P55" s="242"/>
    </row>
    <row r="56" spans="1:16" s="7" customFormat="1" ht="15">
      <c r="A56" s="103">
        <v>52</v>
      </c>
      <c r="B56" s="249" t="s">
        <v>35</v>
      </c>
      <c r="C56" s="117">
        <v>39031</v>
      </c>
      <c r="D56" s="128" t="s">
        <v>57</v>
      </c>
      <c r="E56" s="128" t="s">
        <v>71</v>
      </c>
      <c r="F56" s="118">
        <v>83</v>
      </c>
      <c r="G56" s="118">
        <v>5</v>
      </c>
      <c r="H56" s="118">
        <v>18</v>
      </c>
      <c r="I56" s="252">
        <v>2709</v>
      </c>
      <c r="J56" s="253">
        <v>376</v>
      </c>
      <c r="K56" s="349">
        <f t="shared" si="3"/>
        <v>75.2</v>
      </c>
      <c r="L56" s="321">
        <f t="shared" si="4"/>
        <v>7.204787234042553</v>
      </c>
      <c r="M56" s="354">
        <v>1845253</v>
      </c>
      <c r="N56" s="353">
        <v>216016</v>
      </c>
      <c r="O56" s="327">
        <f t="shared" si="5"/>
        <v>8.542205207021702</v>
      </c>
      <c r="P56" s="242"/>
    </row>
    <row r="57" spans="1:16" s="7" customFormat="1" ht="15">
      <c r="A57" s="103">
        <v>53</v>
      </c>
      <c r="B57" s="249" t="s">
        <v>333</v>
      </c>
      <c r="C57" s="117">
        <v>39038</v>
      </c>
      <c r="D57" s="128" t="s">
        <v>58</v>
      </c>
      <c r="E57" s="128" t="s">
        <v>66</v>
      </c>
      <c r="F57" s="118">
        <v>10</v>
      </c>
      <c r="G57" s="118">
        <v>1</v>
      </c>
      <c r="H57" s="118">
        <v>6</v>
      </c>
      <c r="I57" s="252">
        <v>2376</v>
      </c>
      <c r="J57" s="253">
        <v>475</v>
      </c>
      <c r="K57" s="349">
        <f t="shared" si="3"/>
        <v>475</v>
      </c>
      <c r="L57" s="321">
        <f t="shared" si="4"/>
        <v>5.002105263157895</v>
      </c>
      <c r="M57" s="354">
        <f>20043+5023+1136+2654+346+2376</f>
        <v>31578</v>
      </c>
      <c r="N57" s="353">
        <f>2002+505+116+478+58+475</f>
        <v>3634</v>
      </c>
      <c r="O57" s="327">
        <f t="shared" si="5"/>
        <v>8.689598238855256</v>
      </c>
      <c r="P57" s="242"/>
    </row>
    <row r="58" spans="1:16" s="7" customFormat="1" ht="15">
      <c r="A58" s="103">
        <v>54</v>
      </c>
      <c r="B58" s="249" t="s">
        <v>34</v>
      </c>
      <c r="C58" s="119">
        <v>38982</v>
      </c>
      <c r="D58" s="128" t="s">
        <v>64</v>
      </c>
      <c r="E58" s="129" t="s">
        <v>289</v>
      </c>
      <c r="F58" s="118">
        <v>21</v>
      </c>
      <c r="G58" s="273">
        <v>3</v>
      </c>
      <c r="H58" s="273">
        <v>11</v>
      </c>
      <c r="I58" s="261">
        <v>2355</v>
      </c>
      <c r="J58" s="319">
        <v>418</v>
      </c>
      <c r="K58" s="349">
        <f t="shared" si="3"/>
        <v>139.33333333333334</v>
      </c>
      <c r="L58" s="321">
        <f t="shared" si="4"/>
        <v>5.633971291866029</v>
      </c>
      <c r="M58" s="355">
        <v>449779</v>
      </c>
      <c r="N58" s="356">
        <v>53581</v>
      </c>
      <c r="O58" s="327">
        <f t="shared" si="5"/>
        <v>8.39437487168959</v>
      </c>
      <c r="P58" s="242"/>
    </row>
    <row r="59" spans="1:16" s="7" customFormat="1" ht="15">
      <c r="A59" s="103">
        <v>55</v>
      </c>
      <c r="B59" s="248" t="s">
        <v>114</v>
      </c>
      <c r="C59" s="116">
        <v>39066</v>
      </c>
      <c r="D59" s="127" t="s">
        <v>56</v>
      </c>
      <c r="E59" s="126" t="s">
        <v>71</v>
      </c>
      <c r="F59" s="272">
        <v>40</v>
      </c>
      <c r="G59" s="272">
        <v>1</v>
      </c>
      <c r="H59" s="272">
        <v>12</v>
      </c>
      <c r="I59" s="254">
        <v>2174</v>
      </c>
      <c r="J59" s="318">
        <v>300</v>
      </c>
      <c r="K59" s="349">
        <f t="shared" si="3"/>
        <v>300</v>
      </c>
      <c r="L59" s="321">
        <f t="shared" si="4"/>
        <v>7.246666666666667</v>
      </c>
      <c r="M59" s="350">
        <f>257213+151003+41071+3039+1124+2600+762+234-1+751+237+161+2174</f>
        <v>460368</v>
      </c>
      <c r="N59" s="351">
        <f>28845+15597+3570+371+164+361+96+27+88+46+29+300</f>
        <v>49494</v>
      </c>
      <c r="O59" s="327">
        <f t="shared" si="5"/>
        <v>9.30149108982907</v>
      </c>
      <c r="P59" s="242"/>
    </row>
    <row r="60" spans="1:16" s="7" customFormat="1" ht="15">
      <c r="A60" s="103">
        <v>56</v>
      </c>
      <c r="B60" s="249" t="s">
        <v>127</v>
      </c>
      <c r="C60" s="117">
        <v>39080</v>
      </c>
      <c r="D60" s="128" t="s">
        <v>58</v>
      </c>
      <c r="E60" s="128" t="s">
        <v>59</v>
      </c>
      <c r="F60" s="118">
        <v>225</v>
      </c>
      <c r="G60" s="118">
        <v>10</v>
      </c>
      <c r="H60" s="118">
        <v>11</v>
      </c>
      <c r="I60" s="252">
        <v>1820</v>
      </c>
      <c r="J60" s="253">
        <v>270</v>
      </c>
      <c r="K60" s="349">
        <f t="shared" si="3"/>
        <v>27</v>
      </c>
      <c r="L60" s="321">
        <f t="shared" si="4"/>
        <v>6.7407407407407405</v>
      </c>
      <c r="M60" s="354">
        <f>443484+172504.5+77130.5+14404+4813+5794.5+20+1110+1236+15107+13128.5+13380+1820</f>
        <v>763932</v>
      </c>
      <c r="N60" s="353">
        <f>50755+20967+9569+1855+705+1471+1+225+365+2864+2180+2252+270</f>
        <v>93479</v>
      </c>
      <c r="O60" s="327">
        <f t="shared" si="5"/>
        <v>8.17223119631147</v>
      </c>
      <c r="P60" s="242"/>
    </row>
    <row r="61" spans="1:16" s="7" customFormat="1" ht="15">
      <c r="A61" s="103">
        <v>57</v>
      </c>
      <c r="B61" s="251" t="s">
        <v>147</v>
      </c>
      <c r="C61" s="116">
        <v>39073</v>
      </c>
      <c r="D61" s="129" t="s">
        <v>73</v>
      </c>
      <c r="E61" s="129" t="s">
        <v>136</v>
      </c>
      <c r="F61" s="271" t="s">
        <v>334</v>
      </c>
      <c r="G61" s="271" t="s">
        <v>20</v>
      </c>
      <c r="H61" s="271" t="s">
        <v>293</v>
      </c>
      <c r="I61" s="254">
        <v>1594</v>
      </c>
      <c r="J61" s="318">
        <v>314</v>
      </c>
      <c r="K61" s="349">
        <f t="shared" si="3"/>
        <v>314</v>
      </c>
      <c r="L61" s="321">
        <f t="shared" si="4"/>
        <v>5.076433121019108</v>
      </c>
      <c r="M61" s="350">
        <v>210250</v>
      </c>
      <c r="N61" s="351">
        <v>26703</v>
      </c>
      <c r="O61" s="327">
        <f t="shared" si="5"/>
        <v>7.87364715575029</v>
      </c>
      <c r="P61" s="242"/>
    </row>
    <row r="62" spans="1:16" s="7" customFormat="1" ht="15">
      <c r="A62" s="103">
        <v>58</v>
      </c>
      <c r="B62" s="248" t="s">
        <v>263</v>
      </c>
      <c r="C62" s="116">
        <v>39129</v>
      </c>
      <c r="D62" s="127" t="s">
        <v>56</v>
      </c>
      <c r="E62" s="126" t="s">
        <v>71</v>
      </c>
      <c r="F62" s="272">
        <v>22</v>
      </c>
      <c r="G62" s="272">
        <v>3</v>
      </c>
      <c r="H62" s="272">
        <v>4</v>
      </c>
      <c r="I62" s="254">
        <v>1379</v>
      </c>
      <c r="J62" s="318">
        <v>198</v>
      </c>
      <c r="K62" s="349">
        <f t="shared" si="3"/>
        <v>66</v>
      </c>
      <c r="L62" s="321">
        <f t="shared" si="4"/>
        <v>6.9646464646464645</v>
      </c>
      <c r="M62" s="350">
        <f>3941+185955+159407+21968+1379</f>
        <v>372650</v>
      </c>
      <c r="N62" s="351">
        <f>412+17684+15175+2098+198</f>
        <v>35567</v>
      </c>
      <c r="O62" s="327">
        <f t="shared" si="5"/>
        <v>10.477408834031547</v>
      </c>
      <c r="P62" s="242"/>
    </row>
    <row r="63" spans="1:16" s="7" customFormat="1" ht="15">
      <c r="A63" s="103">
        <v>59</v>
      </c>
      <c r="B63" s="249" t="s">
        <v>143</v>
      </c>
      <c r="C63" s="117">
        <v>39101</v>
      </c>
      <c r="D63" s="128" t="s">
        <v>57</v>
      </c>
      <c r="E63" s="128" t="s">
        <v>60</v>
      </c>
      <c r="F63" s="118">
        <v>90</v>
      </c>
      <c r="G63" s="118">
        <v>2</v>
      </c>
      <c r="H63" s="118">
        <v>8</v>
      </c>
      <c r="I63" s="252">
        <v>1267</v>
      </c>
      <c r="J63" s="253">
        <v>366</v>
      </c>
      <c r="K63" s="349">
        <f t="shared" si="3"/>
        <v>183</v>
      </c>
      <c r="L63" s="321">
        <f t="shared" si="4"/>
        <v>3.4617486338797816</v>
      </c>
      <c r="M63" s="354">
        <v>2955013</v>
      </c>
      <c r="N63" s="353">
        <v>345011</v>
      </c>
      <c r="O63" s="327">
        <f t="shared" si="5"/>
        <v>8.564981986081603</v>
      </c>
      <c r="P63" s="242"/>
    </row>
    <row r="64" spans="1:16" s="7" customFormat="1" ht="15">
      <c r="A64" s="103">
        <v>60</v>
      </c>
      <c r="B64" s="249" t="s">
        <v>180</v>
      </c>
      <c r="C64" s="117">
        <v>39080</v>
      </c>
      <c r="D64" s="128" t="s">
        <v>57</v>
      </c>
      <c r="E64" s="128" t="s">
        <v>60</v>
      </c>
      <c r="F64" s="118">
        <v>56</v>
      </c>
      <c r="G64" s="118">
        <v>1</v>
      </c>
      <c r="H64" s="118">
        <v>10</v>
      </c>
      <c r="I64" s="252">
        <v>980</v>
      </c>
      <c r="J64" s="253">
        <v>196</v>
      </c>
      <c r="K64" s="349">
        <f t="shared" si="3"/>
        <v>196</v>
      </c>
      <c r="L64" s="321">
        <f t="shared" si="4"/>
        <v>5</v>
      </c>
      <c r="M64" s="354">
        <v>2096053</v>
      </c>
      <c r="N64" s="353">
        <v>231210</v>
      </c>
      <c r="O64" s="327">
        <f t="shared" si="5"/>
        <v>9.065581073482981</v>
      </c>
      <c r="P64" s="242"/>
    </row>
    <row r="65" spans="1:16" s="7" customFormat="1" ht="15">
      <c r="A65" s="103">
        <v>61</v>
      </c>
      <c r="B65" s="249" t="s">
        <v>335</v>
      </c>
      <c r="C65" s="119">
        <v>38828</v>
      </c>
      <c r="D65" s="128" t="s">
        <v>64</v>
      </c>
      <c r="E65" s="129" t="s">
        <v>336</v>
      </c>
      <c r="F65" s="118">
        <v>5</v>
      </c>
      <c r="G65" s="273">
        <v>1</v>
      </c>
      <c r="H65" s="273">
        <v>17</v>
      </c>
      <c r="I65" s="261">
        <v>949</v>
      </c>
      <c r="J65" s="319">
        <v>190</v>
      </c>
      <c r="K65" s="349">
        <f t="shared" si="3"/>
        <v>190</v>
      </c>
      <c r="L65" s="321">
        <f t="shared" si="4"/>
        <v>4.994736842105263</v>
      </c>
      <c r="M65" s="355">
        <v>61395</v>
      </c>
      <c r="N65" s="356">
        <v>10002</v>
      </c>
      <c r="O65" s="327">
        <f t="shared" si="5"/>
        <v>6.138272345530893</v>
      </c>
      <c r="P65" s="242"/>
    </row>
    <row r="66" spans="1:16" s="7" customFormat="1" ht="15">
      <c r="A66" s="103">
        <v>62</v>
      </c>
      <c r="B66" s="248" t="s">
        <v>337</v>
      </c>
      <c r="C66" s="116">
        <v>39073</v>
      </c>
      <c r="D66" s="127" t="s">
        <v>56</v>
      </c>
      <c r="E66" s="126" t="s">
        <v>11</v>
      </c>
      <c r="F66" s="272">
        <v>60</v>
      </c>
      <c r="G66" s="272">
        <v>1</v>
      </c>
      <c r="H66" s="272">
        <v>12</v>
      </c>
      <c r="I66" s="254">
        <v>628</v>
      </c>
      <c r="J66" s="318">
        <v>89</v>
      </c>
      <c r="K66" s="349">
        <f t="shared" si="3"/>
        <v>89</v>
      </c>
      <c r="L66" s="321">
        <f t="shared" si="4"/>
        <v>7.056179775280899</v>
      </c>
      <c r="M66" s="350">
        <f>699081+736993+318216+148350+83269+13464+1073-2.5+3459+2218+2344+2077+628</f>
        <v>2011169.5</v>
      </c>
      <c r="N66" s="351">
        <f>78037+80041+36145+17661+10172+1277+200+1543+444+389+644+89</f>
        <v>226642</v>
      </c>
      <c r="O66" s="327">
        <f t="shared" si="5"/>
        <v>8.873772292867164</v>
      </c>
      <c r="P66" s="242"/>
    </row>
    <row r="67" spans="1:16" s="7" customFormat="1" ht="15">
      <c r="A67" s="103">
        <v>63</v>
      </c>
      <c r="B67" s="249" t="s">
        <v>117</v>
      </c>
      <c r="C67" s="117">
        <v>39073</v>
      </c>
      <c r="D67" s="128" t="s">
        <v>58</v>
      </c>
      <c r="E67" s="128" t="s">
        <v>66</v>
      </c>
      <c r="F67" s="118">
        <v>50</v>
      </c>
      <c r="G67" s="118">
        <v>2</v>
      </c>
      <c r="H67" s="118">
        <v>12</v>
      </c>
      <c r="I67" s="252">
        <v>431</v>
      </c>
      <c r="J67" s="253">
        <v>131</v>
      </c>
      <c r="K67" s="349">
        <f t="shared" si="3"/>
        <v>65.5</v>
      </c>
      <c r="L67" s="321">
        <f t="shared" si="4"/>
        <v>3.2900763358778624</v>
      </c>
      <c r="M67" s="354">
        <f>145565+155630+55982+15271+7453.5+9440+11300.5+7141.5+2772.5+2945+30+431</f>
        <v>413962</v>
      </c>
      <c r="N67" s="353">
        <f>17748+18932+7628+2641+1317+1724+2010+1184+553+655+5+131</f>
        <v>54528</v>
      </c>
      <c r="O67" s="327">
        <f t="shared" si="5"/>
        <v>7.591732687793427</v>
      </c>
      <c r="P67" s="242"/>
    </row>
    <row r="68" spans="1:16" s="7" customFormat="1" ht="15">
      <c r="A68" s="103">
        <v>64</v>
      </c>
      <c r="B68" s="249" t="s">
        <v>338</v>
      </c>
      <c r="C68" s="117">
        <v>39115</v>
      </c>
      <c r="D68" s="128" t="s">
        <v>58</v>
      </c>
      <c r="E68" s="128" t="s">
        <v>38</v>
      </c>
      <c r="F68" s="118">
        <v>10</v>
      </c>
      <c r="G68" s="118">
        <v>1</v>
      </c>
      <c r="H68" s="118">
        <v>5</v>
      </c>
      <c r="I68" s="252">
        <v>311</v>
      </c>
      <c r="J68" s="253">
        <v>72</v>
      </c>
      <c r="K68" s="349">
        <f t="shared" si="3"/>
        <v>72</v>
      </c>
      <c r="L68" s="321">
        <f t="shared" si="4"/>
        <v>4.319444444444445</v>
      </c>
      <c r="M68" s="354">
        <f>17496+3884+1469+240+311</f>
        <v>23400</v>
      </c>
      <c r="N68" s="353">
        <f>1763+417+239+30+72</f>
        <v>2521</v>
      </c>
      <c r="O68" s="327">
        <f t="shared" si="5"/>
        <v>9.282030940103134</v>
      </c>
      <c r="P68" s="242"/>
    </row>
    <row r="69" spans="1:16" s="7" customFormat="1" ht="15">
      <c r="A69" s="103">
        <v>65</v>
      </c>
      <c r="B69" s="249" t="s">
        <v>134</v>
      </c>
      <c r="C69" s="117">
        <v>39031</v>
      </c>
      <c r="D69" s="128" t="s">
        <v>58</v>
      </c>
      <c r="E69" s="128" t="s">
        <v>39</v>
      </c>
      <c r="F69" s="118">
        <v>18</v>
      </c>
      <c r="G69" s="118">
        <v>1</v>
      </c>
      <c r="H69" s="118">
        <v>11</v>
      </c>
      <c r="I69" s="252">
        <v>310</v>
      </c>
      <c r="J69" s="253">
        <v>69</v>
      </c>
      <c r="K69" s="349">
        <f>J69/G69</f>
        <v>69</v>
      </c>
      <c r="L69" s="321">
        <f aca="true" t="shared" si="6" ref="L69:L74">I69/J69</f>
        <v>4.492753623188406</v>
      </c>
      <c r="M69" s="354">
        <f>34669.5+21005.5+6946+14460+15870+11479+2850+3590+176+254+244.5+310</f>
        <v>111854.5</v>
      </c>
      <c r="N69" s="353">
        <f>4283+2703+1328+2949+3207+2286+639+746+44+57+55+69</f>
        <v>18366</v>
      </c>
      <c r="O69" s="327">
        <f t="shared" si="5"/>
        <v>6.090302733311554</v>
      </c>
      <c r="P69" s="242"/>
    </row>
    <row r="70" spans="1:16" s="7" customFormat="1" ht="15">
      <c r="A70" s="103">
        <v>66</v>
      </c>
      <c r="B70" s="248" t="s">
        <v>123</v>
      </c>
      <c r="C70" s="116">
        <v>39066</v>
      </c>
      <c r="D70" s="127" t="s">
        <v>56</v>
      </c>
      <c r="E70" s="126" t="s">
        <v>69</v>
      </c>
      <c r="F70" s="272">
        <v>183</v>
      </c>
      <c r="G70" s="272">
        <v>1</v>
      </c>
      <c r="H70" s="272">
        <v>13</v>
      </c>
      <c r="I70" s="254">
        <v>252</v>
      </c>
      <c r="J70" s="318">
        <v>36</v>
      </c>
      <c r="K70" s="349">
        <f>J70/G70</f>
        <v>36</v>
      </c>
      <c r="L70" s="321">
        <f t="shared" si="6"/>
        <v>7</v>
      </c>
      <c r="M70" s="350">
        <f>1182111.5+571701+1057112+222438-23+32518+14705+6718+2937-1+2526+2701+500+346+252</f>
        <v>3096541.5</v>
      </c>
      <c r="N70" s="351">
        <f>169230+82491+151061+33037+6240+4042+1655+674+706+740+92+65+36</f>
        <v>450069</v>
      </c>
      <c r="O70" s="327">
        <f t="shared" si="5"/>
        <v>6.880148377248822</v>
      </c>
      <c r="P70" s="242"/>
    </row>
    <row r="71" spans="1:16" s="7" customFormat="1" ht="15">
      <c r="A71" s="103">
        <v>67</v>
      </c>
      <c r="B71" s="250" t="s">
        <v>158</v>
      </c>
      <c r="C71" s="117">
        <v>39045</v>
      </c>
      <c r="D71" s="132" t="s">
        <v>23</v>
      </c>
      <c r="E71" s="131" t="s">
        <v>159</v>
      </c>
      <c r="F71" s="120">
        <v>4</v>
      </c>
      <c r="G71" s="120">
        <v>1</v>
      </c>
      <c r="H71" s="120">
        <v>10</v>
      </c>
      <c r="I71" s="252">
        <v>74</v>
      </c>
      <c r="J71" s="253">
        <v>14</v>
      </c>
      <c r="K71" s="353">
        <f>J71/G71</f>
        <v>14</v>
      </c>
      <c r="L71" s="374">
        <f t="shared" si="6"/>
        <v>5.285714285714286</v>
      </c>
      <c r="M71" s="354">
        <f>4508+1771+883+1554+851.5+290.5+236+176+1068+372+74</f>
        <v>11784</v>
      </c>
      <c r="N71" s="353">
        <f>484+239+139+406+142+39+97+68+267+124+14</f>
        <v>2019</v>
      </c>
      <c r="O71" s="379">
        <f>M71/N71</f>
        <v>5.836552748885587</v>
      </c>
      <c r="P71" s="242"/>
    </row>
    <row r="72" spans="1:16" s="7" customFormat="1" ht="15.75" thickBot="1">
      <c r="A72" s="103">
        <v>68</v>
      </c>
      <c r="B72" s="363" t="s">
        <v>112</v>
      </c>
      <c r="C72" s="276">
        <v>39073</v>
      </c>
      <c r="D72" s="202" t="s">
        <v>57</v>
      </c>
      <c r="E72" s="202" t="s">
        <v>63</v>
      </c>
      <c r="F72" s="364">
        <v>91</v>
      </c>
      <c r="G72" s="364">
        <v>2</v>
      </c>
      <c r="H72" s="364">
        <v>12</v>
      </c>
      <c r="I72" s="331">
        <v>74</v>
      </c>
      <c r="J72" s="332">
        <v>11</v>
      </c>
      <c r="K72" s="380">
        <f>J72/G72</f>
        <v>5.5</v>
      </c>
      <c r="L72" s="381">
        <f t="shared" si="6"/>
        <v>6.7272727272727275</v>
      </c>
      <c r="M72" s="365">
        <v>1779551</v>
      </c>
      <c r="N72" s="366">
        <v>239093</v>
      </c>
      <c r="O72" s="333">
        <f>+M72/N72</f>
        <v>7.442923883175166</v>
      </c>
      <c r="P72" s="242"/>
    </row>
    <row r="73" spans="1:16" s="115" customFormat="1" ht="15">
      <c r="A73" s="436" t="s">
        <v>50</v>
      </c>
      <c r="B73" s="437"/>
      <c r="C73" s="105"/>
      <c r="D73" s="106" t="s">
        <v>308</v>
      </c>
      <c r="E73" s="107"/>
      <c r="F73" s="106"/>
      <c r="G73" s="108">
        <f>SUM(G5:G72)</f>
        <v>1148</v>
      </c>
      <c r="H73" s="106"/>
      <c r="I73" s="109">
        <f>SUM(I5:I72)</f>
        <v>4963885.5</v>
      </c>
      <c r="J73" s="110">
        <f>SUM(J5:J72)</f>
        <v>638208</v>
      </c>
      <c r="K73" s="111">
        <f>J73/G73</f>
        <v>555.9303135888501</v>
      </c>
      <c r="L73" s="112">
        <f t="shared" si="6"/>
        <v>7.777849071149218</v>
      </c>
      <c r="M73" s="113"/>
      <c r="N73" s="111"/>
      <c r="O73" s="114"/>
      <c r="P73" s="244"/>
    </row>
    <row r="74" spans="1:16" s="13" customFormat="1" ht="15">
      <c r="A74" s="375" t="s">
        <v>49</v>
      </c>
      <c r="B74" s="373"/>
      <c r="C74" s="29"/>
      <c r="D74" s="30" t="s">
        <v>283</v>
      </c>
      <c r="E74" s="28"/>
      <c r="F74" s="30"/>
      <c r="G74" s="31">
        <v>1107</v>
      </c>
      <c r="H74" s="30"/>
      <c r="I74" s="46">
        <v>5088138.05</v>
      </c>
      <c r="J74" s="94">
        <v>653287</v>
      </c>
      <c r="K74" s="111">
        <f>J74/G74</f>
        <v>590.1418247515809</v>
      </c>
      <c r="L74" s="32">
        <f t="shared" si="6"/>
        <v>7.7885187520951735</v>
      </c>
      <c r="M74" s="39"/>
      <c r="N74" s="36"/>
      <c r="O74" s="42"/>
      <c r="P74" s="242"/>
    </row>
    <row r="75" spans="1:16" s="7" customFormat="1" ht="13.5">
      <c r="A75" s="52"/>
      <c r="C75" s="11"/>
      <c r="D75" s="15"/>
      <c r="E75" s="15"/>
      <c r="F75" s="8"/>
      <c r="G75" s="8"/>
      <c r="H75" s="8"/>
      <c r="I75" s="47"/>
      <c r="J75" s="33"/>
      <c r="K75" s="34"/>
      <c r="L75" s="21"/>
      <c r="M75" s="40"/>
      <c r="N75" s="34"/>
      <c r="O75" s="43"/>
      <c r="P75" s="242"/>
    </row>
    <row r="76" spans="1:16" s="7" customFormat="1" ht="15">
      <c r="A76" s="52"/>
      <c r="B76" s="442"/>
      <c r="C76" s="442"/>
      <c r="D76" s="445"/>
      <c r="E76" s="445"/>
      <c r="F76" s="445"/>
      <c r="G76" s="22"/>
      <c r="H76" s="8"/>
      <c r="I76" s="47"/>
      <c r="J76" s="33"/>
      <c r="K76" s="443" t="s">
        <v>47</v>
      </c>
      <c r="L76" s="444"/>
      <c r="M76" s="444"/>
      <c r="N76" s="444"/>
      <c r="O76" s="444"/>
      <c r="P76" s="242"/>
    </row>
    <row r="77" spans="1:16" s="7" customFormat="1" ht="15.75" thickBot="1">
      <c r="A77" s="52"/>
      <c r="B77" s="442"/>
      <c r="C77" s="442"/>
      <c r="D77" s="175"/>
      <c r="E77" s="176"/>
      <c r="F77" s="176"/>
      <c r="G77" s="8"/>
      <c r="H77" s="23"/>
      <c r="I77" s="47"/>
      <c r="J77" s="33"/>
      <c r="K77" s="444"/>
      <c r="L77" s="444"/>
      <c r="M77" s="444"/>
      <c r="N77" s="444"/>
      <c r="O77" s="444"/>
      <c r="P77" s="242"/>
    </row>
    <row r="78" spans="1:16" s="7" customFormat="1" ht="15">
      <c r="A78" s="61"/>
      <c r="B78" s="58" t="s">
        <v>51</v>
      </c>
      <c r="C78" s="438" t="s">
        <v>88</v>
      </c>
      <c r="D78" s="439"/>
      <c r="E78" s="439"/>
      <c r="F78" s="440"/>
      <c r="G78" s="8"/>
      <c r="H78" s="23"/>
      <c r="I78" s="47"/>
      <c r="J78" s="33"/>
      <c r="K78" s="444"/>
      <c r="L78" s="444"/>
      <c r="M78" s="444"/>
      <c r="N78" s="444"/>
      <c r="O78" s="444"/>
      <c r="P78" s="242"/>
    </row>
    <row r="79" spans="1:16" s="7" customFormat="1" ht="15">
      <c r="A79" s="68"/>
      <c r="B79" s="69"/>
      <c r="C79" s="70" t="s">
        <v>89</v>
      </c>
      <c r="D79" s="71" t="s">
        <v>6</v>
      </c>
      <c r="E79" s="71" t="s">
        <v>90</v>
      </c>
      <c r="F79" s="72" t="s">
        <v>0</v>
      </c>
      <c r="G79" s="8"/>
      <c r="H79" s="23"/>
      <c r="I79" s="47"/>
      <c r="J79" s="33"/>
      <c r="K79" s="441" t="s">
        <v>307</v>
      </c>
      <c r="L79" s="441"/>
      <c r="M79" s="441"/>
      <c r="N79" s="441"/>
      <c r="O79" s="441"/>
      <c r="P79" s="242"/>
    </row>
    <row r="80" spans="1:16" s="7" customFormat="1" ht="15">
      <c r="A80" s="64">
        <v>1</v>
      </c>
      <c r="B80" s="65" t="s">
        <v>11</v>
      </c>
      <c r="C80" s="153" t="s">
        <v>339</v>
      </c>
      <c r="D80" s="66">
        <v>1481838</v>
      </c>
      <c r="E80" s="67">
        <v>191563</v>
      </c>
      <c r="F80" s="245">
        <f>D80/E80</f>
        <v>7.735512598988322</v>
      </c>
      <c r="G80" s="8"/>
      <c r="H80" s="23"/>
      <c r="I80" s="47"/>
      <c r="J80" s="33"/>
      <c r="K80" s="441"/>
      <c r="L80" s="441"/>
      <c r="M80" s="441"/>
      <c r="N80" s="441"/>
      <c r="O80" s="441"/>
      <c r="P80" s="242"/>
    </row>
    <row r="81" spans="1:16" s="7" customFormat="1" ht="15">
      <c r="A81" s="62">
        <v>2</v>
      </c>
      <c r="B81" s="59" t="s">
        <v>45</v>
      </c>
      <c r="C81" s="154" t="s">
        <v>332</v>
      </c>
      <c r="D81" s="54">
        <v>1120465.5</v>
      </c>
      <c r="E81" s="55">
        <v>149173</v>
      </c>
      <c r="F81" s="245">
        <f>D81/E81</f>
        <v>7.511181648153486</v>
      </c>
      <c r="G81" s="8"/>
      <c r="H81" s="23"/>
      <c r="I81" s="47"/>
      <c r="J81" s="33"/>
      <c r="K81" s="441"/>
      <c r="L81" s="441"/>
      <c r="M81" s="441"/>
      <c r="N81" s="441"/>
      <c r="O81" s="441"/>
      <c r="P81" s="242"/>
    </row>
    <row r="82" spans="1:16" s="7" customFormat="1" ht="15">
      <c r="A82" s="62">
        <v>3</v>
      </c>
      <c r="B82" s="59" t="s">
        <v>67</v>
      </c>
      <c r="C82" s="154" t="s">
        <v>20</v>
      </c>
      <c r="D82" s="54">
        <v>606619</v>
      </c>
      <c r="E82" s="55">
        <v>62751</v>
      </c>
      <c r="F82" s="245">
        <f>D82/E82</f>
        <v>9.667081002693184</v>
      </c>
      <c r="G82" s="8"/>
      <c r="H82" s="23"/>
      <c r="I82" s="47"/>
      <c r="J82" s="33"/>
      <c r="K82" s="34"/>
      <c r="L82" s="21"/>
      <c r="M82" s="18"/>
      <c r="N82" s="34"/>
      <c r="O82" s="43"/>
      <c r="P82" s="242"/>
    </row>
    <row r="83" spans="1:16" s="7" customFormat="1" ht="15">
      <c r="A83" s="62">
        <v>4</v>
      </c>
      <c r="B83" s="59" t="s">
        <v>44</v>
      </c>
      <c r="C83" s="154" t="s">
        <v>266</v>
      </c>
      <c r="D83" s="54">
        <v>512333</v>
      </c>
      <c r="E83" s="55">
        <v>64498</v>
      </c>
      <c r="F83" s="245">
        <f>D83/E83</f>
        <v>7.943393593599802</v>
      </c>
      <c r="G83" s="8"/>
      <c r="H83" s="433" t="s">
        <v>99</v>
      </c>
      <c r="I83" s="434"/>
      <c r="J83" s="434"/>
      <c r="K83" s="434"/>
      <c r="L83" s="434"/>
      <c r="M83" s="434"/>
      <c r="N83" s="434"/>
      <c r="O83" s="434"/>
      <c r="P83" s="242"/>
    </row>
    <row r="84" spans="1:16" s="27" customFormat="1" ht="15">
      <c r="A84" s="62">
        <v>5</v>
      </c>
      <c r="B84" s="59" t="s">
        <v>12</v>
      </c>
      <c r="C84" s="154" t="s">
        <v>340</v>
      </c>
      <c r="D84" s="54">
        <v>465585.5</v>
      </c>
      <c r="E84" s="55">
        <v>65298</v>
      </c>
      <c r="F84" s="245">
        <f>D84/E84</f>
        <v>7.130164782994885</v>
      </c>
      <c r="G84" s="49"/>
      <c r="H84" s="434"/>
      <c r="I84" s="434"/>
      <c r="J84" s="434"/>
      <c r="K84" s="434"/>
      <c r="L84" s="434"/>
      <c r="M84" s="434"/>
      <c r="N84" s="434"/>
      <c r="O84" s="434"/>
      <c r="P84" s="242"/>
    </row>
    <row r="85" spans="1:16" s="27" customFormat="1" ht="15">
      <c r="A85" s="62">
        <v>6</v>
      </c>
      <c r="B85" s="59" t="s">
        <v>23</v>
      </c>
      <c r="C85" s="154" t="s">
        <v>266</v>
      </c>
      <c r="D85" s="54">
        <v>325447</v>
      </c>
      <c r="E85" s="55">
        <v>45214</v>
      </c>
      <c r="F85" s="245">
        <f>D85/E85</f>
        <v>7.197925421329677</v>
      </c>
      <c r="G85" s="26"/>
      <c r="H85" s="434"/>
      <c r="I85" s="434"/>
      <c r="J85" s="434"/>
      <c r="K85" s="434"/>
      <c r="L85" s="434"/>
      <c r="M85" s="434"/>
      <c r="N85" s="434"/>
      <c r="O85" s="434"/>
      <c r="P85" s="242"/>
    </row>
    <row r="86" spans="1:16" s="27" customFormat="1" ht="15">
      <c r="A86" s="62">
        <v>7</v>
      </c>
      <c r="B86" s="59" t="s">
        <v>73</v>
      </c>
      <c r="C86" s="154" t="s">
        <v>327</v>
      </c>
      <c r="D86" s="54">
        <v>308711</v>
      </c>
      <c r="E86" s="55">
        <v>40262</v>
      </c>
      <c r="F86" s="245">
        <f>D86/E86</f>
        <v>7.667552530922458</v>
      </c>
      <c r="G86" s="26"/>
      <c r="H86" s="434"/>
      <c r="I86" s="434"/>
      <c r="J86" s="434"/>
      <c r="K86" s="434"/>
      <c r="L86" s="434"/>
      <c r="M86" s="434"/>
      <c r="N86" s="434"/>
      <c r="O86" s="434"/>
      <c r="P86" s="242"/>
    </row>
    <row r="87" spans="1:16" s="27" customFormat="1" ht="15">
      <c r="A87" s="62">
        <v>8</v>
      </c>
      <c r="B87" s="59" t="s">
        <v>64</v>
      </c>
      <c r="C87" s="154" t="s">
        <v>327</v>
      </c>
      <c r="D87" s="54">
        <v>83181</v>
      </c>
      <c r="E87" s="55">
        <v>8387</v>
      </c>
      <c r="F87" s="245">
        <f>D87/E87</f>
        <v>9.917849052104447</v>
      </c>
      <c r="G87" s="26"/>
      <c r="H87" s="434"/>
      <c r="I87" s="434"/>
      <c r="J87" s="434"/>
      <c r="K87" s="434"/>
      <c r="L87" s="434"/>
      <c r="M87" s="434"/>
      <c r="N87" s="434"/>
      <c r="O87" s="434"/>
      <c r="P87" s="242"/>
    </row>
    <row r="88" spans="1:16" s="27" customFormat="1" ht="15">
      <c r="A88" s="62">
        <v>9</v>
      </c>
      <c r="B88" s="59" t="s">
        <v>48</v>
      </c>
      <c r="C88" s="154" t="s">
        <v>37</v>
      </c>
      <c r="D88" s="54">
        <v>54359.5</v>
      </c>
      <c r="E88" s="55">
        <v>9280</v>
      </c>
      <c r="F88" s="245">
        <f>D88/E88</f>
        <v>5.85770474137931</v>
      </c>
      <c r="G88" s="26"/>
      <c r="H88" s="434"/>
      <c r="I88" s="434"/>
      <c r="J88" s="434"/>
      <c r="K88" s="434"/>
      <c r="L88" s="434"/>
      <c r="M88" s="434"/>
      <c r="N88" s="434"/>
      <c r="O88" s="434"/>
      <c r="P88" s="242"/>
    </row>
    <row r="89" spans="1:16" s="27" customFormat="1" ht="15">
      <c r="A89" s="62">
        <v>10</v>
      </c>
      <c r="B89" s="59" t="s">
        <v>46</v>
      </c>
      <c r="C89" s="154" t="s">
        <v>20</v>
      </c>
      <c r="D89" s="54">
        <v>5346</v>
      </c>
      <c r="E89" s="55">
        <v>1782</v>
      </c>
      <c r="F89" s="245">
        <f>D89/E89</f>
        <v>3</v>
      </c>
      <c r="G89" s="26"/>
      <c r="H89" s="435" t="s">
        <v>19</v>
      </c>
      <c r="I89" s="434"/>
      <c r="J89" s="434"/>
      <c r="K89" s="434"/>
      <c r="L89" s="434"/>
      <c r="M89" s="434"/>
      <c r="N89" s="434"/>
      <c r="O89" s="434"/>
      <c r="P89" s="242"/>
    </row>
    <row r="90" spans="1:16" s="27" customFormat="1" ht="15">
      <c r="A90" s="62">
        <v>11</v>
      </c>
      <c r="B90" s="59" t="s">
        <v>74</v>
      </c>
      <c r="C90" s="154" t="s">
        <v>86</v>
      </c>
      <c r="D90" s="54" t="s">
        <v>86</v>
      </c>
      <c r="E90" s="55" t="s">
        <v>86</v>
      </c>
      <c r="F90" s="245"/>
      <c r="G90" s="26"/>
      <c r="H90" s="434"/>
      <c r="I90" s="434"/>
      <c r="J90" s="434"/>
      <c r="K90" s="434"/>
      <c r="L90" s="434"/>
      <c r="M90" s="434"/>
      <c r="N90" s="434"/>
      <c r="O90" s="434"/>
      <c r="P90" s="242"/>
    </row>
    <row r="91" spans="1:16" s="27" customFormat="1" ht="15.75" thickBot="1">
      <c r="A91" s="63">
        <v>12</v>
      </c>
      <c r="B91" s="60" t="s">
        <v>68</v>
      </c>
      <c r="C91" s="155" t="s">
        <v>86</v>
      </c>
      <c r="D91" s="56" t="s">
        <v>86</v>
      </c>
      <c r="E91" s="57" t="s">
        <v>86</v>
      </c>
      <c r="F91" s="372"/>
      <c r="G91" s="26"/>
      <c r="H91" s="434"/>
      <c r="I91" s="434"/>
      <c r="J91" s="434"/>
      <c r="K91" s="434"/>
      <c r="L91" s="434"/>
      <c r="M91" s="434"/>
      <c r="N91" s="434"/>
      <c r="O91" s="434"/>
      <c r="P91" s="242"/>
    </row>
    <row r="92" spans="1:16" s="27" customFormat="1" ht="18">
      <c r="A92" s="52"/>
      <c r="B92" s="4"/>
      <c r="C92" s="12"/>
      <c r="D92" s="16"/>
      <c r="E92" s="16"/>
      <c r="F92" s="6"/>
      <c r="G92" s="26"/>
      <c r="H92" s="434"/>
      <c r="I92" s="434"/>
      <c r="J92" s="434"/>
      <c r="K92" s="434"/>
      <c r="L92" s="434"/>
      <c r="M92" s="434"/>
      <c r="N92" s="434"/>
      <c r="O92" s="434"/>
      <c r="P92" s="242"/>
    </row>
    <row r="93" spans="1:16" s="27" customFormat="1" ht="18">
      <c r="A93" s="52"/>
      <c r="B93" s="4"/>
      <c r="C93" s="12"/>
      <c r="D93" s="16"/>
      <c r="E93" s="16"/>
      <c r="F93" s="6"/>
      <c r="G93" s="26"/>
      <c r="H93" s="434"/>
      <c r="I93" s="434"/>
      <c r="J93" s="434"/>
      <c r="K93" s="434"/>
      <c r="L93" s="434"/>
      <c r="M93" s="434"/>
      <c r="N93" s="434"/>
      <c r="O93" s="434"/>
      <c r="P93" s="242"/>
    </row>
    <row r="94" spans="1:16" s="27" customFormat="1" ht="15">
      <c r="A94" s="52"/>
      <c r="B94" s="73"/>
      <c r="C94" s="152"/>
      <c r="D94" s="73"/>
      <c r="E94" s="73"/>
      <c r="F94" s="73"/>
      <c r="G94" s="26"/>
      <c r="H94" s="434"/>
      <c r="I94" s="434"/>
      <c r="J94" s="434"/>
      <c r="K94" s="434"/>
      <c r="L94" s="434"/>
      <c r="M94" s="434"/>
      <c r="N94" s="434"/>
      <c r="O94" s="434"/>
      <c r="P94" s="242"/>
    </row>
    <row r="95" spans="1:16" s="27" customFormat="1" ht="15">
      <c r="A95" s="52"/>
      <c r="B95" s="73"/>
      <c r="C95" s="152"/>
      <c r="D95" s="73"/>
      <c r="E95" s="73"/>
      <c r="F95" s="73"/>
      <c r="G95" s="26"/>
      <c r="H95" s="434"/>
      <c r="I95" s="434"/>
      <c r="J95" s="434"/>
      <c r="K95" s="434"/>
      <c r="L95" s="434"/>
      <c r="M95" s="434"/>
      <c r="N95" s="434"/>
      <c r="O95" s="434"/>
      <c r="P95" s="242"/>
    </row>
    <row r="96" spans="1:16" s="27" customFormat="1" ht="15">
      <c r="A96" s="52"/>
      <c r="B96" s="73"/>
      <c r="C96" s="152"/>
      <c r="D96" s="73"/>
      <c r="E96" s="73"/>
      <c r="F96" s="73"/>
      <c r="G96" s="26"/>
      <c r="H96" s="74"/>
      <c r="I96" s="124"/>
      <c r="J96" s="124"/>
      <c r="K96" s="74"/>
      <c r="L96" s="74"/>
      <c r="M96" s="74"/>
      <c r="N96" s="74"/>
      <c r="O96" s="74"/>
      <c r="P96" s="242"/>
    </row>
    <row r="97" spans="1:16" s="27" customFormat="1" ht="15">
      <c r="A97" s="52"/>
      <c r="B97" s="73"/>
      <c r="C97" s="152"/>
      <c r="D97" s="73"/>
      <c r="E97" s="73"/>
      <c r="F97" s="73"/>
      <c r="G97" s="26"/>
      <c r="H97" s="74"/>
      <c r="I97" s="124"/>
      <c r="J97" s="124"/>
      <c r="K97" s="74"/>
      <c r="L97" s="74"/>
      <c r="M97" s="74"/>
      <c r="N97" s="74"/>
      <c r="O97" s="74"/>
      <c r="P97" s="242"/>
    </row>
    <row r="98" spans="2:6" ht="18">
      <c r="B98" s="73"/>
      <c r="C98" s="152"/>
      <c r="D98" s="73"/>
      <c r="E98" s="73"/>
      <c r="F98" s="73"/>
    </row>
    <row r="99" spans="2:6" ht="18">
      <c r="B99" s="73"/>
      <c r="C99" s="152"/>
      <c r="D99" s="73"/>
      <c r="E99" s="73"/>
      <c r="F99" s="73"/>
    </row>
    <row r="100" spans="2:15" ht="18">
      <c r="B100" s="73"/>
      <c r="C100" s="152"/>
      <c r="D100" s="73"/>
      <c r="E100" s="73"/>
      <c r="F100" s="73"/>
      <c r="G100" s="73"/>
      <c r="H100" s="73"/>
      <c r="I100" s="125"/>
      <c r="J100" s="125"/>
      <c r="K100" s="73"/>
      <c r="L100" s="73"/>
      <c r="M100" s="73"/>
      <c r="N100" s="73"/>
      <c r="O100" s="73"/>
    </row>
    <row r="101" spans="2:15" ht="18">
      <c r="B101" s="73"/>
      <c r="C101" s="152"/>
      <c r="D101" s="73"/>
      <c r="E101" s="73"/>
      <c r="F101" s="73"/>
      <c r="G101" s="73"/>
      <c r="H101" s="73"/>
      <c r="I101" s="125"/>
      <c r="J101" s="125"/>
      <c r="K101" s="73"/>
      <c r="L101" s="73"/>
      <c r="M101" s="73"/>
      <c r="N101" s="73"/>
      <c r="O101" s="73"/>
    </row>
    <row r="102" spans="2:15" ht="18">
      <c r="B102" s="73"/>
      <c r="C102" s="152"/>
      <c r="D102" s="73"/>
      <c r="E102" s="73"/>
      <c r="F102" s="73"/>
      <c r="G102" s="73"/>
      <c r="H102" s="73"/>
      <c r="I102" s="125"/>
      <c r="J102" s="125"/>
      <c r="K102" s="73"/>
      <c r="L102" s="73"/>
      <c r="M102" s="73"/>
      <c r="N102" s="73"/>
      <c r="O102" s="73"/>
    </row>
    <row r="103" spans="2:15" ht="18">
      <c r="B103" s="73"/>
      <c r="C103" s="152"/>
      <c r="D103" s="73"/>
      <c r="E103" s="73"/>
      <c r="F103" s="73"/>
      <c r="G103" s="73"/>
      <c r="H103" s="73"/>
      <c r="I103" s="125"/>
      <c r="J103" s="125"/>
      <c r="K103" s="73"/>
      <c r="L103" s="73"/>
      <c r="M103" s="73"/>
      <c r="N103" s="73"/>
      <c r="O103" s="73"/>
    </row>
    <row r="104" spans="2:15" ht="18">
      <c r="B104" s="73"/>
      <c r="C104" s="152"/>
      <c r="D104" s="73"/>
      <c r="E104" s="73"/>
      <c r="F104" s="73"/>
      <c r="G104" s="73"/>
      <c r="H104" s="73"/>
      <c r="I104" s="125"/>
      <c r="J104" s="125"/>
      <c r="K104" s="73"/>
      <c r="L104" s="73"/>
      <c r="M104" s="73"/>
      <c r="N104" s="73"/>
      <c r="O104" s="73"/>
    </row>
    <row r="105" spans="2:15" ht="18">
      <c r="B105" s="73"/>
      <c r="C105" s="152"/>
      <c r="D105" s="73"/>
      <c r="E105" s="73"/>
      <c r="F105" s="73"/>
      <c r="G105" s="73"/>
      <c r="H105" s="73"/>
      <c r="I105" s="125"/>
      <c r="J105" s="125"/>
      <c r="K105" s="73"/>
      <c r="L105" s="73"/>
      <c r="M105" s="73"/>
      <c r="N105" s="73"/>
      <c r="O105" s="73"/>
    </row>
    <row r="106" spans="2:15" ht="18">
      <c r="B106" s="73"/>
      <c r="C106" s="152"/>
      <c r="D106" s="73"/>
      <c r="E106" s="73"/>
      <c r="F106" s="73"/>
      <c r="G106" s="73"/>
      <c r="H106" s="73"/>
      <c r="I106" s="125"/>
      <c r="J106" s="125"/>
      <c r="K106" s="73"/>
      <c r="L106" s="73"/>
      <c r="M106" s="73"/>
      <c r="N106" s="73"/>
      <c r="O106" s="73"/>
    </row>
    <row r="107" spans="2:15" ht="18">
      <c r="B107" s="73"/>
      <c r="C107" s="152"/>
      <c r="D107" s="73"/>
      <c r="E107" s="73"/>
      <c r="F107" s="73"/>
      <c r="G107" s="73"/>
      <c r="H107" s="73"/>
      <c r="I107" s="125"/>
      <c r="J107" s="125"/>
      <c r="K107" s="73"/>
      <c r="L107" s="73"/>
      <c r="M107" s="73"/>
      <c r="N107" s="73"/>
      <c r="O107" s="73"/>
    </row>
    <row r="108" spans="7:15" ht="18">
      <c r="G108" s="73"/>
      <c r="H108" s="73"/>
      <c r="I108" s="125"/>
      <c r="J108" s="125"/>
      <c r="K108" s="73"/>
      <c r="L108" s="73"/>
      <c r="M108" s="73"/>
      <c r="N108" s="73"/>
      <c r="O108" s="73"/>
    </row>
    <row r="109" spans="7:15" ht="18">
      <c r="G109" s="73"/>
      <c r="H109" s="73"/>
      <c r="I109" s="125"/>
      <c r="J109" s="125"/>
      <c r="K109" s="73"/>
      <c r="L109" s="73"/>
      <c r="M109" s="73"/>
      <c r="N109" s="73"/>
      <c r="O109" s="73"/>
    </row>
    <row r="110" spans="7:15" ht="18">
      <c r="G110" s="73"/>
      <c r="H110" s="73"/>
      <c r="I110" s="125"/>
      <c r="J110" s="125"/>
      <c r="K110" s="73"/>
      <c r="L110" s="73"/>
      <c r="M110" s="73"/>
      <c r="N110" s="73"/>
      <c r="O110" s="73"/>
    </row>
    <row r="111" spans="7:15" ht="18">
      <c r="G111" s="73"/>
      <c r="H111" s="73"/>
      <c r="I111" s="125"/>
      <c r="J111" s="125"/>
      <c r="K111" s="73"/>
      <c r="L111" s="73"/>
      <c r="M111" s="73"/>
      <c r="N111" s="73"/>
      <c r="O111" s="73"/>
    </row>
    <row r="112" spans="7:15" ht="18">
      <c r="G112" s="73"/>
      <c r="H112" s="73"/>
      <c r="I112" s="125"/>
      <c r="J112" s="125"/>
      <c r="K112" s="73"/>
      <c r="L112" s="73"/>
      <c r="M112" s="73"/>
      <c r="N112" s="73"/>
      <c r="O112" s="73"/>
    </row>
    <row r="113" spans="7:15" ht="18">
      <c r="G113" s="73"/>
      <c r="H113" s="73"/>
      <c r="I113" s="125"/>
      <c r="J113" s="125"/>
      <c r="K113" s="73"/>
      <c r="L113" s="73"/>
      <c r="M113" s="73"/>
      <c r="N113" s="73"/>
      <c r="O113" s="73"/>
    </row>
  </sheetData>
  <sheetProtection insertRows="0" deleteRows="0" sort="0"/>
  <mergeCells count="19">
    <mergeCell ref="H83:O88"/>
    <mergeCell ref="H89:O95"/>
    <mergeCell ref="A73:B73"/>
    <mergeCell ref="A74:B74"/>
    <mergeCell ref="C78:F78"/>
    <mergeCell ref="K79:O81"/>
    <mergeCell ref="B76:C77"/>
    <mergeCell ref="K76:O78"/>
    <mergeCell ref="D76:F76"/>
    <mergeCell ref="A2:O2"/>
    <mergeCell ref="M3:O3"/>
    <mergeCell ref="G3:G4"/>
    <mergeCell ref="F3:F4"/>
    <mergeCell ref="B3:B4"/>
    <mergeCell ref="D3:D4"/>
    <mergeCell ref="H3:H4"/>
    <mergeCell ref="I3:L3"/>
    <mergeCell ref="C3:C4"/>
    <mergeCell ref="E3:E4"/>
  </mergeCells>
  <printOptions horizontalCentered="1" verticalCentered="1"/>
  <pageMargins left="0.53" right="0.19" top="0.5905511811023623" bottom="0.5" header="0.5118110236220472" footer="0.45"/>
  <pageSetup orientation="portrait" paperSize="9" scale="45" r:id="rId2"/>
  <ignoredErrors>
    <ignoredError sqref="F55:H61 F5:H23 F36:I40 C80:E89" numberStoredAsText="1"/>
    <ignoredError sqref="M73:N74 M6:N30 M37:N40 M59:O72" unlockedFormula="1"/>
    <ignoredError sqref="K73:L73" formula="1"/>
    <ignoredError sqref="F80:F89" numberStoredAsText="1" unlockedFormula="1"/>
  </ignoredErrors>
  <drawing r:id="rId1"/>
</worksheet>
</file>

<file path=xl/worksheets/sheet2.xml><?xml version="1.0" encoding="utf-8"?>
<worksheet xmlns="http://schemas.openxmlformats.org/spreadsheetml/2006/main" xmlns:r="http://schemas.openxmlformats.org/officeDocument/2006/relationships">
  <dimension ref="A1:L81"/>
  <sheetViews>
    <sheetView zoomScale="55" zoomScaleNormal="55" workbookViewId="0" topLeftCell="A1">
      <selection activeCell="B2" sqref="B2:B3"/>
    </sheetView>
  </sheetViews>
  <sheetFormatPr defaultColWidth="9.140625" defaultRowHeight="12.75"/>
  <cols>
    <col min="1" max="1" width="4.00390625" style="92" bestFit="1" customWidth="1"/>
    <col min="2" max="2" width="39.00390625" style="87" customWidth="1"/>
    <col min="3" max="3" width="9.8515625" style="50" customWidth="1"/>
    <col min="4" max="4" width="13.8515625" style="50" bestFit="1" customWidth="1"/>
    <col min="5" max="5" width="21.28125" style="50" bestFit="1" customWidth="1"/>
    <col min="6" max="6" width="6.28125" style="50" bestFit="1" customWidth="1"/>
    <col min="7" max="7" width="9.28125" style="50" customWidth="1"/>
    <col min="8" max="8" width="16.7109375" style="88" customWidth="1"/>
    <col min="9" max="9" width="12.00390625" style="99" bestFit="1" customWidth="1"/>
    <col min="10" max="10" width="9.57421875" style="89" customWidth="1"/>
    <col min="11" max="11" width="12.28125" style="87" bestFit="1" customWidth="1"/>
    <col min="12" max="12" width="10.28125" style="87" bestFit="1" customWidth="1"/>
    <col min="13" max="16384" width="9.140625" style="87" customWidth="1"/>
  </cols>
  <sheetData>
    <row r="1" spans="1:10" s="79" customFormat="1" ht="39" customHeight="1" thickBot="1">
      <c r="A1" s="454" t="s">
        <v>305</v>
      </c>
      <c r="B1" s="454"/>
      <c r="C1" s="454"/>
      <c r="D1" s="454"/>
      <c r="E1" s="454"/>
      <c r="F1" s="454"/>
      <c r="G1" s="454"/>
      <c r="H1" s="454"/>
      <c r="I1" s="454"/>
      <c r="J1" s="454"/>
    </row>
    <row r="2" spans="1:10" s="80" customFormat="1" ht="21.75" customHeight="1">
      <c r="A2" s="96"/>
      <c r="B2" s="446" t="s">
        <v>1</v>
      </c>
      <c r="C2" s="446" t="s">
        <v>108</v>
      </c>
      <c r="D2" s="446" t="s">
        <v>54</v>
      </c>
      <c r="E2" s="446" t="s">
        <v>53</v>
      </c>
      <c r="F2" s="428" t="s">
        <v>3</v>
      </c>
      <c r="G2" s="428" t="s">
        <v>109</v>
      </c>
      <c r="H2" s="449" t="s">
        <v>5</v>
      </c>
      <c r="I2" s="450"/>
      <c r="J2" s="451" t="s">
        <v>110</v>
      </c>
    </row>
    <row r="3" spans="1:10" s="80" customFormat="1" ht="21.75" customHeight="1" thickBot="1">
      <c r="A3" s="184"/>
      <c r="B3" s="447"/>
      <c r="C3" s="447"/>
      <c r="D3" s="447"/>
      <c r="E3" s="447"/>
      <c r="F3" s="448"/>
      <c r="G3" s="448"/>
      <c r="H3" s="77" t="s">
        <v>111</v>
      </c>
      <c r="I3" s="78" t="s">
        <v>90</v>
      </c>
      <c r="J3" s="452"/>
    </row>
    <row r="4" spans="1:10" s="80" customFormat="1" ht="15">
      <c r="A4" s="192">
        <v>1</v>
      </c>
      <c r="B4" s="322" t="s">
        <v>183</v>
      </c>
      <c r="C4" s="183">
        <v>39094</v>
      </c>
      <c r="D4" s="323" t="s">
        <v>58</v>
      </c>
      <c r="E4" s="323" t="s">
        <v>264</v>
      </c>
      <c r="F4" s="324">
        <v>226</v>
      </c>
      <c r="G4" s="324">
        <v>9</v>
      </c>
      <c r="H4" s="256">
        <f>3142328+2138928+1454143+1085018.5-637+512497+119516+49072.5+21975.5+19023</f>
        <v>8541864.5</v>
      </c>
      <c r="I4" s="325">
        <f>453903+300559+202455+152725+101+73889+22414+10560+4196+3829</f>
        <v>1224631</v>
      </c>
      <c r="J4" s="326">
        <f aca="true" t="shared" si="0" ref="J4:J38">+H4/I4</f>
        <v>6.975051668625079</v>
      </c>
    </row>
    <row r="5" spans="1:10" s="80" customFormat="1" ht="15">
      <c r="A5" s="192">
        <v>2</v>
      </c>
      <c r="B5" s="249" t="s">
        <v>184</v>
      </c>
      <c r="C5" s="117">
        <v>39101</v>
      </c>
      <c r="D5" s="128" t="s">
        <v>58</v>
      </c>
      <c r="E5" s="128" t="s">
        <v>58</v>
      </c>
      <c r="F5" s="118">
        <v>197</v>
      </c>
      <c r="G5" s="118">
        <v>8</v>
      </c>
      <c r="H5" s="252">
        <f>3815016+1300103.5+871510+26.5+643328.5+285+427492+144808.5-4582.5+117687.5+159.5</f>
        <v>7315834.5</v>
      </c>
      <c r="I5" s="253">
        <f>302979+231870+176034+121748+3+91906+35+60830+21133-764+16236+14</f>
        <v>1022024</v>
      </c>
      <c r="J5" s="327">
        <f t="shared" si="0"/>
        <v>7.158182684555353</v>
      </c>
    </row>
    <row r="6" spans="1:10" s="80" customFormat="1" ht="15">
      <c r="A6" s="304">
        <v>3</v>
      </c>
      <c r="B6" s="339" t="s">
        <v>245</v>
      </c>
      <c r="C6" s="305">
        <v>39108</v>
      </c>
      <c r="D6" s="340" t="s">
        <v>56</v>
      </c>
      <c r="E6" s="341" t="s">
        <v>268</v>
      </c>
      <c r="F6" s="306">
        <v>148</v>
      </c>
      <c r="G6" s="306">
        <v>7</v>
      </c>
      <c r="H6" s="342">
        <f>1992651+1728920+984064+346169+182382+106480+57466</f>
        <v>5398132</v>
      </c>
      <c r="I6" s="343">
        <f>274655+238848+139396+51021+30073+21220+12561</f>
        <v>767774</v>
      </c>
      <c r="J6" s="344">
        <f t="shared" si="0"/>
        <v>7.030886693219619</v>
      </c>
    </row>
    <row r="7" spans="1:10" s="80" customFormat="1" ht="15">
      <c r="A7" s="301">
        <v>4</v>
      </c>
      <c r="B7" s="334" t="s">
        <v>190</v>
      </c>
      <c r="C7" s="302">
        <v>39108</v>
      </c>
      <c r="D7" s="335" t="s">
        <v>56</v>
      </c>
      <c r="E7" s="336" t="s">
        <v>11</v>
      </c>
      <c r="F7" s="303">
        <v>131</v>
      </c>
      <c r="G7" s="303">
        <v>7</v>
      </c>
      <c r="H7" s="337">
        <f>3063+1388108+1182918+556749+125580+97410+76666+37161</f>
        <v>3467655</v>
      </c>
      <c r="I7" s="338">
        <f>313+167433+145432+67053+17220+16427+14008+6979</f>
        <v>434865</v>
      </c>
      <c r="J7" s="369">
        <f t="shared" si="0"/>
        <v>7.97409540892001</v>
      </c>
    </row>
    <row r="8" spans="1:10" s="80" customFormat="1" ht="15">
      <c r="A8" s="192">
        <v>5</v>
      </c>
      <c r="B8" s="248" t="s">
        <v>229</v>
      </c>
      <c r="C8" s="116">
        <v>39115</v>
      </c>
      <c r="D8" s="127" t="s">
        <v>56</v>
      </c>
      <c r="E8" s="126" t="s">
        <v>11</v>
      </c>
      <c r="F8" s="272">
        <v>81</v>
      </c>
      <c r="G8" s="272">
        <v>6</v>
      </c>
      <c r="H8" s="254">
        <f>3091+1174032+810484+561094+347033+135358+88526</f>
        <v>3119618</v>
      </c>
      <c r="I8" s="318">
        <f>289+128246+92369+63358+42093+20318+16522</f>
        <v>363195</v>
      </c>
      <c r="J8" s="327">
        <f t="shared" si="0"/>
        <v>8.589374853728714</v>
      </c>
    </row>
    <row r="9" spans="1:10" s="80" customFormat="1" ht="15">
      <c r="A9" s="192">
        <v>6</v>
      </c>
      <c r="B9" s="251" t="s">
        <v>124</v>
      </c>
      <c r="C9" s="116">
        <v>39080</v>
      </c>
      <c r="D9" s="129" t="s">
        <v>45</v>
      </c>
      <c r="E9" s="129" t="s">
        <v>97</v>
      </c>
      <c r="F9" s="271" t="s">
        <v>125</v>
      </c>
      <c r="G9" s="271" t="s">
        <v>304</v>
      </c>
      <c r="H9" s="254">
        <v>2967544.5</v>
      </c>
      <c r="I9" s="318">
        <v>397663</v>
      </c>
      <c r="J9" s="327">
        <f t="shared" si="0"/>
        <v>7.462460676502466</v>
      </c>
    </row>
    <row r="10" spans="1:10" s="80" customFormat="1" ht="15">
      <c r="A10" s="192">
        <v>7</v>
      </c>
      <c r="B10" s="249" t="s">
        <v>143</v>
      </c>
      <c r="C10" s="117">
        <v>39101</v>
      </c>
      <c r="D10" s="128" t="s">
        <v>57</v>
      </c>
      <c r="E10" s="128" t="s">
        <v>60</v>
      </c>
      <c r="F10" s="118">
        <v>90</v>
      </c>
      <c r="G10" s="118">
        <v>8</v>
      </c>
      <c r="H10" s="252">
        <v>2955013</v>
      </c>
      <c r="I10" s="253">
        <v>345011</v>
      </c>
      <c r="J10" s="327">
        <f t="shared" si="0"/>
        <v>8.564981986081603</v>
      </c>
    </row>
    <row r="11" spans="1:10" s="80" customFormat="1" ht="15">
      <c r="A11" s="192">
        <v>8</v>
      </c>
      <c r="B11" s="251" t="s">
        <v>226</v>
      </c>
      <c r="C11" s="116">
        <v>39108</v>
      </c>
      <c r="D11" s="129" t="s">
        <v>45</v>
      </c>
      <c r="E11" s="129" t="s">
        <v>227</v>
      </c>
      <c r="F11" s="271" t="s">
        <v>228</v>
      </c>
      <c r="G11" s="271" t="s">
        <v>332</v>
      </c>
      <c r="H11" s="254">
        <v>2816749.9672803213</v>
      </c>
      <c r="I11" s="318">
        <v>377280</v>
      </c>
      <c r="J11" s="327">
        <f t="shared" si="0"/>
        <v>7.465940328881259</v>
      </c>
    </row>
    <row r="12" spans="1:10" s="80" customFormat="1" ht="15">
      <c r="A12" s="192">
        <v>9</v>
      </c>
      <c r="B12" s="248" t="s">
        <v>267</v>
      </c>
      <c r="C12" s="116">
        <v>39129</v>
      </c>
      <c r="D12" s="127" t="s">
        <v>56</v>
      </c>
      <c r="E12" s="126" t="s">
        <v>61</v>
      </c>
      <c r="F12" s="272">
        <v>72</v>
      </c>
      <c r="G12" s="272">
        <v>4</v>
      </c>
      <c r="H12" s="254">
        <f>1024988+679541+410193+207911</f>
        <v>2322633</v>
      </c>
      <c r="I12" s="318">
        <f>121457+81309+49212+25967</f>
        <v>277945</v>
      </c>
      <c r="J12" s="327">
        <f t="shared" si="0"/>
        <v>8.35644821817266</v>
      </c>
    </row>
    <row r="13" spans="1:10" s="80" customFormat="1" ht="15">
      <c r="A13" s="192">
        <v>10</v>
      </c>
      <c r="B13" s="249" t="s">
        <v>180</v>
      </c>
      <c r="C13" s="117">
        <v>39080</v>
      </c>
      <c r="D13" s="128" t="s">
        <v>57</v>
      </c>
      <c r="E13" s="128" t="s">
        <v>60</v>
      </c>
      <c r="F13" s="118">
        <v>56</v>
      </c>
      <c r="G13" s="118">
        <v>10</v>
      </c>
      <c r="H13" s="252">
        <v>2096053</v>
      </c>
      <c r="I13" s="253">
        <v>231210</v>
      </c>
      <c r="J13" s="327">
        <f t="shared" si="0"/>
        <v>9.065581073482981</v>
      </c>
    </row>
    <row r="14" spans="1:10" s="80" customFormat="1" ht="15">
      <c r="A14" s="192">
        <v>11</v>
      </c>
      <c r="B14" s="248" t="s">
        <v>119</v>
      </c>
      <c r="C14" s="116">
        <v>39080</v>
      </c>
      <c r="D14" s="127" t="s">
        <v>56</v>
      </c>
      <c r="E14" s="126" t="s">
        <v>61</v>
      </c>
      <c r="F14" s="272">
        <v>80</v>
      </c>
      <c r="G14" s="272">
        <v>11</v>
      </c>
      <c r="H14" s="254">
        <f>1367+686114+384405+247619+146119+85619+63759-1+18934+11869+10791+11315+6907</f>
        <v>1674817</v>
      </c>
      <c r="I14" s="318">
        <f>80773+116+46317+29887+17891+10484+7685+2801+1917+1334+1333+755</f>
        <v>201293</v>
      </c>
      <c r="J14" s="327">
        <f t="shared" si="0"/>
        <v>8.32029429736752</v>
      </c>
    </row>
    <row r="15" spans="1:10" s="80" customFormat="1" ht="15">
      <c r="A15" s="192">
        <v>12</v>
      </c>
      <c r="B15" s="251" t="s">
        <v>237</v>
      </c>
      <c r="C15" s="116">
        <v>39115</v>
      </c>
      <c r="D15" s="129" t="s">
        <v>45</v>
      </c>
      <c r="E15" s="129" t="s">
        <v>238</v>
      </c>
      <c r="F15" s="271" t="s">
        <v>239</v>
      </c>
      <c r="G15" s="271" t="s">
        <v>292</v>
      </c>
      <c r="H15" s="254">
        <v>1623104</v>
      </c>
      <c r="I15" s="318">
        <v>225699</v>
      </c>
      <c r="J15" s="327">
        <f t="shared" si="0"/>
        <v>7.1914541048033</v>
      </c>
    </row>
    <row r="16" spans="1:10" s="80" customFormat="1" ht="15">
      <c r="A16" s="192">
        <v>13</v>
      </c>
      <c r="B16" s="248" t="s">
        <v>260</v>
      </c>
      <c r="C16" s="116">
        <v>39129</v>
      </c>
      <c r="D16" s="126" t="s">
        <v>48</v>
      </c>
      <c r="E16" s="126" t="s">
        <v>193</v>
      </c>
      <c r="F16" s="272">
        <v>113</v>
      </c>
      <c r="G16" s="272">
        <v>4</v>
      </c>
      <c r="H16" s="255">
        <f>664515+531932.5+233215.5+49818.5</f>
        <v>1479481.5</v>
      </c>
      <c r="I16" s="253">
        <f>85126+68647+30568+8503</f>
        <v>192844</v>
      </c>
      <c r="J16" s="327">
        <f t="shared" si="0"/>
        <v>7.671908381904545</v>
      </c>
    </row>
    <row r="17" spans="1:10" s="80" customFormat="1" ht="15">
      <c r="A17" s="192">
        <v>14</v>
      </c>
      <c r="B17" s="248" t="s">
        <v>312</v>
      </c>
      <c r="C17" s="116">
        <v>39143</v>
      </c>
      <c r="D17" s="127" t="s">
        <v>56</v>
      </c>
      <c r="E17" s="126" t="s">
        <v>71</v>
      </c>
      <c r="F17" s="272">
        <v>77</v>
      </c>
      <c r="G17" s="272">
        <v>2</v>
      </c>
      <c r="H17" s="254">
        <f>846616+621006</f>
        <v>1467622</v>
      </c>
      <c r="I17" s="318">
        <f>102037+74423</f>
        <v>176460</v>
      </c>
      <c r="J17" s="327">
        <f t="shared" si="0"/>
        <v>8.317023688087952</v>
      </c>
    </row>
    <row r="18" spans="1:10" s="80" customFormat="1" ht="15">
      <c r="A18" s="192">
        <v>15</v>
      </c>
      <c r="B18" s="249" t="s">
        <v>261</v>
      </c>
      <c r="C18" s="117">
        <v>39129</v>
      </c>
      <c r="D18" s="128" t="s">
        <v>57</v>
      </c>
      <c r="E18" s="128" t="s">
        <v>320</v>
      </c>
      <c r="F18" s="118">
        <v>77</v>
      </c>
      <c r="G18" s="118">
        <v>3</v>
      </c>
      <c r="H18" s="252">
        <v>1412287</v>
      </c>
      <c r="I18" s="253">
        <v>172090</v>
      </c>
      <c r="J18" s="327">
        <f t="shared" si="0"/>
        <v>8.206676738915684</v>
      </c>
    </row>
    <row r="19" spans="1:10" s="80" customFormat="1" ht="15">
      <c r="A19" s="192">
        <v>16</v>
      </c>
      <c r="B19" s="248" t="s">
        <v>246</v>
      </c>
      <c r="C19" s="116">
        <v>39122</v>
      </c>
      <c r="D19" s="127" t="s">
        <v>56</v>
      </c>
      <c r="E19" s="126" t="s">
        <v>240</v>
      </c>
      <c r="F19" s="272">
        <v>60</v>
      </c>
      <c r="G19" s="272">
        <v>5</v>
      </c>
      <c r="H19" s="254">
        <f>532455+318401+212166+27739+39053</f>
        <v>1129814</v>
      </c>
      <c r="I19" s="318">
        <f>62334+37213+25119+5045+7212</f>
        <v>136923</v>
      </c>
      <c r="J19" s="327">
        <f t="shared" si="0"/>
        <v>8.25145519744674</v>
      </c>
    </row>
    <row r="20" spans="1:10" s="80" customFormat="1" ht="15">
      <c r="A20" s="192">
        <v>17</v>
      </c>
      <c r="B20" s="249" t="s">
        <v>262</v>
      </c>
      <c r="C20" s="117">
        <v>39129</v>
      </c>
      <c r="D20" s="128" t="s">
        <v>58</v>
      </c>
      <c r="E20" s="128" t="s">
        <v>66</v>
      </c>
      <c r="F20" s="118">
        <v>43</v>
      </c>
      <c r="G20" s="118">
        <v>4</v>
      </c>
      <c r="H20" s="252">
        <f>384662.5+356262.5+212054+113636.5</f>
        <v>1066615.5</v>
      </c>
      <c r="I20" s="253">
        <f>44623+40340+24564+15320</f>
        <v>124847</v>
      </c>
      <c r="J20" s="327">
        <f t="shared" si="0"/>
        <v>8.54338109846452</v>
      </c>
    </row>
    <row r="21" spans="1:10" s="80" customFormat="1" ht="15">
      <c r="A21" s="192">
        <v>18</v>
      </c>
      <c r="B21" s="249" t="s">
        <v>185</v>
      </c>
      <c r="C21" s="117">
        <v>39115</v>
      </c>
      <c r="D21" s="128" t="s">
        <v>57</v>
      </c>
      <c r="E21" s="128" t="s">
        <v>186</v>
      </c>
      <c r="F21" s="118">
        <v>151</v>
      </c>
      <c r="G21" s="118">
        <v>6</v>
      </c>
      <c r="H21" s="252">
        <v>1036274</v>
      </c>
      <c r="I21" s="253">
        <v>149110</v>
      </c>
      <c r="J21" s="327">
        <f t="shared" si="0"/>
        <v>6.949728388438066</v>
      </c>
    </row>
    <row r="22" spans="1:10" s="80" customFormat="1" ht="15">
      <c r="A22" s="192">
        <v>19</v>
      </c>
      <c r="B22" s="249" t="s">
        <v>325</v>
      </c>
      <c r="C22" s="117">
        <v>39129</v>
      </c>
      <c r="D22" s="128" t="s">
        <v>57</v>
      </c>
      <c r="E22" s="128" t="s">
        <v>320</v>
      </c>
      <c r="F22" s="118">
        <v>39</v>
      </c>
      <c r="G22" s="118">
        <v>3</v>
      </c>
      <c r="H22" s="252">
        <v>897977</v>
      </c>
      <c r="I22" s="253">
        <v>94751</v>
      </c>
      <c r="J22" s="327">
        <f t="shared" si="0"/>
        <v>9.477229791770007</v>
      </c>
    </row>
    <row r="23" spans="1:10" s="80" customFormat="1" ht="15">
      <c r="A23" s="192">
        <v>20</v>
      </c>
      <c r="B23" s="249" t="s">
        <v>127</v>
      </c>
      <c r="C23" s="117">
        <v>39080</v>
      </c>
      <c r="D23" s="128" t="s">
        <v>58</v>
      </c>
      <c r="E23" s="128" t="s">
        <v>59</v>
      </c>
      <c r="F23" s="118">
        <v>225</v>
      </c>
      <c r="G23" s="118">
        <v>11</v>
      </c>
      <c r="H23" s="252">
        <f>443484+172504.5+77130.5+14404+4813+5794.5+20+1110+1236+15107+13128.5+13380+1820</f>
        <v>763932</v>
      </c>
      <c r="I23" s="253">
        <f>50755+20967+9569+1855+705+1471+1+225+365+2864+2180+2252+270</f>
        <v>93479</v>
      </c>
      <c r="J23" s="327">
        <f t="shared" si="0"/>
        <v>8.17223119631147</v>
      </c>
    </row>
    <row r="24" spans="1:10" s="80" customFormat="1" ht="15">
      <c r="A24" s="192">
        <v>21</v>
      </c>
      <c r="B24" s="251" t="s">
        <v>164</v>
      </c>
      <c r="C24" s="116">
        <v>39094</v>
      </c>
      <c r="D24" s="129" t="s">
        <v>73</v>
      </c>
      <c r="E24" s="129" t="s">
        <v>136</v>
      </c>
      <c r="F24" s="271" t="s">
        <v>165</v>
      </c>
      <c r="G24" s="271" t="s">
        <v>230</v>
      </c>
      <c r="H24" s="254">
        <v>760698</v>
      </c>
      <c r="I24" s="318">
        <v>81065</v>
      </c>
      <c r="J24" s="327">
        <f t="shared" si="0"/>
        <v>9.383803120952322</v>
      </c>
    </row>
    <row r="25" spans="1:10" s="80" customFormat="1" ht="15">
      <c r="A25" s="192">
        <v>22</v>
      </c>
      <c r="B25" s="248" t="s">
        <v>280</v>
      </c>
      <c r="C25" s="116">
        <v>39143</v>
      </c>
      <c r="D25" s="127" t="s">
        <v>56</v>
      </c>
      <c r="E25" s="126" t="s">
        <v>61</v>
      </c>
      <c r="F25" s="272">
        <v>54</v>
      </c>
      <c r="G25" s="272">
        <v>2</v>
      </c>
      <c r="H25" s="254">
        <f>1045+424606+314397</f>
        <v>740048</v>
      </c>
      <c r="I25" s="318">
        <f>101+45441+34072</f>
        <v>79614</v>
      </c>
      <c r="J25" s="327">
        <f t="shared" si="0"/>
        <v>9.295450548898435</v>
      </c>
    </row>
    <row r="26" spans="1:10" s="80" customFormat="1" ht="15">
      <c r="A26" s="192">
        <v>23</v>
      </c>
      <c r="B26" s="251" t="s">
        <v>309</v>
      </c>
      <c r="C26" s="116">
        <v>39150</v>
      </c>
      <c r="D26" s="129" t="s">
        <v>45</v>
      </c>
      <c r="E26" s="129" t="s">
        <v>310</v>
      </c>
      <c r="F26" s="271" t="s">
        <v>303</v>
      </c>
      <c r="G26" s="271" t="s">
        <v>20</v>
      </c>
      <c r="H26" s="254">
        <v>690593.5</v>
      </c>
      <c r="I26" s="318">
        <v>86101</v>
      </c>
      <c r="J26" s="327">
        <f t="shared" si="0"/>
        <v>8.020737273666972</v>
      </c>
    </row>
    <row r="27" spans="1:10" s="80" customFormat="1" ht="15">
      <c r="A27" s="192">
        <v>24</v>
      </c>
      <c r="B27" s="251" t="s">
        <v>299</v>
      </c>
      <c r="C27" s="116">
        <v>39143</v>
      </c>
      <c r="D27" s="129" t="s">
        <v>73</v>
      </c>
      <c r="E27" s="129" t="s">
        <v>136</v>
      </c>
      <c r="F27" s="271" t="s">
        <v>300</v>
      </c>
      <c r="G27" s="271" t="s">
        <v>37</v>
      </c>
      <c r="H27" s="254">
        <v>618011</v>
      </c>
      <c r="I27" s="318">
        <v>77539</v>
      </c>
      <c r="J27" s="327">
        <f t="shared" si="0"/>
        <v>7.970324610840996</v>
      </c>
    </row>
    <row r="28" spans="1:10" s="80" customFormat="1" ht="15">
      <c r="A28" s="192">
        <v>25</v>
      </c>
      <c r="B28" s="249" t="s">
        <v>313</v>
      </c>
      <c r="C28" s="117">
        <v>39150</v>
      </c>
      <c r="D28" s="128" t="s">
        <v>55</v>
      </c>
      <c r="E28" s="128" t="s">
        <v>63</v>
      </c>
      <c r="F28" s="118">
        <v>57</v>
      </c>
      <c r="G28" s="118">
        <v>1</v>
      </c>
      <c r="H28" s="252">
        <v>606619</v>
      </c>
      <c r="I28" s="253">
        <v>62751</v>
      </c>
      <c r="J28" s="327">
        <f t="shared" si="0"/>
        <v>9.667081002693184</v>
      </c>
    </row>
    <row r="29" spans="1:10" s="80" customFormat="1" ht="15">
      <c r="A29" s="192">
        <v>26</v>
      </c>
      <c r="B29" s="251" t="s">
        <v>294</v>
      </c>
      <c r="C29" s="116">
        <v>39143</v>
      </c>
      <c r="D29" s="129" t="s">
        <v>45</v>
      </c>
      <c r="E29" s="129" t="s">
        <v>295</v>
      </c>
      <c r="F29" s="271" t="s">
        <v>296</v>
      </c>
      <c r="G29" s="271" t="s">
        <v>37</v>
      </c>
      <c r="H29" s="254">
        <v>585483.5</v>
      </c>
      <c r="I29" s="318">
        <v>76608</v>
      </c>
      <c r="J29" s="327">
        <f t="shared" si="0"/>
        <v>7.642589546783626</v>
      </c>
    </row>
    <row r="30" spans="1:10" s="80" customFormat="1" ht="15">
      <c r="A30" s="192">
        <v>27</v>
      </c>
      <c r="B30" s="250" t="s">
        <v>265</v>
      </c>
      <c r="C30" s="117">
        <v>39136</v>
      </c>
      <c r="D30" s="132" t="s">
        <v>23</v>
      </c>
      <c r="E30" s="131" t="s">
        <v>69</v>
      </c>
      <c r="F30" s="120">
        <v>24</v>
      </c>
      <c r="G30" s="120">
        <v>3</v>
      </c>
      <c r="H30" s="252">
        <f>3098.5+271243.5+169425.5+71165</f>
        <v>514932.5</v>
      </c>
      <c r="I30" s="253">
        <f>316+26059+16381+7578</f>
        <v>50334</v>
      </c>
      <c r="J30" s="327">
        <f t="shared" si="0"/>
        <v>10.230311519052728</v>
      </c>
    </row>
    <row r="31" spans="1:10" s="80" customFormat="1" ht="15">
      <c r="A31" s="192">
        <v>28</v>
      </c>
      <c r="B31" s="251" t="s">
        <v>297</v>
      </c>
      <c r="C31" s="116">
        <v>39143</v>
      </c>
      <c r="D31" s="129" t="s">
        <v>45</v>
      </c>
      <c r="E31" s="129" t="s">
        <v>318</v>
      </c>
      <c r="F31" s="271" t="s">
        <v>298</v>
      </c>
      <c r="G31" s="271" t="s">
        <v>37</v>
      </c>
      <c r="H31" s="254">
        <v>513674.5</v>
      </c>
      <c r="I31" s="318">
        <v>67440</v>
      </c>
      <c r="J31" s="327">
        <f t="shared" si="0"/>
        <v>7.616763048635825</v>
      </c>
    </row>
    <row r="32" spans="1:10" s="80" customFormat="1" ht="15">
      <c r="A32" s="192">
        <v>29</v>
      </c>
      <c r="B32" s="249" t="s">
        <v>247</v>
      </c>
      <c r="C32" s="117">
        <v>39122</v>
      </c>
      <c r="D32" s="128" t="s">
        <v>58</v>
      </c>
      <c r="E32" s="128" t="s">
        <v>248</v>
      </c>
      <c r="F32" s="118">
        <v>62</v>
      </c>
      <c r="G32" s="118">
        <v>5</v>
      </c>
      <c r="H32" s="252">
        <f>248079.5+111544+46796.5+33721+12773.5</f>
        <v>452914.5</v>
      </c>
      <c r="I32" s="253">
        <f>36414+17429+7900+6638+2650</f>
        <v>71031</v>
      </c>
      <c r="J32" s="327">
        <f t="shared" si="0"/>
        <v>6.376293449339021</v>
      </c>
    </row>
    <row r="33" spans="1:10" s="80" customFormat="1" ht="15">
      <c r="A33" s="192">
        <v>30</v>
      </c>
      <c r="B33" s="250" t="s">
        <v>167</v>
      </c>
      <c r="C33" s="117">
        <v>39094</v>
      </c>
      <c r="D33" s="132" t="s">
        <v>23</v>
      </c>
      <c r="E33" s="131" t="s">
        <v>69</v>
      </c>
      <c r="F33" s="120">
        <v>42</v>
      </c>
      <c r="G33" s="120">
        <v>9</v>
      </c>
      <c r="H33" s="252">
        <f>116992.5+114120.5+59552+32990+22575.5+13689.5+13072.5+9182.5+12776</f>
        <v>394951</v>
      </c>
      <c r="I33" s="253">
        <f>13983+14934+8576+5091+3923+2713+2832+1841+2655</f>
        <v>56548</v>
      </c>
      <c r="J33" s="327">
        <f t="shared" si="0"/>
        <v>6.984349579118625</v>
      </c>
    </row>
    <row r="34" spans="1:10" s="80" customFormat="1" ht="15">
      <c r="A34" s="192">
        <v>31</v>
      </c>
      <c r="B34" s="248" t="s">
        <v>263</v>
      </c>
      <c r="C34" s="116">
        <v>39129</v>
      </c>
      <c r="D34" s="127" t="s">
        <v>56</v>
      </c>
      <c r="E34" s="126" t="s">
        <v>71</v>
      </c>
      <c r="F34" s="272">
        <v>22</v>
      </c>
      <c r="G34" s="272">
        <v>4</v>
      </c>
      <c r="H34" s="254">
        <f>3941+185955+159407+21968+1379</f>
        <v>372650</v>
      </c>
      <c r="I34" s="318">
        <f>412+17684+15175+2098+198</f>
        <v>35567</v>
      </c>
      <c r="J34" s="327">
        <f t="shared" si="0"/>
        <v>10.477408834031547</v>
      </c>
    </row>
    <row r="35" spans="1:10" s="80" customFormat="1" ht="15">
      <c r="A35" s="192">
        <v>32</v>
      </c>
      <c r="B35" s="249" t="s">
        <v>273</v>
      </c>
      <c r="C35" s="117">
        <v>39136</v>
      </c>
      <c r="D35" s="128" t="s">
        <v>58</v>
      </c>
      <c r="E35" s="128" t="s">
        <v>274</v>
      </c>
      <c r="F35" s="118">
        <v>50</v>
      </c>
      <c r="G35" s="118">
        <v>3</v>
      </c>
      <c r="H35" s="252">
        <f>176703.5+117666.5+55649.5-153</f>
        <v>349866.5</v>
      </c>
      <c r="I35" s="253">
        <f>23632+15507+7944-13</f>
        <v>47070</v>
      </c>
      <c r="J35" s="327">
        <f t="shared" si="0"/>
        <v>7.432897811769704</v>
      </c>
    </row>
    <row r="36" spans="1:10" s="80" customFormat="1" ht="15">
      <c r="A36" s="192">
        <v>33</v>
      </c>
      <c r="B36" s="249" t="s">
        <v>314</v>
      </c>
      <c r="C36" s="117">
        <v>39150</v>
      </c>
      <c r="D36" s="128" t="s">
        <v>57</v>
      </c>
      <c r="E36" s="128" t="s">
        <v>71</v>
      </c>
      <c r="F36" s="118">
        <v>54</v>
      </c>
      <c r="G36" s="118">
        <v>1</v>
      </c>
      <c r="H36" s="252">
        <v>320732</v>
      </c>
      <c r="I36" s="253">
        <v>35565</v>
      </c>
      <c r="J36" s="327">
        <f t="shared" si="0"/>
        <v>9.018192042738647</v>
      </c>
    </row>
    <row r="37" spans="1:10" s="80" customFormat="1" ht="15">
      <c r="A37" s="192">
        <v>34</v>
      </c>
      <c r="B37" s="249" t="s">
        <v>272</v>
      </c>
      <c r="C37" s="117">
        <v>39136</v>
      </c>
      <c r="D37" s="128" t="s">
        <v>57</v>
      </c>
      <c r="E37" s="128" t="s">
        <v>65</v>
      </c>
      <c r="F37" s="118">
        <v>34</v>
      </c>
      <c r="G37" s="118">
        <v>3</v>
      </c>
      <c r="H37" s="252">
        <v>318858</v>
      </c>
      <c r="I37" s="253">
        <v>32810</v>
      </c>
      <c r="J37" s="327">
        <f t="shared" si="0"/>
        <v>9.718317586101799</v>
      </c>
    </row>
    <row r="38" spans="1:10" s="80" customFormat="1" ht="15">
      <c r="A38" s="192">
        <v>35</v>
      </c>
      <c r="B38" s="251" t="s">
        <v>271</v>
      </c>
      <c r="C38" s="116">
        <v>39136</v>
      </c>
      <c r="D38" s="129" t="s">
        <v>45</v>
      </c>
      <c r="E38" s="129" t="s">
        <v>227</v>
      </c>
      <c r="F38" s="271" t="s">
        <v>239</v>
      </c>
      <c r="G38" s="271" t="s">
        <v>327</v>
      </c>
      <c r="H38" s="254">
        <v>313118.26852593897</v>
      </c>
      <c r="I38" s="318">
        <v>43863</v>
      </c>
      <c r="J38" s="327">
        <f t="shared" si="0"/>
        <v>7.138551137084535</v>
      </c>
    </row>
    <row r="39" spans="1:10" s="80" customFormat="1" ht="15">
      <c r="A39" s="192">
        <v>36</v>
      </c>
      <c r="B39" s="149" t="s">
        <v>166</v>
      </c>
      <c r="C39" s="117">
        <v>39094</v>
      </c>
      <c r="D39" s="291" t="s">
        <v>55</v>
      </c>
      <c r="E39" s="291" t="s">
        <v>63</v>
      </c>
      <c r="F39" s="118">
        <v>30</v>
      </c>
      <c r="G39" s="118">
        <v>5</v>
      </c>
      <c r="H39" s="257">
        <v>242926</v>
      </c>
      <c r="I39" s="122">
        <v>24058</v>
      </c>
      <c r="J39" s="298">
        <f>IF(H39&lt;&gt;0,H39/I39,"")</f>
        <v>10.097514340344167</v>
      </c>
    </row>
    <row r="40" spans="1:10" s="80" customFormat="1" ht="15">
      <c r="A40" s="192">
        <v>37</v>
      </c>
      <c r="B40" s="249" t="s">
        <v>241</v>
      </c>
      <c r="C40" s="117">
        <v>39122</v>
      </c>
      <c r="D40" s="128" t="s">
        <v>57</v>
      </c>
      <c r="E40" s="128" t="s">
        <v>60</v>
      </c>
      <c r="F40" s="118">
        <v>12</v>
      </c>
      <c r="G40" s="118">
        <v>5</v>
      </c>
      <c r="H40" s="252">
        <v>242344</v>
      </c>
      <c r="I40" s="253">
        <v>38475</v>
      </c>
      <c r="J40" s="327">
        <f aca="true" t="shared" si="1" ref="J40:J45">+H40/I40</f>
        <v>6.298739441195582</v>
      </c>
    </row>
    <row r="41" spans="1:10" s="80" customFormat="1" ht="15">
      <c r="A41" s="192">
        <v>38</v>
      </c>
      <c r="B41" s="249" t="s">
        <v>249</v>
      </c>
      <c r="C41" s="117">
        <v>39122</v>
      </c>
      <c r="D41" s="128" t="s">
        <v>58</v>
      </c>
      <c r="E41" s="128" t="s">
        <v>66</v>
      </c>
      <c r="F41" s="118">
        <v>27</v>
      </c>
      <c r="G41" s="118">
        <v>5</v>
      </c>
      <c r="H41" s="252">
        <f>119870.5+70279+18401+10562+5558</f>
        <v>224670.5</v>
      </c>
      <c r="I41" s="253">
        <f>12204+6994+1908+1977+1125</f>
        <v>24208</v>
      </c>
      <c r="J41" s="327">
        <f t="shared" si="1"/>
        <v>9.280836913417053</v>
      </c>
    </row>
    <row r="42" spans="1:10" s="80" customFormat="1" ht="15">
      <c r="A42" s="192">
        <v>39</v>
      </c>
      <c r="B42" s="250" t="s">
        <v>315</v>
      </c>
      <c r="C42" s="117">
        <v>39150</v>
      </c>
      <c r="D42" s="132" t="s">
        <v>23</v>
      </c>
      <c r="E42" s="131" t="s">
        <v>316</v>
      </c>
      <c r="F42" s="120">
        <v>100</v>
      </c>
      <c r="G42" s="120">
        <v>1</v>
      </c>
      <c r="H42" s="252">
        <f>221689.5</f>
        <v>221689.5</v>
      </c>
      <c r="I42" s="253">
        <f>30032</f>
        <v>30032</v>
      </c>
      <c r="J42" s="327">
        <f t="shared" si="1"/>
        <v>7.38177610548748</v>
      </c>
    </row>
    <row r="43" spans="1:10" s="80" customFormat="1" ht="15">
      <c r="A43" s="192">
        <v>40</v>
      </c>
      <c r="B43" s="249" t="s">
        <v>301</v>
      </c>
      <c r="C43" s="117">
        <v>39143</v>
      </c>
      <c r="D43" s="128" t="s">
        <v>58</v>
      </c>
      <c r="E43" s="128" t="s">
        <v>59</v>
      </c>
      <c r="F43" s="118">
        <v>20</v>
      </c>
      <c r="G43" s="118">
        <v>20</v>
      </c>
      <c r="H43" s="252">
        <f>129159.5+81464</f>
        <v>210623.5</v>
      </c>
      <c r="I43" s="253">
        <f>12733+8086</f>
        <v>20819</v>
      </c>
      <c r="J43" s="327">
        <f t="shared" si="1"/>
        <v>10.116888419232431</v>
      </c>
    </row>
    <row r="44" spans="1:10" s="80" customFormat="1" ht="15">
      <c r="A44" s="192">
        <v>41</v>
      </c>
      <c r="B44" s="248" t="s">
        <v>144</v>
      </c>
      <c r="C44" s="116">
        <v>39087</v>
      </c>
      <c r="D44" s="127" t="s">
        <v>56</v>
      </c>
      <c r="E44" s="126" t="s">
        <v>240</v>
      </c>
      <c r="F44" s="272">
        <v>42</v>
      </c>
      <c r="G44" s="272">
        <v>8</v>
      </c>
      <c r="H44" s="254">
        <f>108159+32855+2558+200+742+210+540+754</f>
        <v>146018</v>
      </c>
      <c r="I44" s="318">
        <f>12118+3977+379+20+153+40+103+182</f>
        <v>16972</v>
      </c>
      <c r="J44" s="327">
        <f t="shared" si="1"/>
        <v>8.603464529813811</v>
      </c>
    </row>
    <row r="45" spans="1:10" s="80" customFormat="1" ht="15">
      <c r="A45" s="192">
        <v>42</v>
      </c>
      <c r="B45" s="248" t="s">
        <v>275</v>
      </c>
      <c r="C45" s="116">
        <v>39136</v>
      </c>
      <c r="D45" s="127" t="s">
        <v>56</v>
      </c>
      <c r="E45" s="126" t="s">
        <v>11</v>
      </c>
      <c r="F45" s="272">
        <v>9</v>
      </c>
      <c r="G45" s="272">
        <v>3</v>
      </c>
      <c r="H45" s="254">
        <f>84092+44359+5685</f>
        <v>134136</v>
      </c>
      <c r="I45" s="318">
        <f>8135+4281+660</f>
        <v>13076</v>
      </c>
      <c r="J45" s="327">
        <f t="shared" si="1"/>
        <v>10.258182930559805</v>
      </c>
    </row>
    <row r="46" spans="1:10" s="80" customFormat="1" ht="15">
      <c r="A46" s="192">
        <v>43</v>
      </c>
      <c r="B46" s="147" t="s">
        <v>146</v>
      </c>
      <c r="C46" s="116">
        <v>39087</v>
      </c>
      <c r="D46" s="126" t="s">
        <v>187</v>
      </c>
      <c r="E46" s="126" t="s">
        <v>187</v>
      </c>
      <c r="F46" s="287">
        <v>11</v>
      </c>
      <c r="G46" s="287">
        <v>7</v>
      </c>
      <c r="H46" s="263">
        <v>103564.29</v>
      </c>
      <c r="I46" s="292">
        <v>10165</v>
      </c>
      <c r="J46" s="274">
        <f>IF(H46&lt;&gt;0,H46/I46,"")</f>
        <v>10.188321692080669</v>
      </c>
    </row>
    <row r="47" spans="1:10" s="80" customFormat="1" ht="15">
      <c r="A47" s="192">
        <v>44</v>
      </c>
      <c r="B47" s="121" t="s">
        <v>321</v>
      </c>
      <c r="C47" s="119">
        <v>39150</v>
      </c>
      <c r="D47" s="130" t="s">
        <v>64</v>
      </c>
      <c r="E47" s="130" t="s">
        <v>322</v>
      </c>
      <c r="F47" s="273">
        <v>10</v>
      </c>
      <c r="G47" s="273">
        <v>1</v>
      </c>
      <c r="H47" s="261">
        <v>79877</v>
      </c>
      <c r="I47" s="319">
        <v>7779</v>
      </c>
      <c r="J47" s="327">
        <f>+H47/I47</f>
        <v>10.268286412135236</v>
      </c>
    </row>
    <row r="48" spans="1:10" s="80" customFormat="1" ht="15">
      <c r="A48" s="192">
        <v>45</v>
      </c>
      <c r="B48" s="121" t="s">
        <v>188</v>
      </c>
      <c r="C48" s="119">
        <v>39101</v>
      </c>
      <c r="D48" s="128" t="s">
        <v>64</v>
      </c>
      <c r="E48" s="130" t="s">
        <v>189</v>
      </c>
      <c r="F48" s="273">
        <v>14</v>
      </c>
      <c r="G48" s="273">
        <v>7</v>
      </c>
      <c r="H48" s="261">
        <v>72980</v>
      </c>
      <c r="I48" s="319">
        <v>7366</v>
      </c>
      <c r="J48" s="274">
        <f>IF(H48&lt;&gt;0,H48/I48,"")</f>
        <v>9.90768395329894</v>
      </c>
    </row>
    <row r="49" spans="1:10" s="80" customFormat="1" ht="15">
      <c r="A49" s="192">
        <v>46</v>
      </c>
      <c r="B49" s="250" t="s">
        <v>148</v>
      </c>
      <c r="C49" s="117">
        <v>39087</v>
      </c>
      <c r="D49" s="132" t="s">
        <v>23</v>
      </c>
      <c r="E49" s="131" t="s">
        <v>149</v>
      </c>
      <c r="F49" s="120">
        <v>1</v>
      </c>
      <c r="G49" s="120">
        <v>9</v>
      </c>
      <c r="H49" s="252">
        <f>22095+9204+7326+5702+4828+3872.5+1230+1085+707+2852</f>
        <v>58901.5</v>
      </c>
      <c r="I49" s="253">
        <f>2920+1031+821+648+551+476+146+128+89+713</f>
        <v>7523</v>
      </c>
      <c r="J49" s="379">
        <f>H49/I49</f>
        <v>7.8295227967566134</v>
      </c>
    </row>
    <row r="50" spans="1:10" s="80" customFormat="1" ht="15">
      <c r="A50" s="192">
        <v>47</v>
      </c>
      <c r="B50" s="249" t="s">
        <v>302</v>
      </c>
      <c r="C50" s="117">
        <v>39136</v>
      </c>
      <c r="D50" s="128" t="s">
        <v>58</v>
      </c>
      <c r="E50" s="128" t="s">
        <v>59</v>
      </c>
      <c r="F50" s="118">
        <v>7</v>
      </c>
      <c r="G50" s="118">
        <v>3</v>
      </c>
      <c r="H50" s="252">
        <f>23106.5+15905+4970.5</f>
        <v>43982</v>
      </c>
      <c r="I50" s="253">
        <f>2469+1725</f>
        <v>4194</v>
      </c>
      <c r="J50" s="327">
        <f>+H50/I50</f>
        <v>10.48688602765856</v>
      </c>
    </row>
    <row r="51" spans="1:10" s="80" customFormat="1" ht="15">
      <c r="A51" s="192">
        <v>48</v>
      </c>
      <c r="B51" s="249" t="s">
        <v>324</v>
      </c>
      <c r="C51" s="117">
        <v>39150</v>
      </c>
      <c r="D51" s="128" t="s">
        <v>58</v>
      </c>
      <c r="E51" s="128" t="s">
        <v>248</v>
      </c>
      <c r="F51" s="118">
        <v>36</v>
      </c>
      <c r="G51" s="118">
        <v>1</v>
      </c>
      <c r="H51" s="252">
        <f>36532.5</f>
        <v>36532.5</v>
      </c>
      <c r="I51" s="253">
        <f>5376</f>
        <v>5376</v>
      </c>
      <c r="J51" s="327">
        <f>+H51/I51</f>
        <v>6.795479910714286</v>
      </c>
    </row>
    <row r="52" spans="1:10" s="80" customFormat="1" ht="15">
      <c r="A52" s="192">
        <v>49</v>
      </c>
      <c r="B52" s="250" t="s">
        <v>242</v>
      </c>
      <c r="C52" s="117">
        <v>39115</v>
      </c>
      <c r="D52" s="132" t="s">
        <v>23</v>
      </c>
      <c r="E52" s="131" t="s">
        <v>33</v>
      </c>
      <c r="F52" s="120">
        <v>7</v>
      </c>
      <c r="G52" s="120">
        <v>5</v>
      </c>
      <c r="H52" s="252">
        <f>17653+2664+2547+3149.5+1301</f>
        <v>27314.5</v>
      </c>
      <c r="I52" s="253">
        <f>1861+315+483+453+199</f>
        <v>3311</v>
      </c>
      <c r="J52" s="327">
        <f>+H52/I52</f>
        <v>8.249622470552703</v>
      </c>
    </row>
    <row r="53" spans="1:10" s="80" customFormat="1" ht="15">
      <c r="A53" s="192">
        <v>50</v>
      </c>
      <c r="B53" s="249" t="s">
        <v>338</v>
      </c>
      <c r="C53" s="117">
        <v>39115</v>
      </c>
      <c r="D53" s="128" t="s">
        <v>58</v>
      </c>
      <c r="E53" s="128" t="s">
        <v>38</v>
      </c>
      <c r="F53" s="118">
        <v>10</v>
      </c>
      <c r="G53" s="118">
        <v>5</v>
      </c>
      <c r="H53" s="252">
        <f>17496+3884+1469+240+311</f>
        <v>23400</v>
      </c>
      <c r="I53" s="253">
        <f>1763+417+239+30+72</f>
        <v>2521</v>
      </c>
      <c r="J53" s="327">
        <f>+H53/I53</f>
        <v>9.282030940103134</v>
      </c>
    </row>
    <row r="54" spans="1:10" s="80" customFormat="1" ht="15">
      <c r="A54" s="192">
        <v>51</v>
      </c>
      <c r="B54" s="299" t="s">
        <v>243</v>
      </c>
      <c r="C54" s="151">
        <v>39115</v>
      </c>
      <c r="D54" s="283" t="s">
        <v>58</v>
      </c>
      <c r="E54" s="283" t="s">
        <v>38</v>
      </c>
      <c r="F54" s="297">
        <v>10</v>
      </c>
      <c r="G54" s="297">
        <v>4</v>
      </c>
      <c r="H54" s="259">
        <f>17496+3884+1469+240</f>
        <v>23089</v>
      </c>
      <c r="I54" s="296">
        <f>1763+417+239+30</f>
        <v>2449</v>
      </c>
      <c r="J54" s="298">
        <f>IF(H54&lt;&gt;0,H54/I54,"")</f>
        <v>9.427929767251939</v>
      </c>
    </row>
    <row r="55" spans="1:10" s="81" customFormat="1" ht="15.75" thickBot="1">
      <c r="A55" s="192">
        <v>52</v>
      </c>
      <c r="B55" s="328" t="s">
        <v>168</v>
      </c>
      <c r="C55" s="276">
        <v>39094</v>
      </c>
      <c r="D55" s="329" t="s">
        <v>23</v>
      </c>
      <c r="E55" s="330" t="s">
        <v>159</v>
      </c>
      <c r="F55" s="277">
        <v>2</v>
      </c>
      <c r="G55" s="277">
        <v>8</v>
      </c>
      <c r="H55" s="331">
        <f>1685+7070+4182+870+1068+308+1896+1402+2852</f>
        <v>21333</v>
      </c>
      <c r="I55" s="332">
        <f>480+951+563+174+267+31+416+162+713</f>
        <v>3757</v>
      </c>
      <c r="J55" s="400">
        <f>H55/I55</f>
        <v>5.678200692041522</v>
      </c>
    </row>
    <row r="56" spans="1:10" s="133" customFormat="1" ht="15">
      <c r="A56" s="455" t="s">
        <v>50</v>
      </c>
      <c r="B56" s="456"/>
      <c r="C56" s="185"/>
      <c r="D56" s="185"/>
      <c r="E56" s="185"/>
      <c r="F56" s="186"/>
      <c r="G56" s="185"/>
      <c r="H56" s="187">
        <f>SUM(H4:H55)</f>
        <v>63019553.025806256</v>
      </c>
      <c r="I56" s="188">
        <f>SUM(I4:I55)</f>
        <v>8135081</v>
      </c>
      <c r="J56" s="189">
        <f>H56/I56</f>
        <v>7.746641124508319</v>
      </c>
    </row>
    <row r="57" spans="1:10" s="82" customFormat="1" ht="13.5" thickBot="1">
      <c r="A57" s="91"/>
      <c r="B57" s="83"/>
      <c r="C57" s="84"/>
      <c r="D57" s="84"/>
      <c r="E57" s="84"/>
      <c r="F57" s="84"/>
      <c r="G57" s="84"/>
      <c r="H57" s="85"/>
      <c r="I57" s="98"/>
      <c r="J57" s="86"/>
    </row>
    <row r="58" spans="1:10" s="80" customFormat="1" ht="19.5" customHeight="1">
      <c r="A58" s="100"/>
      <c r="B58" s="446" t="s">
        <v>1</v>
      </c>
      <c r="C58" s="446"/>
      <c r="D58" s="428" t="s">
        <v>28</v>
      </c>
      <c r="E58" s="53"/>
      <c r="F58" s="428"/>
      <c r="G58" s="428"/>
      <c r="H58" s="449" t="s">
        <v>5</v>
      </c>
      <c r="I58" s="450"/>
      <c r="J58" s="451" t="s">
        <v>110</v>
      </c>
    </row>
    <row r="59" spans="1:10" s="80" customFormat="1" ht="27" customHeight="1" thickBot="1">
      <c r="A59" s="102"/>
      <c r="B59" s="447"/>
      <c r="C59" s="447"/>
      <c r="D59" s="448"/>
      <c r="E59" s="101"/>
      <c r="F59" s="448"/>
      <c r="G59" s="448"/>
      <c r="H59" s="77" t="s">
        <v>111</v>
      </c>
      <c r="I59" s="78" t="s">
        <v>90</v>
      </c>
      <c r="J59" s="452"/>
    </row>
    <row r="60" spans="1:10" s="134" customFormat="1" ht="15">
      <c r="A60" s="401">
        <v>1</v>
      </c>
      <c r="B60" s="402" t="s">
        <v>29</v>
      </c>
      <c r="C60" s="403"/>
      <c r="D60" s="403">
        <v>16</v>
      </c>
      <c r="E60" s="403"/>
      <c r="F60" s="404"/>
      <c r="G60" s="403"/>
      <c r="H60" s="405">
        <v>34342857.74</v>
      </c>
      <c r="I60" s="406">
        <v>4784546</v>
      </c>
      <c r="J60" s="407">
        <f>H60/I60</f>
        <v>7.177871785536183</v>
      </c>
    </row>
    <row r="61" spans="1:10" s="134" customFormat="1" ht="15.75" thickBot="1">
      <c r="A61" s="408">
        <v>2</v>
      </c>
      <c r="B61" s="409" t="s">
        <v>30</v>
      </c>
      <c r="C61" s="410"/>
      <c r="D61" s="410">
        <v>36</v>
      </c>
      <c r="E61" s="410"/>
      <c r="F61" s="411"/>
      <c r="G61" s="410"/>
      <c r="H61" s="412">
        <f>H56-H60</f>
        <v>28676695.285806254</v>
      </c>
      <c r="I61" s="413">
        <f>I56-I60</f>
        <v>3350535</v>
      </c>
      <c r="J61" s="414">
        <f>H61/I61</f>
        <v>8.558840688369544</v>
      </c>
    </row>
    <row r="62" spans="1:10" s="135" customFormat="1" ht="15">
      <c r="A62" s="457"/>
      <c r="B62" s="458"/>
      <c r="C62" s="185"/>
      <c r="D62" s="185">
        <f>SUM(D60:D61)</f>
        <v>52</v>
      </c>
      <c r="E62" s="185"/>
      <c r="F62" s="186"/>
      <c r="G62" s="185"/>
      <c r="H62" s="187">
        <f>SUM(H60:H61)</f>
        <v>63019553.025806256</v>
      </c>
      <c r="I62" s="110">
        <f>SUM(I60:I61)</f>
        <v>8135081</v>
      </c>
      <c r="J62" s="189"/>
    </row>
    <row r="63" spans="1:10" s="136" customFormat="1" ht="15">
      <c r="A63" s="164">
        <v>1</v>
      </c>
      <c r="B63" s="128" t="s">
        <v>120</v>
      </c>
      <c r="C63" s="139"/>
      <c r="D63" s="118"/>
      <c r="E63" s="118"/>
      <c r="F63" s="120"/>
      <c r="G63" s="118"/>
      <c r="H63" s="141">
        <v>6576958.6</v>
      </c>
      <c r="I63" s="122">
        <v>997825</v>
      </c>
      <c r="J63" s="162">
        <f>H63/I63</f>
        <v>6.591294665898329</v>
      </c>
    </row>
    <row r="64" spans="1:10" s="136" customFormat="1" ht="15">
      <c r="A64" s="164">
        <v>2</v>
      </c>
      <c r="B64" s="128" t="s">
        <v>121</v>
      </c>
      <c r="C64" s="139"/>
      <c r="D64" s="118"/>
      <c r="E64" s="118"/>
      <c r="F64" s="120"/>
      <c r="G64" s="118"/>
      <c r="H64" s="141">
        <v>3496113.1</v>
      </c>
      <c r="I64" s="122">
        <v>473962</v>
      </c>
      <c r="J64" s="162">
        <f>H64/I64</f>
        <v>7.376357387301092</v>
      </c>
    </row>
    <row r="65" spans="1:11" s="50" customFormat="1" ht="15">
      <c r="A65" s="165"/>
      <c r="B65" s="140"/>
      <c r="C65" s="137"/>
      <c r="D65" s="137" t="s">
        <v>291</v>
      </c>
      <c r="E65" s="137"/>
      <c r="F65" s="138"/>
      <c r="G65" s="137"/>
      <c r="H65" s="46">
        <f>SUM(H63:H64)</f>
        <v>10073071.7</v>
      </c>
      <c r="I65" s="94">
        <f>SUM(I63:I64)</f>
        <v>1471787</v>
      </c>
      <c r="J65" s="163"/>
      <c r="K65" s="142"/>
    </row>
    <row r="66" spans="1:11" s="134" customFormat="1" ht="15.75" thickBot="1">
      <c r="A66" s="166"/>
      <c r="B66" s="167" t="s">
        <v>135</v>
      </c>
      <c r="C66" s="191"/>
      <c r="D66" s="167"/>
      <c r="E66" s="167"/>
      <c r="F66" s="167"/>
      <c r="G66" s="167"/>
      <c r="H66" s="168">
        <f>H62+H65</f>
        <v>73092624.72580625</v>
      </c>
      <c r="I66" s="169">
        <f>I62+I65</f>
        <v>9606868</v>
      </c>
      <c r="J66" s="170"/>
      <c r="K66" s="143"/>
    </row>
    <row r="68" spans="3:10" ht="12.75" customHeight="1">
      <c r="C68" s="433" t="s">
        <v>31</v>
      </c>
      <c r="D68" s="433"/>
      <c r="E68" s="433"/>
      <c r="F68" s="433"/>
      <c r="G68" s="433"/>
      <c r="H68" s="433"/>
      <c r="I68" s="433"/>
      <c r="J68" s="433"/>
    </row>
    <row r="69" spans="3:10" ht="12.75">
      <c r="C69" s="433"/>
      <c r="D69" s="433"/>
      <c r="E69" s="433"/>
      <c r="F69" s="433"/>
      <c r="G69" s="433"/>
      <c r="H69" s="433"/>
      <c r="I69" s="433"/>
      <c r="J69" s="433"/>
    </row>
    <row r="70" spans="3:10" ht="12.75">
      <c r="C70" s="433"/>
      <c r="D70" s="433"/>
      <c r="E70" s="433"/>
      <c r="F70" s="433"/>
      <c r="G70" s="433"/>
      <c r="H70" s="433"/>
      <c r="I70" s="433"/>
      <c r="J70" s="433"/>
    </row>
    <row r="71" spans="3:10" ht="27" customHeight="1">
      <c r="C71" s="433"/>
      <c r="D71" s="433"/>
      <c r="E71" s="433"/>
      <c r="F71" s="433"/>
      <c r="G71" s="433"/>
      <c r="H71" s="433"/>
      <c r="I71" s="433"/>
      <c r="J71" s="433"/>
    </row>
    <row r="72" spans="3:12" ht="12.75">
      <c r="C72" s="433"/>
      <c r="D72" s="433"/>
      <c r="E72" s="433"/>
      <c r="F72" s="433"/>
      <c r="G72" s="433"/>
      <c r="H72" s="433"/>
      <c r="I72" s="433"/>
      <c r="J72" s="433"/>
      <c r="L72" s="144"/>
    </row>
    <row r="73" spans="3:10" ht="12.75">
      <c r="C73" s="433"/>
      <c r="D73" s="433"/>
      <c r="E73" s="433"/>
      <c r="F73" s="433"/>
      <c r="G73" s="433"/>
      <c r="H73" s="433"/>
      <c r="I73" s="433"/>
      <c r="J73" s="433"/>
    </row>
    <row r="74" spans="3:10" ht="12.75">
      <c r="C74" s="104"/>
      <c r="D74" s="90"/>
      <c r="E74" s="90"/>
      <c r="F74" s="90"/>
      <c r="G74" s="90"/>
      <c r="H74" s="123"/>
      <c r="I74" s="123"/>
      <c r="J74" s="90"/>
    </row>
    <row r="75" spans="3:10" ht="12.75" customHeight="1">
      <c r="C75" s="453" t="s">
        <v>19</v>
      </c>
      <c r="D75" s="453"/>
      <c r="E75" s="453"/>
      <c r="F75" s="453"/>
      <c r="G75" s="453"/>
      <c r="H75" s="453"/>
      <c r="I75" s="453"/>
      <c r="J75" s="453"/>
    </row>
    <row r="76" spans="3:10" ht="12.75">
      <c r="C76" s="453"/>
      <c r="D76" s="453"/>
      <c r="E76" s="453"/>
      <c r="F76" s="453"/>
      <c r="G76" s="453"/>
      <c r="H76" s="453"/>
      <c r="I76" s="453"/>
      <c r="J76" s="453"/>
    </row>
    <row r="77" spans="3:10" ht="12.75">
      <c r="C77" s="453"/>
      <c r="D77" s="453"/>
      <c r="E77" s="453"/>
      <c r="F77" s="453"/>
      <c r="G77" s="453"/>
      <c r="H77" s="453"/>
      <c r="I77" s="453"/>
      <c r="J77" s="453"/>
    </row>
    <row r="78" spans="3:10" ht="12.75">
      <c r="C78" s="453"/>
      <c r="D78" s="453"/>
      <c r="E78" s="453"/>
      <c r="F78" s="453"/>
      <c r="G78" s="453"/>
      <c r="H78" s="453"/>
      <c r="I78" s="453"/>
      <c r="J78" s="453"/>
    </row>
    <row r="79" spans="3:10" ht="12.75">
      <c r="C79" s="453"/>
      <c r="D79" s="453"/>
      <c r="E79" s="453"/>
      <c r="F79" s="453"/>
      <c r="G79" s="453"/>
      <c r="H79" s="453"/>
      <c r="I79" s="453"/>
      <c r="J79" s="453"/>
    </row>
    <row r="80" spans="3:10" ht="12.75">
      <c r="C80" s="453"/>
      <c r="D80" s="453"/>
      <c r="E80" s="453"/>
      <c r="F80" s="453"/>
      <c r="G80" s="453"/>
      <c r="H80" s="453"/>
      <c r="I80" s="453"/>
      <c r="J80" s="453"/>
    </row>
    <row r="81" spans="3:10" ht="12.75">
      <c r="C81" s="453"/>
      <c r="D81" s="453"/>
      <c r="E81" s="453"/>
      <c r="F81" s="453"/>
      <c r="G81" s="453"/>
      <c r="H81" s="453"/>
      <c r="I81" s="453"/>
      <c r="J81" s="453"/>
    </row>
  </sheetData>
  <mergeCells count="20">
    <mergeCell ref="C68:J73"/>
    <mergeCell ref="C75:J81"/>
    <mergeCell ref="A1:J1"/>
    <mergeCell ref="A56:B56"/>
    <mergeCell ref="A62:B62"/>
    <mergeCell ref="B2:B3"/>
    <mergeCell ref="C2:C3"/>
    <mergeCell ref="D2:D3"/>
    <mergeCell ref="E2:E3"/>
    <mergeCell ref="F2:F3"/>
    <mergeCell ref="G2:G3"/>
    <mergeCell ref="H2:I2"/>
    <mergeCell ref="J2:J3"/>
    <mergeCell ref="G58:G59"/>
    <mergeCell ref="H58:I58"/>
    <mergeCell ref="J58:J59"/>
    <mergeCell ref="B58:B59"/>
    <mergeCell ref="C58:C59"/>
    <mergeCell ref="D58:D59"/>
    <mergeCell ref="F58:F59"/>
  </mergeCells>
  <printOptions/>
  <pageMargins left="0.87" right="0.58" top="1.24" bottom="1.29" header="0.11811023622047245" footer="0.4330708661417323"/>
  <pageSetup orientation="portrait" paperSize="9" scale="50" r:id="rId1"/>
  <ignoredErrors>
    <ignoredError sqref="F9:G38" numberStoredAsText="1"/>
    <ignoredError sqref="H6:I51" unlockedFormula="1"/>
    <ignoredError sqref="J39:J51" formula="1"/>
  </ignoredErrors>
</worksheet>
</file>

<file path=xl/worksheets/sheet3.xml><?xml version="1.0" encoding="utf-8"?>
<worksheet xmlns="http://schemas.openxmlformats.org/spreadsheetml/2006/main" xmlns:r="http://schemas.openxmlformats.org/officeDocument/2006/relationships">
  <dimension ref="A1:I409"/>
  <sheetViews>
    <sheetView zoomScale="50" zoomScaleNormal="50" workbookViewId="0" topLeftCell="A361">
      <selection activeCell="P403" sqref="P403"/>
    </sheetView>
  </sheetViews>
  <sheetFormatPr defaultColWidth="9.140625" defaultRowHeight="12.75"/>
  <cols>
    <col min="1" max="1" width="3.57421875" style="0" customWidth="1"/>
    <col min="2" max="2" width="41.57421875" style="0" bestFit="1" customWidth="1"/>
    <col min="3" max="3" width="10.8515625" style="0" customWidth="1"/>
    <col min="4" max="4" width="13.140625" style="0" bestFit="1" customWidth="1"/>
    <col min="5" max="5" width="19.00390625" style="0" bestFit="1" customWidth="1"/>
    <col min="6" max="6" width="16.140625" style="270" bestFit="1" customWidth="1"/>
    <col min="7" max="7" width="11.8515625" style="174" bestFit="1" customWidth="1"/>
    <col min="8" max="11" width="7.57421875" style="0" customWidth="1"/>
  </cols>
  <sheetData>
    <row r="1" spans="1:7" ht="33.75" thickBot="1">
      <c r="A1" s="462" t="s">
        <v>306</v>
      </c>
      <c r="B1" s="463"/>
      <c r="C1" s="463"/>
      <c r="D1" s="463"/>
      <c r="E1" s="463"/>
      <c r="F1" s="463"/>
      <c r="G1" s="463"/>
    </row>
    <row r="2" spans="1:7" ht="14.25" customHeight="1">
      <c r="A2" s="96"/>
      <c r="B2" s="464" t="s">
        <v>1</v>
      </c>
      <c r="C2" s="464" t="s">
        <v>108</v>
      </c>
      <c r="D2" s="464" t="s">
        <v>54</v>
      </c>
      <c r="E2" s="464" t="s">
        <v>53</v>
      </c>
      <c r="F2" s="424" t="s">
        <v>211</v>
      </c>
      <c r="G2" s="466"/>
    </row>
    <row r="3" spans="1:7" ht="15" thickBot="1">
      <c r="A3" s="97"/>
      <c r="B3" s="465"/>
      <c r="C3" s="465"/>
      <c r="D3" s="465"/>
      <c r="E3" s="465"/>
      <c r="F3" s="289" t="s">
        <v>111</v>
      </c>
      <c r="G3" s="290" t="s">
        <v>90</v>
      </c>
    </row>
    <row r="4" spans="1:7" ht="15">
      <c r="A4" s="193">
        <v>1</v>
      </c>
      <c r="B4" s="278" t="s">
        <v>225</v>
      </c>
      <c r="C4" s="183">
        <v>38996</v>
      </c>
      <c r="D4" s="246" t="s">
        <v>23</v>
      </c>
      <c r="E4" s="247" t="s">
        <v>191</v>
      </c>
      <c r="F4" s="256">
        <v>247</v>
      </c>
      <c r="G4" s="194">
        <v>45</v>
      </c>
    </row>
    <row r="5" spans="1:7" ht="15">
      <c r="A5" s="190">
        <v>2</v>
      </c>
      <c r="B5" s="250" t="s">
        <v>225</v>
      </c>
      <c r="C5" s="117">
        <v>38996</v>
      </c>
      <c r="D5" s="132" t="s">
        <v>23</v>
      </c>
      <c r="E5" s="131" t="s">
        <v>191</v>
      </c>
      <c r="F5" s="257">
        <v>170</v>
      </c>
      <c r="G5" s="196">
        <v>34</v>
      </c>
    </row>
    <row r="6" spans="1:7" ht="15">
      <c r="A6" s="193">
        <v>3</v>
      </c>
      <c r="B6" s="150" t="s">
        <v>225</v>
      </c>
      <c r="C6" s="117">
        <v>38996</v>
      </c>
      <c r="D6" s="132" t="s">
        <v>23</v>
      </c>
      <c r="E6" s="131" t="s">
        <v>191</v>
      </c>
      <c r="F6" s="252">
        <v>104</v>
      </c>
      <c r="G6" s="196">
        <v>40</v>
      </c>
    </row>
    <row r="7" spans="1:7" ht="15">
      <c r="A7" s="190">
        <v>4</v>
      </c>
      <c r="B7" s="150" t="s">
        <v>225</v>
      </c>
      <c r="C7" s="117">
        <v>38996</v>
      </c>
      <c r="D7" s="132" t="s">
        <v>23</v>
      </c>
      <c r="E7" s="131" t="s">
        <v>191</v>
      </c>
      <c r="F7" s="252">
        <v>34</v>
      </c>
      <c r="G7" s="196">
        <v>6</v>
      </c>
    </row>
    <row r="8" spans="1:7" ht="15">
      <c r="A8" s="193">
        <v>5</v>
      </c>
      <c r="B8" s="250" t="s">
        <v>24</v>
      </c>
      <c r="C8" s="117">
        <v>38849</v>
      </c>
      <c r="D8" s="132" t="s">
        <v>23</v>
      </c>
      <c r="E8" s="131" t="s">
        <v>25</v>
      </c>
      <c r="F8" s="252">
        <v>2852</v>
      </c>
      <c r="G8" s="196">
        <v>713</v>
      </c>
    </row>
    <row r="9" spans="1:7" ht="15">
      <c r="A9" s="190">
        <v>6</v>
      </c>
      <c r="B9" s="250" t="s">
        <v>24</v>
      </c>
      <c r="C9" s="117">
        <v>38849</v>
      </c>
      <c r="D9" s="132" t="s">
        <v>23</v>
      </c>
      <c r="E9" s="131" t="s">
        <v>25</v>
      </c>
      <c r="F9" s="252">
        <v>1664</v>
      </c>
      <c r="G9" s="196">
        <v>416</v>
      </c>
    </row>
    <row r="10" spans="1:7" ht="15">
      <c r="A10" s="193">
        <v>7</v>
      </c>
      <c r="B10" s="150" t="s">
        <v>24</v>
      </c>
      <c r="C10" s="117">
        <v>38849</v>
      </c>
      <c r="D10" s="285" t="s">
        <v>23</v>
      </c>
      <c r="E10" s="286" t="s">
        <v>25</v>
      </c>
      <c r="F10" s="257">
        <v>75.5</v>
      </c>
      <c r="G10" s="159">
        <v>29</v>
      </c>
    </row>
    <row r="11" spans="1:7" ht="15">
      <c r="A11" s="190">
        <v>8</v>
      </c>
      <c r="B11" s="181" t="s">
        <v>24</v>
      </c>
      <c r="C11" s="117">
        <v>38849</v>
      </c>
      <c r="D11" s="177" t="s">
        <v>23</v>
      </c>
      <c r="E11" s="177" t="s">
        <v>25</v>
      </c>
      <c r="F11" s="252">
        <v>36</v>
      </c>
      <c r="G11" s="196">
        <v>7</v>
      </c>
    </row>
    <row r="12" spans="1:7" ht="15">
      <c r="A12" s="193">
        <v>9</v>
      </c>
      <c r="B12" s="150" t="s">
        <v>24</v>
      </c>
      <c r="C12" s="117">
        <v>38849</v>
      </c>
      <c r="D12" s="132" t="s">
        <v>23</v>
      </c>
      <c r="E12" s="131" t="s">
        <v>25</v>
      </c>
      <c r="F12" s="257">
        <v>27</v>
      </c>
      <c r="G12" s="159">
        <v>5</v>
      </c>
    </row>
    <row r="13" spans="1:7" ht="15">
      <c r="A13" s="193">
        <v>10</v>
      </c>
      <c r="B13" s="147" t="s">
        <v>105</v>
      </c>
      <c r="C13" s="116">
        <v>38968</v>
      </c>
      <c r="D13" s="127" t="s">
        <v>56</v>
      </c>
      <c r="E13" s="126" t="s">
        <v>11</v>
      </c>
      <c r="F13" s="254">
        <v>1950</v>
      </c>
      <c r="G13" s="195">
        <v>531</v>
      </c>
    </row>
    <row r="14" spans="1:7" ht="15">
      <c r="A14" s="190">
        <v>11</v>
      </c>
      <c r="B14" s="248" t="s">
        <v>105</v>
      </c>
      <c r="C14" s="116">
        <v>38968</v>
      </c>
      <c r="D14" s="127" t="s">
        <v>56</v>
      </c>
      <c r="E14" s="126" t="s">
        <v>11</v>
      </c>
      <c r="F14" s="254">
        <v>1946</v>
      </c>
      <c r="G14" s="195">
        <v>529</v>
      </c>
    </row>
    <row r="15" spans="1:7" ht="15">
      <c r="A15" s="193">
        <v>12</v>
      </c>
      <c r="B15" s="147" t="s">
        <v>105</v>
      </c>
      <c r="C15" s="116">
        <v>38968</v>
      </c>
      <c r="D15" s="127" t="s">
        <v>56</v>
      </c>
      <c r="E15" s="126" t="s">
        <v>11</v>
      </c>
      <c r="F15" s="258">
        <v>1728</v>
      </c>
      <c r="G15" s="156">
        <v>313</v>
      </c>
    </row>
    <row r="16" spans="1:7" ht="15">
      <c r="A16" s="190">
        <v>13</v>
      </c>
      <c r="B16" s="180" t="s">
        <v>105</v>
      </c>
      <c r="C16" s="116">
        <v>38968</v>
      </c>
      <c r="D16" s="178" t="s">
        <v>56</v>
      </c>
      <c r="E16" s="178" t="s">
        <v>11</v>
      </c>
      <c r="F16" s="254">
        <v>1727</v>
      </c>
      <c r="G16" s="195">
        <v>487</v>
      </c>
    </row>
    <row r="17" spans="1:7" ht="15">
      <c r="A17" s="193">
        <v>14</v>
      </c>
      <c r="B17" s="147" t="s">
        <v>105</v>
      </c>
      <c r="C17" s="116">
        <v>38968</v>
      </c>
      <c r="D17" s="127" t="s">
        <v>56</v>
      </c>
      <c r="E17" s="126" t="s">
        <v>11</v>
      </c>
      <c r="F17" s="254">
        <v>1662</v>
      </c>
      <c r="G17" s="195">
        <v>474</v>
      </c>
    </row>
    <row r="18" spans="1:7" ht="15">
      <c r="A18" s="193">
        <v>15</v>
      </c>
      <c r="B18" s="150" t="s">
        <v>22</v>
      </c>
      <c r="C18" s="117">
        <v>38996</v>
      </c>
      <c r="D18" s="132" t="s">
        <v>23</v>
      </c>
      <c r="E18" s="131" t="s">
        <v>93</v>
      </c>
      <c r="F18" s="257">
        <v>209.6</v>
      </c>
      <c r="G18" s="159">
        <v>131</v>
      </c>
    </row>
    <row r="19" spans="1:7" ht="15">
      <c r="A19" s="190">
        <v>16</v>
      </c>
      <c r="B19" s="148" t="s">
        <v>117</v>
      </c>
      <c r="C19" s="151">
        <v>39073</v>
      </c>
      <c r="D19" s="146" t="s">
        <v>66</v>
      </c>
      <c r="E19" s="146" t="s">
        <v>66</v>
      </c>
      <c r="F19" s="259">
        <v>155630</v>
      </c>
      <c r="G19" s="157">
        <v>18932</v>
      </c>
    </row>
    <row r="20" spans="1:7" ht="15">
      <c r="A20" s="193">
        <v>17</v>
      </c>
      <c r="B20" s="181" t="s">
        <v>117</v>
      </c>
      <c r="C20" s="117">
        <v>39073</v>
      </c>
      <c r="D20" s="177" t="s">
        <v>66</v>
      </c>
      <c r="E20" s="177" t="s">
        <v>66</v>
      </c>
      <c r="F20" s="252">
        <v>55982</v>
      </c>
      <c r="G20" s="196">
        <v>7628</v>
      </c>
    </row>
    <row r="21" spans="1:7" ht="15">
      <c r="A21" s="190">
        <v>18</v>
      </c>
      <c r="B21" s="149" t="s">
        <v>117</v>
      </c>
      <c r="C21" s="117">
        <v>39073</v>
      </c>
      <c r="D21" s="146" t="s">
        <v>66</v>
      </c>
      <c r="E21" s="177" t="s">
        <v>66</v>
      </c>
      <c r="F21" s="252">
        <v>15271</v>
      </c>
      <c r="G21" s="196">
        <v>2641</v>
      </c>
    </row>
    <row r="22" spans="1:7" ht="15">
      <c r="A22" s="193">
        <v>19</v>
      </c>
      <c r="B22" s="249" t="s">
        <v>117</v>
      </c>
      <c r="C22" s="117">
        <v>39073</v>
      </c>
      <c r="D22" s="128" t="s">
        <v>58</v>
      </c>
      <c r="E22" s="128" t="s">
        <v>66</v>
      </c>
      <c r="F22" s="257">
        <v>11300.5</v>
      </c>
      <c r="G22" s="196">
        <v>2010</v>
      </c>
    </row>
    <row r="23" spans="1:7" ht="15">
      <c r="A23" s="193">
        <v>20</v>
      </c>
      <c r="B23" s="149" t="s">
        <v>117</v>
      </c>
      <c r="C23" s="117">
        <v>39073</v>
      </c>
      <c r="D23" s="128" t="s">
        <v>66</v>
      </c>
      <c r="E23" s="128" t="s">
        <v>66</v>
      </c>
      <c r="F23" s="252">
        <v>9440</v>
      </c>
      <c r="G23" s="196">
        <v>1724</v>
      </c>
    </row>
    <row r="24" spans="1:7" ht="15">
      <c r="A24" s="190">
        <v>21</v>
      </c>
      <c r="B24" s="249" t="s">
        <v>117</v>
      </c>
      <c r="C24" s="117">
        <v>39073</v>
      </c>
      <c r="D24" s="128" t="s">
        <v>66</v>
      </c>
      <c r="E24" s="128" t="s">
        <v>66</v>
      </c>
      <c r="F24" s="252">
        <v>7453.5</v>
      </c>
      <c r="G24" s="196">
        <v>1317</v>
      </c>
    </row>
    <row r="25" spans="1:7" ht="15">
      <c r="A25" s="193">
        <v>22</v>
      </c>
      <c r="B25" s="148" t="s">
        <v>117</v>
      </c>
      <c r="C25" s="151">
        <v>39073</v>
      </c>
      <c r="D25" s="283" t="s">
        <v>66</v>
      </c>
      <c r="E25" s="282" t="s">
        <v>66</v>
      </c>
      <c r="F25" s="259">
        <v>7141.5</v>
      </c>
      <c r="G25" s="157">
        <v>1184</v>
      </c>
    </row>
    <row r="26" spans="1:7" ht="15">
      <c r="A26" s="190">
        <v>23</v>
      </c>
      <c r="B26" s="299" t="s">
        <v>117</v>
      </c>
      <c r="C26" s="151">
        <v>39073</v>
      </c>
      <c r="D26" s="283" t="s">
        <v>66</v>
      </c>
      <c r="E26" s="283" t="s">
        <v>66</v>
      </c>
      <c r="F26" s="259">
        <v>2945</v>
      </c>
      <c r="G26" s="157">
        <v>655</v>
      </c>
    </row>
    <row r="27" spans="1:7" ht="15">
      <c r="A27" s="193">
        <v>24</v>
      </c>
      <c r="B27" s="149" t="s">
        <v>117</v>
      </c>
      <c r="C27" s="117">
        <v>39073</v>
      </c>
      <c r="D27" s="291" t="s">
        <v>58</v>
      </c>
      <c r="E27" s="291" t="s">
        <v>66</v>
      </c>
      <c r="F27" s="293">
        <v>2772.5</v>
      </c>
      <c r="G27" s="196">
        <v>553</v>
      </c>
    </row>
    <row r="28" spans="1:7" ht="15">
      <c r="A28" s="193">
        <v>25</v>
      </c>
      <c r="B28" s="249" t="s">
        <v>117</v>
      </c>
      <c r="C28" s="117">
        <v>39073</v>
      </c>
      <c r="D28" s="128" t="s">
        <v>58</v>
      </c>
      <c r="E28" s="128" t="s">
        <v>66</v>
      </c>
      <c r="F28" s="252">
        <v>431</v>
      </c>
      <c r="G28" s="196">
        <v>131</v>
      </c>
    </row>
    <row r="29" spans="1:7" ht="15">
      <c r="A29" s="190">
        <v>26</v>
      </c>
      <c r="B29" s="249" t="s">
        <v>117</v>
      </c>
      <c r="C29" s="117">
        <v>39073</v>
      </c>
      <c r="D29" s="128" t="s">
        <v>12</v>
      </c>
      <c r="E29" s="128" t="s">
        <v>66</v>
      </c>
      <c r="F29" s="252">
        <v>30</v>
      </c>
      <c r="G29" s="196">
        <v>5</v>
      </c>
    </row>
    <row r="30" spans="1:7" ht="15">
      <c r="A30" s="193">
        <v>27</v>
      </c>
      <c r="B30" s="249" t="s">
        <v>254</v>
      </c>
      <c r="C30" s="117">
        <v>38674</v>
      </c>
      <c r="D30" s="128" t="s">
        <v>58</v>
      </c>
      <c r="E30" s="128" t="s">
        <v>330</v>
      </c>
      <c r="F30" s="252">
        <v>5035</v>
      </c>
      <c r="G30" s="196">
        <v>1007</v>
      </c>
    </row>
    <row r="31" spans="1:7" ht="15">
      <c r="A31" s="190">
        <v>28</v>
      </c>
      <c r="B31" s="149" t="s">
        <v>254</v>
      </c>
      <c r="C31" s="117">
        <v>38674</v>
      </c>
      <c r="D31" s="291" t="s">
        <v>58</v>
      </c>
      <c r="E31" s="291" t="s">
        <v>255</v>
      </c>
      <c r="F31" s="293">
        <v>493</v>
      </c>
      <c r="G31" s="196">
        <v>96</v>
      </c>
    </row>
    <row r="32" spans="1:7" ht="15">
      <c r="A32" s="193">
        <v>29</v>
      </c>
      <c r="B32" s="149" t="s">
        <v>35</v>
      </c>
      <c r="C32" s="151">
        <v>39031</v>
      </c>
      <c r="D32" s="283" t="s">
        <v>57</v>
      </c>
      <c r="E32" s="283" t="s">
        <v>71</v>
      </c>
      <c r="F32" s="259">
        <v>175616</v>
      </c>
      <c r="G32" s="157">
        <v>19998</v>
      </c>
    </row>
    <row r="33" spans="1:7" ht="15">
      <c r="A33" s="193">
        <v>30</v>
      </c>
      <c r="B33" s="249" t="s">
        <v>35</v>
      </c>
      <c r="C33" s="117">
        <v>39031</v>
      </c>
      <c r="D33" s="128" t="s">
        <v>57</v>
      </c>
      <c r="E33" s="128" t="s">
        <v>71</v>
      </c>
      <c r="F33" s="252">
        <v>20934</v>
      </c>
      <c r="G33" s="196">
        <v>2628</v>
      </c>
    </row>
    <row r="34" spans="1:7" ht="15">
      <c r="A34" s="190">
        <v>31</v>
      </c>
      <c r="B34" s="249" t="s">
        <v>35</v>
      </c>
      <c r="C34" s="117">
        <v>39031</v>
      </c>
      <c r="D34" s="128" t="s">
        <v>57</v>
      </c>
      <c r="E34" s="128" t="s">
        <v>71</v>
      </c>
      <c r="F34" s="252">
        <v>2709</v>
      </c>
      <c r="G34" s="196">
        <v>376</v>
      </c>
    </row>
    <row r="35" spans="1:7" ht="15">
      <c r="A35" s="193">
        <v>32</v>
      </c>
      <c r="B35" s="148" t="s">
        <v>35</v>
      </c>
      <c r="C35" s="151">
        <v>39031</v>
      </c>
      <c r="D35" s="128" t="s">
        <v>57</v>
      </c>
      <c r="E35" s="146" t="s">
        <v>71</v>
      </c>
      <c r="F35" s="259">
        <v>2367</v>
      </c>
      <c r="G35" s="157">
        <v>702</v>
      </c>
    </row>
    <row r="36" spans="1:7" ht="15">
      <c r="A36" s="190">
        <v>33</v>
      </c>
      <c r="B36" s="249" t="s">
        <v>35</v>
      </c>
      <c r="C36" s="117">
        <v>39031</v>
      </c>
      <c r="D36" s="128" t="s">
        <v>57</v>
      </c>
      <c r="E36" s="128" t="s">
        <v>71</v>
      </c>
      <c r="F36" s="252">
        <v>1427</v>
      </c>
      <c r="G36" s="196">
        <v>281</v>
      </c>
    </row>
    <row r="37" spans="1:7" ht="15">
      <c r="A37" s="193">
        <v>34</v>
      </c>
      <c r="B37" s="149" t="s">
        <v>35</v>
      </c>
      <c r="C37" s="117">
        <v>39031</v>
      </c>
      <c r="D37" s="128" t="s">
        <v>57</v>
      </c>
      <c r="E37" s="128" t="s">
        <v>71</v>
      </c>
      <c r="F37" s="252">
        <v>1155</v>
      </c>
      <c r="G37" s="196">
        <v>350</v>
      </c>
    </row>
    <row r="38" spans="1:7" ht="15">
      <c r="A38" s="193">
        <v>35</v>
      </c>
      <c r="B38" s="181" t="s">
        <v>35</v>
      </c>
      <c r="C38" s="117">
        <v>39031</v>
      </c>
      <c r="D38" s="177" t="s">
        <v>57</v>
      </c>
      <c r="E38" s="177" t="s">
        <v>71</v>
      </c>
      <c r="F38" s="252">
        <v>1155</v>
      </c>
      <c r="G38" s="196">
        <v>350</v>
      </c>
    </row>
    <row r="39" spans="1:7" ht="15">
      <c r="A39" s="190">
        <v>36</v>
      </c>
      <c r="B39" s="149" t="s">
        <v>221</v>
      </c>
      <c r="C39" s="117">
        <v>38779</v>
      </c>
      <c r="D39" s="128" t="s">
        <v>57</v>
      </c>
      <c r="E39" s="128" t="s">
        <v>60</v>
      </c>
      <c r="F39" s="252">
        <v>1156</v>
      </c>
      <c r="G39" s="196">
        <v>350</v>
      </c>
    </row>
    <row r="40" spans="1:7" ht="15">
      <c r="A40" s="193">
        <v>37</v>
      </c>
      <c r="B40" s="148" t="s">
        <v>92</v>
      </c>
      <c r="C40" s="151">
        <v>39010</v>
      </c>
      <c r="D40" s="128" t="s">
        <v>57</v>
      </c>
      <c r="E40" s="146" t="s">
        <v>65</v>
      </c>
      <c r="F40" s="259">
        <v>5487</v>
      </c>
      <c r="G40" s="157">
        <v>1043</v>
      </c>
    </row>
    <row r="41" spans="1:7" ht="15">
      <c r="A41" s="190">
        <v>38</v>
      </c>
      <c r="B41" s="181" t="s">
        <v>92</v>
      </c>
      <c r="C41" s="117">
        <v>39010</v>
      </c>
      <c r="D41" s="177" t="s">
        <v>57</v>
      </c>
      <c r="E41" s="177" t="s">
        <v>65</v>
      </c>
      <c r="F41" s="252">
        <v>3402</v>
      </c>
      <c r="G41" s="196">
        <v>724</v>
      </c>
    </row>
    <row r="42" spans="1:7" ht="15">
      <c r="A42" s="193">
        <v>39</v>
      </c>
      <c r="B42" s="149" t="s">
        <v>92</v>
      </c>
      <c r="C42" s="117">
        <v>39010</v>
      </c>
      <c r="D42" s="128" t="s">
        <v>57</v>
      </c>
      <c r="E42" s="128" t="s">
        <v>65</v>
      </c>
      <c r="F42" s="252">
        <v>2468</v>
      </c>
      <c r="G42" s="196">
        <v>1189</v>
      </c>
    </row>
    <row r="43" spans="1:7" ht="15">
      <c r="A43" s="193">
        <v>40</v>
      </c>
      <c r="B43" s="249" t="s">
        <v>92</v>
      </c>
      <c r="C43" s="117">
        <v>39010</v>
      </c>
      <c r="D43" s="128" t="s">
        <v>57</v>
      </c>
      <c r="E43" s="128" t="s">
        <v>65</v>
      </c>
      <c r="F43" s="257">
        <v>2375</v>
      </c>
      <c r="G43" s="196">
        <v>705</v>
      </c>
    </row>
    <row r="44" spans="1:7" ht="15">
      <c r="A44" s="190">
        <v>41</v>
      </c>
      <c r="B44" s="249" t="s">
        <v>92</v>
      </c>
      <c r="C44" s="117">
        <v>39010</v>
      </c>
      <c r="D44" s="128" t="s">
        <v>57</v>
      </c>
      <c r="E44" s="128" t="s">
        <v>65</v>
      </c>
      <c r="F44" s="252">
        <v>238</v>
      </c>
      <c r="G44" s="196">
        <v>46</v>
      </c>
    </row>
    <row r="45" spans="1:7" ht="15">
      <c r="A45" s="193">
        <v>42</v>
      </c>
      <c r="B45" s="299" t="s">
        <v>278</v>
      </c>
      <c r="C45" s="151">
        <v>38989</v>
      </c>
      <c r="D45" s="283" t="s">
        <v>58</v>
      </c>
      <c r="E45" s="283" t="s">
        <v>279</v>
      </c>
      <c r="F45" s="259">
        <v>1511</v>
      </c>
      <c r="G45" s="157">
        <v>303</v>
      </c>
    </row>
    <row r="46" spans="1:7" ht="15">
      <c r="A46" s="190">
        <v>43</v>
      </c>
      <c r="B46" s="250" t="s">
        <v>192</v>
      </c>
      <c r="C46" s="117">
        <v>38905</v>
      </c>
      <c r="D46" s="132" t="s">
        <v>23</v>
      </c>
      <c r="E46" s="131" t="s">
        <v>193</v>
      </c>
      <c r="F46" s="252">
        <v>262.4</v>
      </c>
      <c r="G46" s="196">
        <v>164</v>
      </c>
    </row>
    <row r="47" spans="1:7" ht="15">
      <c r="A47" s="193">
        <v>44</v>
      </c>
      <c r="B47" s="148" t="s">
        <v>80</v>
      </c>
      <c r="C47" s="151">
        <v>39052</v>
      </c>
      <c r="D47" s="146" t="s">
        <v>58</v>
      </c>
      <c r="E47" s="146" t="s">
        <v>59</v>
      </c>
      <c r="F47" s="259">
        <v>2938</v>
      </c>
      <c r="G47" s="157">
        <v>448</v>
      </c>
    </row>
    <row r="48" spans="1:7" ht="15">
      <c r="A48" s="193">
        <v>45</v>
      </c>
      <c r="B48" s="149" t="s">
        <v>80</v>
      </c>
      <c r="C48" s="117">
        <v>39052</v>
      </c>
      <c r="D48" s="128" t="s">
        <v>58</v>
      </c>
      <c r="E48" s="128" t="s">
        <v>59</v>
      </c>
      <c r="F48" s="252">
        <v>2306</v>
      </c>
      <c r="G48" s="196">
        <v>733</v>
      </c>
    </row>
    <row r="49" spans="1:7" ht="15">
      <c r="A49" s="190">
        <v>46</v>
      </c>
      <c r="B49" s="181" t="s">
        <v>80</v>
      </c>
      <c r="C49" s="117">
        <v>39052</v>
      </c>
      <c r="D49" s="177" t="s">
        <v>58</v>
      </c>
      <c r="E49" s="177" t="s">
        <v>59</v>
      </c>
      <c r="F49" s="252">
        <v>1587.5</v>
      </c>
      <c r="G49" s="196">
        <v>252</v>
      </c>
    </row>
    <row r="50" spans="1:7" ht="15">
      <c r="A50" s="193">
        <v>47</v>
      </c>
      <c r="B50" s="150" t="s">
        <v>118</v>
      </c>
      <c r="C50" s="117">
        <v>39073</v>
      </c>
      <c r="D50" s="132" t="s">
        <v>23</v>
      </c>
      <c r="E50" s="131" t="s">
        <v>98</v>
      </c>
      <c r="F50" s="257">
        <v>2937</v>
      </c>
      <c r="G50" s="159">
        <v>367</v>
      </c>
    </row>
    <row r="51" spans="1:7" ht="15">
      <c r="A51" s="190">
        <v>48</v>
      </c>
      <c r="B51" s="150" t="s">
        <v>118</v>
      </c>
      <c r="C51" s="117">
        <v>39073</v>
      </c>
      <c r="D51" s="285" t="s">
        <v>23</v>
      </c>
      <c r="E51" s="286" t="s">
        <v>98</v>
      </c>
      <c r="F51" s="293">
        <v>1780</v>
      </c>
      <c r="G51" s="196">
        <v>445</v>
      </c>
    </row>
    <row r="52" spans="1:7" ht="15">
      <c r="A52" s="193">
        <v>49</v>
      </c>
      <c r="B52" s="415" t="s">
        <v>118</v>
      </c>
      <c r="C52" s="317">
        <v>39073</v>
      </c>
      <c r="D52" s="416" t="s">
        <v>23</v>
      </c>
      <c r="E52" s="417" t="s">
        <v>98</v>
      </c>
      <c r="F52" s="418">
        <v>1780</v>
      </c>
      <c r="G52" s="419">
        <v>445</v>
      </c>
    </row>
    <row r="53" spans="1:7" ht="15">
      <c r="A53" s="193">
        <v>50</v>
      </c>
      <c r="B53" s="150" t="s">
        <v>118</v>
      </c>
      <c r="C53" s="117">
        <v>39073</v>
      </c>
      <c r="D53" s="285" t="s">
        <v>23</v>
      </c>
      <c r="E53" s="286" t="s">
        <v>98</v>
      </c>
      <c r="F53" s="257">
        <v>1015</v>
      </c>
      <c r="G53" s="159">
        <v>135</v>
      </c>
    </row>
    <row r="54" spans="1:7" ht="15">
      <c r="A54" s="190">
        <v>51</v>
      </c>
      <c r="B54" s="181" t="s">
        <v>118</v>
      </c>
      <c r="C54" s="117">
        <v>39073</v>
      </c>
      <c r="D54" s="177" t="s">
        <v>23</v>
      </c>
      <c r="E54" s="177" t="s">
        <v>98</v>
      </c>
      <c r="F54" s="252">
        <v>796</v>
      </c>
      <c r="G54" s="196">
        <v>81</v>
      </c>
    </row>
    <row r="55" spans="1:7" ht="15">
      <c r="A55" s="193">
        <v>52</v>
      </c>
      <c r="B55" s="250" t="s">
        <v>118</v>
      </c>
      <c r="C55" s="117">
        <v>39073</v>
      </c>
      <c r="D55" s="132" t="s">
        <v>23</v>
      </c>
      <c r="E55" s="131" t="s">
        <v>98</v>
      </c>
      <c r="F55" s="252">
        <v>464</v>
      </c>
      <c r="G55" s="196">
        <v>63</v>
      </c>
    </row>
    <row r="56" spans="1:7" ht="15">
      <c r="A56" s="190">
        <v>53</v>
      </c>
      <c r="B56" s="150" t="s">
        <v>118</v>
      </c>
      <c r="C56" s="117">
        <v>39073</v>
      </c>
      <c r="D56" s="132" t="s">
        <v>23</v>
      </c>
      <c r="E56" s="131" t="s">
        <v>98</v>
      </c>
      <c r="F56" s="252">
        <v>64</v>
      </c>
      <c r="G56" s="196">
        <v>7</v>
      </c>
    </row>
    <row r="57" spans="1:7" ht="15">
      <c r="A57" s="193">
        <v>54</v>
      </c>
      <c r="B57" s="250" t="s">
        <v>194</v>
      </c>
      <c r="C57" s="117">
        <v>38870</v>
      </c>
      <c r="D57" s="132" t="s">
        <v>23</v>
      </c>
      <c r="E57" s="131" t="s">
        <v>195</v>
      </c>
      <c r="F57" s="252">
        <v>204</v>
      </c>
      <c r="G57" s="196">
        <v>40</v>
      </c>
    </row>
    <row r="58" spans="1:7" ht="15">
      <c r="A58" s="193">
        <v>55</v>
      </c>
      <c r="B58" s="149" t="s">
        <v>26</v>
      </c>
      <c r="C58" s="117">
        <v>38975</v>
      </c>
      <c r="D58" s="128" t="s">
        <v>57</v>
      </c>
      <c r="E58" s="128" t="s">
        <v>60</v>
      </c>
      <c r="F58" s="252">
        <v>7149</v>
      </c>
      <c r="G58" s="196">
        <v>1229</v>
      </c>
    </row>
    <row r="59" spans="1:7" ht="15">
      <c r="A59" s="190">
        <v>56</v>
      </c>
      <c r="B59" s="249" t="s">
        <v>26</v>
      </c>
      <c r="C59" s="117">
        <v>38975</v>
      </c>
      <c r="D59" s="128" t="s">
        <v>57</v>
      </c>
      <c r="E59" s="128" t="s">
        <v>60</v>
      </c>
      <c r="F59" s="257">
        <v>2635</v>
      </c>
      <c r="G59" s="196">
        <v>667</v>
      </c>
    </row>
    <row r="60" spans="1:7" ht="15">
      <c r="A60" s="193">
        <v>57</v>
      </c>
      <c r="B60" s="148" t="s">
        <v>26</v>
      </c>
      <c r="C60" s="151">
        <v>38975</v>
      </c>
      <c r="D60" s="128" t="s">
        <v>57</v>
      </c>
      <c r="E60" s="146" t="s">
        <v>60</v>
      </c>
      <c r="F60" s="259">
        <v>2120</v>
      </c>
      <c r="G60" s="157">
        <v>369</v>
      </c>
    </row>
    <row r="61" spans="1:7" ht="15">
      <c r="A61" s="190">
        <v>58</v>
      </c>
      <c r="B61" s="148" t="s">
        <v>26</v>
      </c>
      <c r="C61" s="151">
        <v>38975</v>
      </c>
      <c r="D61" s="283" t="s">
        <v>57</v>
      </c>
      <c r="E61" s="283" t="s">
        <v>60</v>
      </c>
      <c r="F61" s="259">
        <v>2115</v>
      </c>
      <c r="G61" s="157">
        <v>582</v>
      </c>
    </row>
    <row r="62" spans="1:7" ht="15">
      <c r="A62" s="193">
        <v>59</v>
      </c>
      <c r="B62" s="181" t="s">
        <v>26</v>
      </c>
      <c r="C62" s="117">
        <v>38975</v>
      </c>
      <c r="D62" s="177" t="s">
        <v>57</v>
      </c>
      <c r="E62" s="177" t="s">
        <v>60</v>
      </c>
      <c r="F62" s="252">
        <v>887</v>
      </c>
      <c r="G62" s="196">
        <v>160</v>
      </c>
    </row>
    <row r="63" spans="1:7" ht="15">
      <c r="A63" s="193">
        <v>60</v>
      </c>
      <c r="B63" s="149" t="s">
        <v>26</v>
      </c>
      <c r="C63" s="117">
        <v>38975</v>
      </c>
      <c r="D63" s="128" t="s">
        <v>57</v>
      </c>
      <c r="E63" s="128" t="s">
        <v>60</v>
      </c>
      <c r="F63" s="252">
        <v>284</v>
      </c>
      <c r="G63" s="196">
        <v>47</v>
      </c>
    </row>
    <row r="64" spans="1:7" ht="15">
      <c r="A64" s="190">
        <v>61</v>
      </c>
      <c r="B64" s="249" t="s">
        <v>26</v>
      </c>
      <c r="C64" s="117">
        <v>38975</v>
      </c>
      <c r="D64" s="128" t="s">
        <v>57</v>
      </c>
      <c r="E64" s="128" t="s">
        <v>60</v>
      </c>
      <c r="F64" s="252">
        <v>247</v>
      </c>
      <c r="G64" s="196">
        <v>41</v>
      </c>
    </row>
    <row r="65" spans="1:7" ht="15">
      <c r="A65" s="193">
        <v>62</v>
      </c>
      <c r="B65" s="147" t="s">
        <v>41</v>
      </c>
      <c r="C65" s="116">
        <v>39038</v>
      </c>
      <c r="D65" s="127" t="s">
        <v>56</v>
      </c>
      <c r="E65" s="126" t="s">
        <v>61</v>
      </c>
      <c r="F65" s="258">
        <v>7970</v>
      </c>
      <c r="G65" s="156">
        <v>1455</v>
      </c>
    </row>
    <row r="66" spans="1:7" ht="15">
      <c r="A66" s="190">
        <v>63</v>
      </c>
      <c r="B66" s="248" t="s">
        <v>41</v>
      </c>
      <c r="C66" s="116">
        <v>39038</v>
      </c>
      <c r="D66" s="127" t="s">
        <v>56</v>
      </c>
      <c r="E66" s="126" t="s">
        <v>61</v>
      </c>
      <c r="F66" s="254">
        <v>6458</v>
      </c>
      <c r="G66" s="195">
        <v>1814</v>
      </c>
    </row>
    <row r="67" spans="1:7" ht="15">
      <c r="A67" s="193">
        <v>64</v>
      </c>
      <c r="B67" s="180" t="s">
        <v>41</v>
      </c>
      <c r="C67" s="116">
        <v>39038</v>
      </c>
      <c r="D67" s="178" t="s">
        <v>56</v>
      </c>
      <c r="E67" s="178" t="s">
        <v>61</v>
      </c>
      <c r="F67" s="254">
        <v>2372</v>
      </c>
      <c r="G67" s="195">
        <v>338</v>
      </c>
    </row>
    <row r="68" spans="1:7" ht="15">
      <c r="A68" s="193">
        <v>65</v>
      </c>
      <c r="B68" s="147" t="s">
        <v>41</v>
      </c>
      <c r="C68" s="116">
        <v>39038</v>
      </c>
      <c r="D68" s="127" t="s">
        <v>56</v>
      </c>
      <c r="E68" s="126" t="s">
        <v>61</v>
      </c>
      <c r="F68" s="254">
        <v>1812</v>
      </c>
      <c r="G68" s="195">
        <v>360</v>
      </c>
    </row>
    <row r="69" spans="1:7" ht="15">
      <c r="A69" s="190">
        <v>66</v>
      </c>
      <c r="B69" s="248" t="s">
        <v>41</v>
      </c>
      <c r="C69" s="116">
        <v>39038</v>
      </c>
      <c r="D69" s="127" t="s">
        <v>56</v>
      </c>
      <c r="E69" s="126" t="s">
        <v>61</v>
      </c>
      <c r="F69" s="254">
        <v>986</v>
      </c>
      <c r="G69" s="195">
        <v>181</v>
      </c>
    </row>
    <row r="70" spans="1:7" ht="15">
      <c r="A70" s="193">
        <v>67</v>
      </c>
      <c r="B70" s="248" t="s">
        <v>41</v>
      </c>
      <c r="C70" s="116">
        <v>39038</v>
      </c>
      <c r="D70" s="281" t="s">
        <v>56</v>
      </c>
      <c r="E70" s="282" t="s">
        <v>61</v>
      </c>
      <c r="F70" s="258">
        <v>523</v>
      </c>
      <c r="G70" s="156">
        <v>69</v>
      </c>
    </row>
    <row r="71" spans="1:7" ht="15">
      <c r="A71" s="190">
        <v>68</v>
      </c>
      <c r="B71" s="147" t="s">
        <v>41</v>
      </c>
      <c r="C71" s="116">
        <v>39038</v>
      </c>
      <c r="D71" s="127" t="s">
        <v>56</v>
      </c>
      <c r="E71" s="126" t="s">
        <v>61</v>
      </c>
      <c r="F71" s="254">
        <v>406</v>
      </c>
      <c r="G71" s="195">
        <v>59</v>
      </c>
    </row>
    <row r="72" spans="1:7" ht="15">
      <c r="A72" s="193">
        <v>69</v>
      </c>
      <c r="B72" s="248" t="s">
        <v>41</v>
      </c>
      <c r="C72" s="116">
        <v>39038</v>
      </c>
      <c r="D72" s="127" t="s">
        <v>56</v>
      </c>
      <c r="E72" s="126" t="s">
        <v>61</v>
      </c>
      <c r="F72" s="258">
        <v>362</v>
      </c>
      <c r="G72" s="195">
        <v>51</v>
      </c>
    </row>
    <row r="73" spans="1:7" ht="15">
      <c r="A73" s="193">
        <v>70</v>
      </c>
      <c r="B73" s="147" t="s">
        <v>41</v>
      </c>
      <c r="C73" s="116">
        <v>39038</v>
      </c>
      <c r="D73" s="281" t="s">
        <v>56</v>
      </c>
      <c r="E73" s="282" t="s">
        <v>61</v>
      </c>
      <c r="F73" s="294">
        <v>237</v>
      </c>
      <c r="G73" s="195">
        <v>32</v>
      </c>
    </row>
    <row r="74" spans="1:7" ht="15">
      <c r="A74" s="190">
        <v>71</v>
      </c>
      <c r="B74" s="147" t="s">
        <v>41</v>
      </c>
      <c r="C74" s="116">
        <v>39038</v>
      </c>
      <c r="D74" s="281" t="s">
        <v>56</v>
      </c>
      <c r="E74" s="282" t="s">
        <v>61</v>
      </c>
      <c r="F74" s="258">
        <v>171</v>
      </c>
      <c r="G74" s="156">
        <v>23</v>
      </c>
    </row>
    <row r="75" spans="1:7" ht="15">
      <c r="A75" s="193">
        <v>72</v>
      </c>
      <c r="B75" s="148" t="s">
        <v>128</v>
      </c>
      <c r="C75" s="151">
        <v>39066</v>
      </c>
      <c r="D75" s="146" t="s">
        <v>58</v>
      </c>
      <c r="E75" s="146" t="s">
        <v>115</v>
      </c>
      <c r="F75" s="259">
        <v>41050.5</v>
      </c>
      <c r="G75" s="157">
        <v>5261</v>
      </c>
    </row>
    <row r="76" spans="1:7" ht="15">
      <c r="A76" s="190">
        <v>73</v>
      </c>
      <c r="B76" s="181" t="s">
        <v>128</v>
      </c>
      <c r="C76" s="117">
        <v>39066</v>
      </c>
      <c r="D76" s="177" t="s">
        <v>58</v>
      </c>
      <c r="E76" s="177" t="s">
        <v>115</v>
      </c>
      <c r="F76" s="252">
        <v>19306.5</v>
      </c>
      <c r="G76" s="196">
        <v>3088</v>
      </c>
    </row>
    <row r="77" spans="1:7" ht="15">
      <c r="A77" s="193">
        <v>74</v>
      </c>
      <c r="B77" s="149" t="s">
        <v>128</v>
      </c>
      <c r="C77" s="117">
        <v>39066</v>
      </c>
      <c r="D77" s="128" t="s">
        <v>58</v>
      </c>
      <c r="E77" s="128" t="s">
        <v>115</v>
      </c>
      <c r="F77" s="252">
        <v>6896.5</v>
      </c>
      <c r="G77" s="196">
        <v>1472</v>
      </c>
    </row>
    <row r="78" spans="1:7" ht="15">
      <c r="A78" s="193">
        <v>75</v>
      </c>
      <c r="B78" s="148" t="s">
        <v>128</v>
      </c>
      <c r="C78" s="151">
        <v>39066</v>
      </c>
      <c r="D78" s="283" t="s">
        <v>58</v>
      </c>
      <c r="E78" s="282" t="s">
        <v>115</v>
      </c>
      <c r="F78" s="259">
        <v>5538.5</v>
      </c>
      <c r="G78" s="157">
        <v>1614</v>
      </c>
    </row>
    <row r="79" spans="1:7" ht="15">
      <c r="A79" s="190">
        <v>76</v>
      </c>
      <c r="B79" s="149" t="s">
        <v>128</v>
      </c>
      <c r="C79" s="117">
        <v>39066</v>
      </c>
      <c r="D79" s="128" t="s">
        <v>58</v>
      </c>
      <c r="E79" s="128" t="s">
        <v>115</v>
      </c>
      <c r="F79" s="252">
        <v>2843</v>
      </c>
      <c r="G79" s="196">
        <v>581</v>
      </c>
    </row>
    <row r="80" spans="1:7" ht="15">
      <c r="A80" s="193">
        <v>77</v>
      </c>
      <c r="B80" s="249" t="s">
        <v>128</v>
      </c>
      <c r="C80" s="117">
        <v>39066</v>
      </c>
      <c r="D80" s="128" t="s">
        <v>58</v>
      </c>
      <c r="E80" s="128" t="s">
        <v>115</v>
      </c>
      <c r="F80" s="257">
        <v>2025</v>
      </c>
      <c r="G80" s="196">
        <v>379</v>
      </c>
    </row>
    <row r="81" spans="1:7" ht="15">
      <c r="A81" s="190">
        <v>78</v>
      </c>
      <c r="B81" s="249" t="s">
        <v>128</v>
      </c>
      <c r="C81" s="117">
        <v>39066</v>
      </c>
      <c r="D81" s="128" t="s">
        <v>58</v>
      </c>
      <c r="E81" s="128" t="s">
        <v>115</v>
      </c>
      <c r="F81" s="252">
        <v>1781</v>
      </c>
      <c r="G81" s="196">
        <v>334</v>
      </c>
    </row>
    <row r="82" spans="1:7" ht="15">
      <c r="A82" s="193">
        <v>79</v>
      </c>
      <c r="B82" s="299" t="s">
        <v>128</v>
      </c>
      <c r="C82" s="151">
        <v>39066</v>
      </c>
      <c r="D82" s="283" t="s">
        <v>58</v>
      </c>
      <c r="E82" s="283" t="s">
        <v>115</v>
      </c>
      <c r="F82" s="259">
        <v>831</v>
      </c>
      <c r="G82" s="157">
        <v>256</v>
      </c>
    </row>
    <row r="83" spans="1:7" ht="15">
      <c r="A83" s="193">
        <v>80</v>
      </c>
      <c r="B83" s="149" t="s">
        <v>128</v>
      </c>
      <c r="C83" s="117">
        <v>39066</v>
      </c>
      <c r="D83" s="291" t="s">
        <v>58</v>
      </c>
      <c r="E83" s="291" t="s">
        <v>115</v>
      </c>
      <c r="F83" s="293">
        <v>533</v>
      </c>
      <c r="G83" s="196">
        <v>148</v>
      </c>
    </row>
    <row r="84" spans="1:7" ht="15">
      <c r="A84" s="190">
        <v>81</v>
      </c>
      <c r="B84" s="249" t="s">
        <v>128</v>
      </c>
      <c r="C84" s="117">
        <v>39066</v>
      </c>
      <c r="D84" s="128" t="s">
        <v>12</v>
      </c>
      <c r="E84" s="128" t="s">
        <v>115</v>
      </c>
      <c r="F84" s="252">
        <v>160</v>
      </c>
      <c r="G84" s="196">
        <v>32</v>
      </c>
    </row>
    <row r="85" spans="1:7" ht="15">
      <c r="A85" s="193">
        <v>82</v>
      </c>
      <c r="B85" s="148" t="s">
        <v>137</v>
      </c>
      <c r="C85" s="151">
        <v>38807</v>
      </c>
      <c r="D85" s="146" t="s">
        <v>73</v>
      </c>
      <c r="E85" s="146" t="s">
        <v>138</v>
      </c>
      <c r="F85" s="259">
        <v>1430</v>
      </c>
      <c r="G85" s="157">
        <v>286</v>
      </c>
    </row>
    <row r="86" spans="1:7" ht="15">
      <c r="A86" s="190">
        <v>83</v>
      </c>
      <c r="B86" s="149" t="s">
        <v>81</v>
      </c>
      <c r="C86" s="117">
        <v>39052</v>
      </c>
      <c r="D86" s="128" t="s">
        <v>55</v>
      </c>
      <c r="E86" s="128" t="s">
        <v>55</v>
      </c>
      <c r="F86" s="257">
        <v>6236</v>
      </c>
      <c r="G86" s="159">
        <v>855</v>
      </c>
    </row>
    <row r="87" spans="1:7" ht="15">
      <c r="A87" s="193">
        <v>84</v>
      </c>
      <c r="B87" s="149" t="s">
        <v>81</v>
      </c>
      <c r="C87" s="117">
        <v>39052</v>
      </c>
      <c r="D87" s="128" t="s">
        <v>55</v>
      </c>
      <c r="E87" s="128" t="s">
        <v>55</v>
      </c>
      <c r="F87" s="252">
        <v>2023</v>
      </c>
      <c r="G87" s="196">
        <v>433</v>
      </c>
    </row>
    <row r="88" spans="1:7" ht="15">
      <c r="A88" s="193">
        <v>85</v>
      </c>
      <c r="B88" s="181" t="s">
        <v>81</v>
      </c>
      <c r="C88" s="117">
        <v>39052</v>
      </c>
      <c r="D88" s="177" t="s">
        <v>55</v>
      </c>
      <c r="E88" s="177" t="s">
        <v>55</v>
      </c>
      <c r="F88" s="252">
        <v>1507</v>
      </c>
      <c r="G88" s="196">
        <v>276</v>
      </c>
    </row>
    <row r="89" spans="1:7" ht="15">
      <c r="A89" s="190">
        <v>86</v>
      </c>
      <c r="B89" s="249" t="s">
        <v>81</v>
      </c>
      <c r="C89" s="117">
        <v>39052</v>
      </c>
      <c r="D89" s="128" t="s">
        <v>55</v>
      </c>
      <c r="E89" s="128" t="s">
        <v>63</v>
      </c>
      <c r="F89" s="252">
        <v>287</v>
      </c>
      <c r="G89" s="196">
        <v>70</v>
      </c>
    </row>
    <row r="90" spans="1:7" ht="15">
      <c r="A90" s="193">
        <v>87</v>
      </c>
      <c r="B90" s="147" t="s">
        <v>175</v>
      </c>
      <c r="C90" s="116">
        <v>38982</v>
      </c>
      <c r="D90" s="127" t="s">
        <v>56</v>
      </c>
      <c r="E90" s="126" t="s">
        <v>61</v>
      </c>
      <c r="F90" s="254">
        <v>880</v>
      </c>
      <c r="G90" s="195">
        <v>165</v>
      </c>
    </row>
    <row r="91" spans="1:7" ht="15">
      <c r="A91" s="190">
        <v>88</v>
      </c>
      <c r="B91" s="248" t="s">
        <v>175</v>
      </c>
      <c r="C91" s="116">
        <v>38982</v>
      </c>
      <c r="D91" s="127" t="s">
        <v>56</v>
      </c>
      <c r="E91" s="126" t="s">
        <v>61</v>
      </c>
      <c r="F91" s="254">
        <v>785</v>
      </c>
      <c r="G91" s="195">
        <v>151</v>
      </c>
    </row>
    <row r="92" spans="1:7" ht="15">
      <c r="A92" s="193">
        <v>89</v>
      </c>
      <c r="B92" s="145" t="s">
        <v>224</v>
      </c>
      <c r="C92" s="116">
        <v>38849</v>
      </c>
      <c r="D92" s="129" t="s">
        <v>187</v>
      </c>
      <c r="E92" s="129" t="s">
        <v>66</v>
      </c>
      <c r="F92" s="254">
        <v>354</v>
      </c>
      <c r="G92" s="195">
        <v>118</v>
      </c>
    </row>
    <row r="93" spans="1:7" ht="15">
      <c r="A93" s="193">
        <v>90</v>
      </c>
      <c r="B93" s="249" t="s">
        <v>288</v>
      </c>
      <c r="C93" s="119">
        <v>38982</v>
      </c>
      <c r="D93" s="128" t="s">
        <v>64</v>
      </c>
      <c r="E93" s="129" t="s">
        <v>289</v>
      </c>
      <c r="F93" s="261">
        <v>156</v>
      </c>
      <c r="G93" s="198">
        <v>52</v>
      </c>
    </row>
    <row r="94" spans="1:7" ht="15">
      <c r="A94" s="190">
        <v>91</v>
      </c>
      <c r="B94" s="147" t="s">
        <v>176</v>
      </c>
      <c r="C94" s="116">
        <v>38961</v>
      </c>
      <c r="D94" s="127" t="s">
        <v>56</v>
      </c>
      <c r="E94" s="126" t="s">
        <v>71</v>
      </c>
      <c r="F94" s="254">
        <v>349</v>
      </c>
      <c r="G94" s="195">
        <v>84</v>
      </c>
    </row>
    <row r="95" spans="1:7" ht="15">
      <c r="A95" s="193">
        <v>92</v>
      </c>
      <c r="B95" s="148" t="s">
        <v>130</v>
      </c>
      <c r="C95" s="151">
        <v>39059</v>
      </c>
      <c r="D95" s="146" t="s">
        <v>58</v>
      </c>
      <c r="E95" s="146" t="s">
        <v>131</v>
      </c>
      <c r="F95" s="259">
        <v>10528</v>
      </c>
      <c r="G95" s="157">
        <v>2058</v>
      </c>
    </row>
    <row r="96" spans="1:7" ht="15">
      <c r="A96" s="190">
        <v>93</v>
      </c>
      <c r="B96" s="181" t="s">
        <v>130</v>
      </c>
      <c r="C96" s="117">
        <v>39059</v>
      </c>
      <c r="D96" s="177" t="s">
        <v>58</v>
      </c>
      <c r="E96" s="177" t="s">
        <v>131</v>
      </c>
      <c r="F96" s="252">
        <v>5718</v>
      </c>
      <c r="G96" s="196">
        <v>1187</v>
      </c>
    </row>
    <row r="97" spans="1:7" ht="15">
      <c r="A97" s="193">
        <v>94</v>
      </c>
      <c r="B97" s="149" t="s">
        <v>130</v>
      </c>
      <c r="C97" s="117">
        <v>39059</v>
      </c>
      <c r="D97" s="128" t="s">
        <v>58</v>
      </c>
      <c r="E97" s="128" t="s">
        <v>131</v>
      </c>
      <c r="F97" s="252">
        <v>2752.5</v>
      </c>
      <c r="G97" s="196">
        <v>997</v>
      </c>
    </row>
    <row r="98" spans="1:7" ht="15">
      <c r="A98" s="193">
        <v>95</v>
      </c>
      <c r="B98" s="149" t="s">
        <v>130</v>
      </c>
      <c r="C98" s="117">
        <v>39059</v>
      </c>
      <c r="D98" s="128" t="s">
        <v>58</v>
      </c>
      <c r="E98" s="128" t="s">
        <v>131</v>
      </c>
      <c r="F98" s="252">
        <v>2645</v>
      </c>
      <c r="G98" s="196">
        <v>552</v>
      </c>
    </row>
    <row r="99" spans="1:7" ht="15">
      <c r="A99" s="190">
        <v>96</v>
      </c>
      <c r="B99" s="299" t="s">
        <v>130</v>
      </c>
      <c r="C99" s="151">
        <v>39059</v>
      </c>
      <c r="D99" s="283" t="s">
        <v>58</v>
      </c>
      <c r="E99" s="283" t="s">
        <v>131</v>
      </c>
      <c r="F99" s="259">
        <v>299</v>
      </c>
      <c r="G99" s="157">
        <v>67</v>
      </c>
    </row>
    <row r="100" spans="1:7" ht="15">
      <c r="A100" s="193">
        <v>97</v>
      </c>
      <c r="B100" s="249" t="s">
        <v>130</v>
      </c>
      <c r="C100" s="117">
        <v>39059</v>
      </c>
      <c r="D100" s="128" t="s">
        <v>12</v>
      </c>
      <c r="E100" s="128" t="s">
        <v>131</v>
      </c>
      <c r="F100" s="252">
        <v>297</v>
      </c>
      <c r="G100" s="196">
        <v>64</v>
      </c>
    </row>
    <row r="101" spans="1:7" ht="15">
      <c r="A101" s="190">
        <v>98</v>
      </c>
      <c r="B101" s="248" t="s">
        <v>290</v>
      </c>
      <c r="C101" s="116">
        <v>39048</v>
      </c>
      <c r="D101" s="127" t="s">
        <v>56</v>
      </c>
      <c r="E101" s="126" t="s">
        <v>11</v>
      </c>
      <c r="F101" s="254">
        <v>191667</v>
      </c>
      <c r="G101" s="195">
        <v>20779</v>
      </c>
    </row>
    <row r="102" spans="1:7" ht="15">
      <c r="A102" s="193">
        <v>99</v>
      </c>
      <c r="B102" s="248" t="s">
        <v>290</v>
      </c>
      <c r="C102" s="116">
        <v>39048</v>
      </c>
      <c r="D102" s="127" t="s">
        <v>56</v>
      </c>
      <c r="E102" s="126" t="s">
        <v>11</v>
      </c>
      <c r="F102" s="254">
        <v>99293</v>
      </c>
      <c r="G102" s="195">
        <v>11789</v>
      </c>
    </row>
    <row r="103" spans="1:7" ht="15">
      <c r="A103" s="193">
        <v>100</v>
      </c>
      <c r="B103" s="248" t="s">
        <v>290</v>
      </c>
      <c r="C103" s="116">
        <v>39048</v>
      </c>
      <c r="D103" s="178" t="s">
        <v>56</v>
      </c>
      <c r="E103" s="178" t="s">
        <v>11</v>
      </c>
      <c r="F103" s="254">
        <v>24707</v>
      </c>
      <c r="G103" s="195">
        <v>4942</v>
      </c>
    </row>
    <row r="104" spans="1:7" ht="15">
      <c r="A104" s="190">
        <v>101</v>
      </c>
      <c r="B104" s="248" t="s">
        <v>290</v>
      </c>
      <c r="C104" s="116">
        <v>39048</v>
      </c>
      <c r="D104" s="127" t="s">
        <v>56</v>
      </c>
      <c r="E104" s="126" t="s">
        <v>11</v>
      </c>
      <c r="F104" s="258">
        <v>23989</v>
      </c>
      <c r="G104" s="156">
        <v>4418</v>
      </c>
    </row>
    <row r="105" spans="1:7" ht="15">
      <c r="A105" s="193">
        <v>102</v>
      </c>
      <c r="B105" s="248" t="s">
        <v>290</v>
      </c>
      <c r="C105" s="116">
        <v>39048</v>
      </c>
      <c r="D105" s="127" t="s">
        <v>56</v>
      </c>
      <c r="E105" s="126" t="s">
        <v>11</v>
      </c>
      <c r="F105" s="254">
        <v>13479</v>
      </c>
      <c r="G105" s="195">
        <v>2620</v>
      </c>
    </row>
    <row r="106" spans="1:7" ht="15">
      <c r="A106" s="190">
        <v>103</v>
      </c>
      <c r="B106" s="248" t="s">
        <v>290</v>
      </c>
      <c r="C106" s="116">
        <v>39048</v>
      </c>
      <c r="D106" s="281" t="s">
        <v>56</v>
      </c>
      <c r="E106" s="282" t="s">
        <v>11</v>
      </c>
      <c r="F106" s="294">
        <v>2752</v>
      </c>
      <c r="G106" s="195">
        <v>553</v>
      </c>
    </row>
    <row r="107" spans="1:7" ht="15">
      <c r="A107" s="193">
        <v>104</v>
      </c>
      <c r="B107" s="248" t="s">
        <v>290</v>
      </c>
      <c r="C107" s="116">
        <v>39048</v>
      </c>
      <c r="D107" s="127" t="s">
        <v>56</v>
      </c>
      <c r="E107" s="126" t="s">
        <v>11</v>
      </c>
      <c r="F107" s="254">
        <v>875</v>
      </c>
      <c r="G107" s="195">
        <v>136</v>
      </c>
    </row>
    <row r="108" spans="1:7" ht="15">
      <c r="A108" s="193">
        <v>105</v>
      </c>
      <c r="B108" s="148" t="s">
        <v>21</v>
      </c>
      <c r="C108" s="151">
        <v>38996</v>
      </c>
      <c r="D108" s="146" t="s">
        <v>58</v>
      </c>
      <c r="E108" s="146" t="s">
        <v>59</v>
      </c>
      <c r="F108" s="259">
        <v>3021</v>
      </c>
      <c r="G108" s="157">
        <v>605</v>
      </c>
    </row>
    <row r="109" spans="1:7" ht="15">
      <c r="A109" s="190">
        <v>106</v>
      </c>
      <c r="B109" s="148" t="s">
        <v>75</v>
      </c>
      <c r="C109" s="151">
        <v>39045</v>
      </c>
      <c r="D109" s="146" t="s">
        <v>58</v>
      </c>
      <c r="E109" s="146" t="s">
        <v>76</v>
      </c>
      <c r="F109" s="259">
        <v>386155</v>
      </c>
      <c r="G109" s="157">
        <v>61261</v>
      </c>
    </row>
    <row r="110" spans="1:7" ht="15">
      <c r="A110" s="193">
        <v>107</v>
      </c>
      <c r="B110" s="181" t="s">
        <v>75</v>
      </c>
      <c r="C110" s="117">
        <v>39045</v>
      </c>
      <c r="D110" s="177" t="s">
        <v>58</v>
      </c>
      <c r="E110" s="177" t="s">
        <v>76</v>
      </c>
      <c r="F110" s="252">
        <v>185586</v>
      </c>
      <c r="G110" s="196">
        <v>32646</v>
      </c>
    </row>
    <row r="111" spans="1:7" ht="15">
      <c r="A111" s="190">
        <v>108</v>
      </c>
      <c r="B111" s="149" t="s">
        <v>75</v>
      </c>
      <c r="C111" s="117">
        <v>39045</v>
      </c>
      <c r="D111" s="128" t="s">
        <v>58</v>
      </c>
      <c r="E111" s="128" t="s">
        <v>76</v>
      </c>
      <c r="F111" s="252">
        <v>78557</v>
      </c>
      <c r="G111" s="196">
        <v>14471</v>
      </c>
    </row>
    <row r="112" spans="1:7" ht="15">
      <c r="A112" s="193">
        <v>109</v>
      </c>
      <c r="B112" s="249" t="s">
        <v>75</v>
      </c>
      <c r="C112" s="117">
        <v>39045</v>
      </c>
      <c r="D112" s="128" t="s">
        <v>58</v>
      </c>
      <c r="E112" s="128" t="s">
        <v>76</v>
      </c>
      <c r="F112" s="252">
        <v>38487.5</v>
      </c>
      <c r="G112" s="196">
        <v>9345</v>
      </c>
    </row>
    <row r="113" spans="1:7" ht="15">
      <c r="A113" s="193">
        <v>110</v>
      </c>
      <c r="B113" s="149" t="s">
        <v>75</v>
      </c>
      <c r="C113" s="117">
        <v>39045</v>
      </c>
      <c r="D113" s="128" t="s">
        <v>58</v>
      </c>
      <c r="E113" s="128" t="s">
        <v>76</v>
      </c>
      <c r="F113" s="252">
        <v>19951.5</v>
      </c>
      <c r="G113" s="196">
        <v>4644</v>
      </c>
    </row>
    <row r="114" spans="1:7" ht="15">
      <c r="A114" s="190">
        <v>111</v>
      </c>
      <c r="B114" s="148" t="s">
        <v>75</v>
      </c>
      <c r="C114" s="151">
        <v>39045</v>
      </c>
      <c r="D114" s="283" t="s">
        <v>58</v>
      </c>
      <c r="E114" s="282" t="s">
        <v>76</v>
      </c>
      <c r="F114" s="259">
        <v>9203</v>
      </c>
      <c r="G114" s="157">
        <v>1591</v>
      </c>
    </row>
    <row r="115" spans="1:7" ht="15">
      <c r="A115" s="193">
        <v>112</v>
      </c>
      <c r="B115" s="149" t="s">
        <v>75</v>
      </c>
      <c r="C115" s="117">
        <v>39045</v>
      </c>
      <c r="D115" s="291" t="s">
        <v>58</v>
      </c>
      <c r="E115" s="291" t="s">
        <v>76</v>
      </c>
      <c r="F115" s="293">
        <v>2435</v>
      </c>
      <c r="G115" s="196">
        <v>487</v>
      </c>
    </row>
    <row r="116" spans="1:7" ht="15">
      <c r="A116" s="190">
        <v>113</v>
      </c>
      <c r="B116" s="249" t="s">
        <v>75</v>
      </c>
      <c r="C116" s="117">
        <v>39045</v>
      </c>
      <c r="D116" s="128" t="s">
        <v>58</v>
      </c>
      <c r="E116" s="128" t="s">
        <v>76</v>
      </c>
      <c r="F116" s="257">
        <v>2267.5</v>
      </c>
      <c r="G116" s="196">
        <v>561</v>
      </c>
    </row>
    <row r="117" spans="1:7" ht="15">
      <c r="A117" s="193">
        <v>114</v>
      </c>
      <c r="B117" s="299" t="s">
        <v>75</v>
      </c>
      <c r="C117" s="151">
        <v>39045</v>
      </c>
      <c r="D117" s="283" t="s">
        <v>58</v>
      </c>
      <c r="E117" s="283" t="s">
        <v>76</v>
      </c>
      <c r="F117" s="259">
        <v>1210</v>
      </c>
      <c r="G117" s="157">
        <v>300</v>
      </c>
    </row>
    <row r="118" spans="1:7" ht="15">
      <c r="A118" s="193">
        <v>115</v>
      </c>
      <c r="B118" s="249" t="s">
        <v>75</v>
      </c>
      <c r="C118" s="117">
        <v>39045</v>
      </c>
      <c r="D118" s="128" t="s">
        <v>12</v>
      </c>
      <c r="E118" s="128" t="s">
        <v>76</v>
      </c>
      <c r="F118" s="252">
        <v>836</v>
      </c>
      <c r="G118" s="196">
        <v>161</v>
      </c>
    </row>
    <row r="119" spans="1:7" ht="15">
      <c r="A119" s="190">
        <v>116</v>
      </c>
      <c r="B119" s="149" t="s">
        <v>216</v>
      </c>
      <c r="C119" s="117">
        <v>38072</v>
      </c>
      <c r="D119" s="129" t="s">
        <v>217</v>
      </c>
      <c r="E119" s="129" t="s">
        <v>218</v>
      </c>
      <c r="F119" s="252">
        <v>354</v>
      </c>
      <c r="G119" s="196">
        <v>118</v>
      </c>
    </row>
    <row r="120" spans="1:7" ht="15">
      <c r="A120" s="193">
        <v>117</v>
      </c>
      <c r="B120" s="180" t="s">
        <v>123</v>
      </c>
      <c r="C120" s="116">
        <v>39066</v>
      </c>
      <c r="D120" s="127" t="s">
        <v>56</v>
      </c>
      <c r="E120" s="126" t="s">
        <v>69</v>
      </c>
      <c r="F120" s="258">
        <v>1057112</v>
      </c>
      <c r="G120" s="156">
        <v>151061</v>
      </c>
    </row>
    <row r="121" spans="1:7" ht="15">
      <c r="A121" s="190">
        <v>118</v>
      </c>
      <c r="B121" s="180" t="s">
        <v>123</v>
      </c>
      <c r="C121" s="116">
        <v>39066</v>
      </c>
      <c r="D121" s="178" t="s">
        <v>56</v>
      </c>
      <c r="E121" s="178" t="s">
        <v>69</v>
      </c>
      <c r="F121" s="254">
        <f>222438-23</f>
        <v>222415</v>
      </c>
      <c r="G121" s="195">
        <v>33037</v>
      </c>
    </row>
    <row r="122" spans="1:7" ht="15">
      <c r="A122" s="193">
        <v>119</v>
      </c>
      <c r="B122" s="147" t="s">
        <v>123</v>
      </c>
      <c r="C122" s="116">
        <v>39066</v>
      </c>
      <c r="D122" s="127" t="s">
        <v>56</v>
      </c>
      <c r="E122" s="126" t="s">
        <v>69</v>
      </c>
      <c r="F122" s="254">
        <v>32518</v>
      </c>
      <c r="G122" s="195">
        <v>6240</v>
      </c>
    </row>
    <row r="123" spans="1:7" ht="15">
      <c r="A123" s="193">
        <v>120</v>
      </c>
      <c r="B123" s="180" t="s">
        <v>123</v>
      </c>
      <c r="C123" s="116">
        <v>39066</v>
      </c>
      <c r="D123" s="127" t="s">
        <v>56</v>
      </c>
      <c r="E123" s="126" t="s">
        <v>69</v>
      </c>
      <c r="F123" s="254">
        <v>14705</v>
      </c>
      <c r="G123" s="195">
        <v>4042</v>
      </c>
    </row>
    <row r="124" spans="1:7" ht="15">
      <c r="A124" s="190">
        <v>121</v>
      </c>
      <c r="B124" s="147" t="s">
        <v>123</v>
      </c>
      <c r="C124" s="116">
        <v>39066</v>
      </c>
      <c r="D124" s="127" t="s">
        <v>56</v>
      </c>
      <c r="E124" s="126" t="s">
        <v>69</v>
      </c>
      <c r="F124" s="254">
        <v>6718</v>
      </c>
      <c r="G124" s="195">
        <v>1655</v>
      </c>
    </row>
    <row r="125" spans="1:7" ht="15">
      <c r="A125" s="193">
        <v>122</v>
      </c>
      <c r="B125" s="248" t="s">
        <v>123</v>
      </c>
      <c r="C125" s="116">
        <v>39066</v>
      </c>
      <c r="D125" s="127" t="s">
        <v>56</v>
      </c>
      <c r="E125" s="126" t="s">
        <v>69</v>
      </c>
      <c r="F125" s="258">
        <v>2937</v>
      </c>
      <c r="G125" s="195">
        <v>674</v>
      </c>
    </row>
    <row r="126" spans="1:7" ht="15">
      <c r="A126" s="190">
        <v>123</v>
      </c>
      <c r="B126" s="147" t="s">
        <v>123</v>
      </c>
      <c r="C126" s="116">
        <v>39066</v>
      </c>
      <c r="D126" s="281" t="s">
        <v>56</v>
      </c>
      <c r="E126" s="282" t="s">
        <v>69</v>
      </c>
      <c r="F126" s="294">
        <v>2701</v>
      </c>
      <c r="G126" s="195">
        <v>740</v>
      </c>
    </row>
    <row r="127" spans="1:7" ht="15">
      <c r="A127" s="193">
        <v>124</v>
      </c>
      <c r="B127" s="248" t="s">
        <v>123</v>
      </c>
      <c r="C127" s="116">
        <v>39066</v>
      </c>
      <c r="D127" s="281" t="s">
        <v>56</v>
      </c>
      <c r="E127" s="282" t="s">
        <v>69</v>
      </c>
      <c r="F127" s="258">
        <v>2526</v>
      </c>
      <c r="G127" s="156">
        <v>706</v>
      </c>
    </row>
    <row r="128" spans="1:7" ht="15">
      <c r="A128" s="193">
        <v>125</v>
      </c>
      <c r="B128" s="147" t="s">
        <v>123</v>
      </c>
      <c r="C128" s="116">
        <v>39066</v>
      </c>
      <c r="D128" s="281" t="s">
        <v>56</v>
      </c>
      <c r="E128" s="282" t="s">
        <v>69</v>
      </c>
      <c r="F128" s="258">
        <v>500</v>
      </c>
      <c r="G128" s="156">
        <v>92</v>
      </c>
    </row>
    <row r="129" spans="1:7" ht="15">
      <c r="A129" s="190">
        <v>126</v>
      </c>
      <c r="B129" s="248" t="s">
        <v>123</v>
      </c>
      <c r="C129" s="116">
        <v>39066</v>
      </c>
      <c r="D129" s="127" t="s">
        <v>56</v>
      </c>
      <c r="E129" s="126" t="s">
        <v>69</v>
      </c>
      <c r="F129" s="254">
        <v>346</v>
      </c>
      <c r="G129" s="195">
        <v>65</v>
      </c>
    </row>
    <row r="130" spans="1:7" ht="15">
      <c r="A130" s="193">
        <v>127</v>
      </c>
      <c r="B130" s="248" t="s">
        <v>123</v>
      </c>
      <c r="C130" s="116">
        <v>39066</v>
      </c>
      <c r="D130" s="127" t="s">
        <v>56</v>
      </c>
      <c r="E130" s="126" t="s">
        <v>69</v>
      </c>
      <c r="F130" s="254">
        <v>252</v>
      </c>
      <c r="G130" s="195">
        <v>36</v>
      </c>
    </row>
    <row r="131" spans="1:7" ht="15">
      <c r="A131" s="190">
        <v>128</v>
      </c>
      <c r="B131" s="148" t="s">
        <v>113</v>
      </c>
      <c r="C131" s="151">
        <v>39066</v>
      </c>
      <c r="D131" s="146" t="s">
        <v>58</v>
      </c>
      <c r="E131" s="146" t="s">
        <v>59</v>
      </c>
      <c r="F131" s="259">
        <v>144826</v>
      </c>
      <c r="G131" s="157">
        <v>18766</v>
      </c>
    </row>
    <row r="132" spans="1:7" ht="15">
      <c r="A132" s="193">
        <v>129</v>
      </c>
      <c r="B132" s="181" t="s">
        <v>113</v>
      </c>
      <c r="C132" s="117">
        <v>39066</v>
      </c>
      <c r="D132" s="177" t="s">
        <v>58</v>
      </c>
      <c r="E132" s="177" t="s">
        <v>59</v>
      </c>
      <c r="F132" s="252">
        <v>34457</v>
      </c>
      <c r="G132" s="196">
        <v>4967</v>
      </c>
    </row>
    <row r="133" spans="1:7" ht="15">
      <c r="A133" s="193">
        <v>130</v>
      </c>
      <c r="B133" s="149" t="s">
        <v>113</v>
      </c>
      <c r="C133" s="117">
        <v>39066</v>
      </c>
      <c r="D133" s="128" t="s">
        <v>58</v>
      </c>
      <c r="E133" s="128" t="s">
        <v>59</v>
      </c>
      <c r="F133" s="252">
        <v>11124</v>
      </c>
      <c r="G133" s="196">
        <v>1852</v>
      </c>
    </row>
    <row r="134" spans="1:7" ht="15">
      <c r="A134" s="190">
        <v>131</v>
      </c>
      <c r="B134" s="149" t="s">
        <v>113</v>
      </c>
      <c r="C134" s="117">
        <v>39066</v>
      </c>
      <c r="D134" s="128" t="s">
        <v>58</v>
      </c>
      <c r="E134" s="128" t="s">
        <v>59</v>
      </c>
      <c r="F134" s="252">
        <v>6963</v>
      </c>
      <c r="G134" s="196">
        <v>1244</v>
      </c>
    </row>
    <row r="135" spans="1:7" ht="15">
      <c r="A135" s="193">
        <v>132</v>
      </c>
      <c r="B135" s="249" t="s">
        <v>113</v>
      </c>
      <c r="C135" s="117">
        <v>39066</v>
      </c>
      <c r="D135" s="128" t="s">
        <v>58</v>
      </c>
      <c r="E135" s="128" t="s">
        <v>59</v>
      </c>
      <c r="F135" s="252">
        <v>4855</v>
      </c>
      <c r="G135" s="196">
        <v>788</v>
      </c>
    </row>
    <row r="136" spans="1:7" ht="15">
      <c r="A136" s="190">
        <v>133</v>
      </c>
      <c r="B136" s="148" t="s">
        <v>113</v>
      </c>
      <c r="C136" s="151">
        <v>39066</v>
      </c>
      <c r="D136" s="283" t="s">
        <v>58</v>
      </c>
      <c r="E136" s="282" t="s">
        <v>59</v>
      </c>
      <c r="F136" s="259">
        <v>4250</v>
      </c>
      <c r="G136" s="157">
        <v>551</v>
      </c>
    </row>
    <row r="137" spans="1:7" ht="15">
      <c r="A137" s="193">
        <v>134</v>
      </c>
      <c r="B137" s="149" t="s">
        <v>113</v>
      </c>
      <c r="C137" s="117">
        <v>39066</v>
      </c>
      <c r="D137" s="291" t="s">
        <v>58</v>
      </c>
      <c r="E137" s="291" t="s">
        <v>59</v>
      </c>
      <c r="F137" s="293">
        <v>4097</v>
      </c>
      <c r="G137" s="196">
        <v>838</v>
      </c>
    </row>
    <row r="138" spans="1:7" ht="15">
      <c r="A138" s="193">
        <v>135</v>
      </c>
      <c r="B138" s="299" t="s">
        <v>113</v>
      </c>
      <c r="C138" s="151">
        <v>39066</v>
      </c>
      <c r="D138" s="283" t="s">
        <v>58</v>
      </c>
      <c r="E138" s="283" t="s">
        <v>59</v>
      </c>
      <c r="F138" s="259">
        <v>1477</v>
      </c>
      <c r="G138" s="157">
        <v>305</v>
      </c>
    </row>
    <row r="139" spans="1:7" ht="15">
      <c r="A139" s="190">
        <v>136</v>
      </c>
      <c r="B139" s="249" t="s">
        <v>113</v>
      </c>
      <c r="C139" s="117">
        <v>39066</v>
      </c>
      <c r="D139" s="128" t="s">
        <v>58</v>
      </c>
      <c r="E139" s="128" t="s">
        <v>59</v>
      </c>
      <c r="F139" s="257">
        <v>1425</v>
      </c>
      <c r="G139" s="196">
        <v>168</v>
      </c>
    </row>
    <row r="140" spans="1:7" ht="15">
      <c r="A140" s="193">
        <v>137</v>
      </c>
      <c r="B140" s="249" t="s">
        <v>113</v>
      </c>
      <c r="C140" s="117">
        <v>39066</v>
      </c>
      <c r="D140" s="128" t="s">
        <v>12</v>
      </c>
      <c r="E140" s="128" t="s">
        <v>59</v>
      </c>
      <c r="F140" s="252">
        <v>76</v>
      </c>
      <c r="G140" s="196">
        <v>19</v>
      </c>
    </row>
    <row r="141" spans="1:7" ht="15">
      <c r="A141" s="190">
        <v>138</v>
      </c>
      <c r="B141" s="250" t="s">
        <v>196</v>
      </c>
      <c r="C141" s="117">
        <v>38863</v>
      </c>
      <c r="D141" s="132" t="s">
        <v>23</v>
      </c>
      <c r="E141" s="131" t="s">
        <v>13</v>
      </c>
      <c r="F141" s="252">
        <v>952</v>
      </c>
      <c r="G141" s="196">
        <v>238</v>
      </c>
    </row>
    <row r="142" spans="1:7" ht="15">
      <c r="A142" s="193">
        <v>139</v>
      </c>
      <c r="B142" s="250" t="s">
        <v>196</v>
      </c>
      <c r="C142" s="117">
        <v>38863</v>
      </c>
      <c r="D142" s="132" t="s">
        <v>23</v>
      </c>
      <c r="E142" s="131" t="s">
        <v>13</v>
      </c>
      <c r="F142" s="257">
        <v>353.6</v>
      </c>
      <c r="G142" s="196">
        <v>221</v>
      </c>
    </row>
    <row r="143" spans="1:7" ht="15">
      <c r="A143" s="193">
        <v>140</v>
      </c>
      <c r="B143" s="249" t="s">
        <v>132</v>
      </c>
      <c r="C143" s="117">
        <v>39024</v>
      </c>
      <c r="D143" s="128" t="s">
        <v>58</v>
      </c>
      <c r="E143" s="128" t="s">
        <v>33</v>
      </c>
      <c r="F143" s="257">
        <v>5313</v>
      </c>
      <c r="G143" s="196">
        <v>1142</v>
      </c>
    </row>
    <row r="144" spans="1:7" ht="15">
      <c r="A144" s="190">
        <v>141</v>
      </c>
      <c r="B144" s="181" t="s">
        <v>132</v>
      </c>
      <c r="C144" s="117">
        <v>39024</v>
      </c>
      <c r="D144" s="177" t="s">
        <v>58</v>
      </c>
      <c r="E144" s="177" t="s">
        <v>33</v>
      </c>
      <c r="F144" s="252">
        <v>2927</v>
      </c>
      <c r="G144" s="196">
        <v>723</v>
      </c>
    </row>
    <row r="145" spans="1:7" ht="15">
      <c r="A145" s="193">
        <v>142</v>
      </c>
      <c r="B145" s="148" t="s">
        <v>132</v>
      </c>
      <c r="C145" s="151">
        <v>39024</v>
      </c>
      <c r="D145" s="283" t="s">
        <v>58</v>
      </c>
      <c r="E145" s="282" t="s">
        <v>33</v>
      </c>
      <c r="F145" s="259">
        <v>1928</v>
      </c>
      <c r="G145" s="157">
        <v>386</v>
      </c>
    </row>
    <row r="146" spans="1:7" ht="15">
      <c r="A146" s="190">
        <v>143</v>
      </c>
      <c r="B146" s="148" t="s">
        <v>132</v>
      </c>
      <c r="C146" s="151">
        <v>39024</v>
      </c>
      <c r="D146" s="146" t="s">
        <v>58</v>
      </c>
      <c r="E146" s="146" t="s">
        <v>33</v>
      </c>
      <c r="F146" s="259">
        <v>1598</v>
      </c>
      <c r="G146" s="157">
        <v>301</v>
      </c>
    </row>
    <row r="147" spans="1:7" ht="15">
      <c r="A147" s="193">
        <v>144</v>
      </c>
      <c r="B147" s="149" t="s">
        <v>132</v>
      </c>
      <c r="C147" s="117">
        <v>39024</v>
      </c>
      <c r="D147" s="128" t="s">
        <v>58</v>
      </c>
      <c r="E147" s="128" t="s">
        <v>33</v>
      </c>
      <c r="F147" s="252">
        <v>1432</v>
      </c>
      <c r="G147" s="196">
        <v>434</v>
      </c>
    </row>
    <row r="148" spans="1:7" ht="15">
      <c r="A148" s="193">
        <v>145</v>
      </c>
      <c r="B148" s="249" t="s">
        <v>132</v>
      </c>
      <c r="C148" s="117">
        <v>39024</v>
      </c>
      <c r="D148" s="128" t="s">
        <v>58</v>
      </c>
      <c r="E148" s="128" t="s">
        <v>33</v>
      </c>
      <c r="F148" s="252">
        <v>1198</v>
      </c>
      <c r="G148" s="196">
        <v>255</v>
      </c>
    </row>
    <row r="149" spans="1:7" ht="15">
      <c r="A149" s="190">
        <v>146</v>
      </c>
      <c r="B149" s="149" t="s">
        <v>132</v>
      </c>
      <c r="C149" s="117">
        <v>39024</v>
      </c>
      <c r="D149" s="128" t="s">
        <v>58</v>
      </c>
      <c r="E149" s="128" t="s">
        <v>33</v>
      </c>
      <c r="F149" s="252">
        <v>1126</v>
      </c>
      <c r="G149" s="196">
        <v>363</v>
      </c>
    </row>
    <row r="150" spans="1:7" ht="15">
      <c r="A150" s="193">
        <v>147</v>
      </c>
      <c r="B150" s="148" t="s">
        <v>126</v>
      </c>
      <c r="C150" s="151">
        <v>39073</v>
      </c>
      <c r="D150" s="146" t="s">
        <v>58</v>
      </c>
      <c r="E150" s="146" t="s">
        <v>58</v>
      </c>
      <c r="F150" s="259">
        <v>996891</v>
      </c>
      <c r="G150" s="157">
        <v>140459</v>
      </c>
    </row>
    <row r="151" spans="1:7" ht="15">
      <c r="A151" s="190">
        <v>148</v>
      </c>
      <c r="B151" s="181" t="s">
        <v>126</v>
      </c>
      <c r="C151" s="117">
        <v>39073</v>
      </c>
      <c r="D151" s="177" t="s">
        <v>58</v>
      </c>
      <c r="E151" s="177" t="s">
        <v>58</v>
      </c>
      <c r="F151" s="252">
        <v>491242.5</v>
      </c>
      <c r="G151" s="196">
        <v>66355</v>
      </c>
    </row>
    <row r="152" spans="1:7" ht="15">
      <c r="A152" s="193">
        <v>149</v>
      </c>
      <c r="B152" s="149" t="s">
        <v>126</v>
      </c>
      <c r="C152" s="117">
        <v>39073</v>
      </c>
      <c r="D152" s="128" t="s">
        <v>58</v>
      </c>
      <c r="E152" s="128" t="s">
        <v>58</v>
      </c>
      <c r="F152" s="252">
        <v>184490.5</v>
      </c>
      <c r="G152" s="196">
        <v>26647</v>
      </c>
    </row>
    <row r="153" spans="1:7" ht="15">
      <c r="A153" s="193">
        <v>150</v>
      </c>
      <c r="B153" s="249" t="s">
        <v>126</v>
      </c>
      <c r="C153" s="117">
        <v>39073</v>
      </c>
      <c r="D153" s="128" t="s">
        <v>58</v>
      </c>
      <c r="E153" s="128" t="s">
        <v>58</v>
      </c>
      <c r="F153" s="252">
        <v>82961.5</v>
      </c>
      <c r="G153" s="196">
        <v>26647</v>
      </c>
    </row>
    <row r="154" spans="1:7" ht="15">
      <c r="A154" s="190">
        <v>151</v>
      </c>
      <c r="B154" s="148" t="s">
        <v>126</v>
      </c>
      <c r="C154" s="151">
        <v>39073</v>
      </c>
      <c r="D154" s="283" t="s">
        <v>58</v>
      </c>
      <c r="E154" s="282" t="s">
        <v>58</v>
      </c>
      <c r="F154" s="259">
        <v>24501.5</v>
      </c>
      <c r="G154" s="157">
        <v>4854</v>
      </c>
    </row>
    <row r="155" spans="1:7" ht="15">
      <c r="A155" s="193">
        <v>152</v>
      </c>
      <c r="B155" s="149" t="s">
        <v>126</v>
      </c>
      <c r="C155" s="117">
        <v>39073</v>
      </c>
      <c r="D155" s="128" t="s">
        <v>58</v>
      </c>
      <c r="E155" s="128" t="s">
        <v>58</v>
      </c>
      <c r="F155" s="252">
        <v>17956.5</v>
      </c>
      <c r="G155" s="196">
        <v>3232</v>
      </c>
    </row>
    <row r="156" spans="1:7" ht="15">
      <c r="A156" s="190">
        <v>153</v>
      </c>
      <c r="B156" s="149" t="s">
        <v>126</v>
      </c>
      <c r="C156" s="117">
        <v>39073</v>
      </c>
      <c r="D156" s="291" t="s">
        <v>58</v>
      </c>
      <c r="E156" s="291" t="s">
        <v>58</v>
      </c>
      <c r="F156" s="293">
        <v>8405</v>
      </c>
      <c r="G156" s="196">
        <v>1984</v>
      </c>
    </row>
    <row r="157" spans="1:7" ht="15">
      <c r="A157" s="193">
        <v>154</v>
      </c>
      <c r="B157" s="249" t="s">
        <v>126</v>
      </c>
      <c r="C157" s="117">
        <v>39073</v>
      </c>
      <c r="D157" s="128" t="s">
        <v>58</v>
      </c>
      <c r="E157" s="128" t="s">
        <v>58</v>
      </c>
      <c r="F157" s="252">
        <v>3378.5</v>
      </c>
      <c r="G157" s="196">
        <v>1198</v>
      </c>
    </row>
    <row r="158" spans="1:7" ht="15">
      <c r="A158" s="193">
        <v>155</v>
      </c>
      <c r="B158" s="249" t="s">
        <v>126</v>
      </c>
      <c r="C158" s="117">
        <v>39073</v>
      </c>
      <c r="D158" s="128" t="s">
        <v>58</v>
      </c>
      <c r="E158" s="128" t="s">
        <v>58</v>
      </c>
      <c r="F158" s="257">
        <v>2380</v>
      </c>
      <c r="G158" s="196">
        <v>430</v>
      </c>
    </row>
    <row r="159" spans="1:7" ht="15">
      <c r="A159" s="190">
        <v>156</v>
      </c>
      <c r="B159" s="249" t="s">
        <v>126</v>
      </c>
      <c r="C159" s="117">
        <v>39073</v>
      </c>
      <c r="D159" s="128" t="s">
        <v>12</v>
      </c>
      <c r="E159" s="128" t="s">
        <v>58</v>
      </c>
      <c r="F159" s="252">
        <v>848</v>
      </c>
      <c r="G159" s="196">
        <v>350</v>
      </c>
    </row>
    <row r="160" spans="1:7" ht="15">
      <c r="A160" s="193">
        <v>157</v>
      </c>
      <c r="B160" s="150" t="s">
        <v>222</v>
      </c>
      <c r="C160" s="117">
        <v>38779</v>
      </c>
      <c r="D160" s="132" t="s">
        <v>23</v>
      </c>
      <c r="E160" s="131" t="s">
        <v>223</v>
      </c>
      <c r="F160" s="252">
        <v>952</v>
      </c>
      <c r="G160" s="196">
        <v>238</v>
      </c>
    </row>
    <row r="161" spans="1:7" ht="15">
      <c r="A161" s="190">
        <v>158</v>
      </c>
      <c r="B161" s="147" t="s">
        <v>160</v>
      </c>
      <c r="C161" s="116">
        <v>38933</v>
      </c>
      <c r="D161" s="126" t="s">
        <v>48</v>
      </c>
      <c r="E161" s="126" t="s">
        <v>62</v>
      </c>
      <c r="F161" s="255">
        <v>1785</v>
      </c>
      <c r="G161" s="197">
        <v>255</v>
      </c>
    </row>
    <row r="162" spans="1:7" ht="15">
      <c r="A162" s="193">
        <v>159</v>
      </c>
      <c r="B162" s="180" t="s">
        <v>160</v>
      </c>
      <c r="C162" s="116">
        <v>38933</v>
      </c>
      <c r="D162" s="178" t="s">
        <v>48</v>
      </c>
      <c r="E162" s="178" t="s">
        <v>62</v>
      </c>
      <c r="F162" s="255">
        <v>598</v>
      </c>
      <c r="G162" s="197">
        <v>119</v>
      </c>
    </row>
    <row r="163" spans="1:7" ht="15">
      <c r="A163" s="193">
        <v>160</v>
      </c>
      <c r="B163" s="147" t="s">
        <v>78</v>
      </c>
      <c r="C163" s="116">
        <v>39059</v>
      </c>
      <c r="D163" s="127" t="s">
        <v>56</v>
      </c>
      <c r="E163" s="126" t="s">
        <v>11</v>
      </c>
      <c r="F163" s="254">
        <v>1910</v>
      </c>
      <c r="G163" s="195">
        <v>284</v>
      </c>
    </row>
    <row r="164" spans="1:7" ht="15">
      <c r="A164" s="190">
        <v>161</v>
      </c>
      <c r="B164" s="147" t="s">
        <v>78</v>
      </c>
      <c r="C164" s="116">
        <v>39059</v>
      </c>
      <c r="D164" s="127" t="s">
        <v>56</v>
      </c>
      <c r="E164" s="126" t="s">
        <v>11</v>
      </c>
      <c r="F164" s="258">
        <v>1109</v>
      </c>
      <c r="G164" s="156">
        <v>168</v>
      </c>
    </row>
    <row r="165" spans="1:7" ht="15">
      <c r="A165" s="193">
        <v>162</v>
      </c>
      <c r="B165" s="180" t="s">
        <v>78</v>
      </c>
      <c r="C165" s="116">
        <v>39059</v>
      </c>
      <c r="D165" s="178" t="s">
        <v>56</v>
      </c>
      <c r="E165" s="178" t="s">
        <v>11</v>
      </c>
      <c r="F165" s="254">
        <v>911</v>
      </c>
      <c r="G165" s="195">
        <v>163</v>
      </c>
    </row>
    <row r="166" spans="1:7" ht="15">
      <c r="A166" s="190">
        <v>163</v>
      </c>
      <c r="B166" s="248" t="s">
        <v>78</v>
      </c>
      <c r="C166" s="116">
        <v>39059</v>
      </c>
      <c r="D166" s="127" t="s">
        <v>56</v>
      </c>
      <c r="E166" s="126" t="s">
        <v>11</v>
      </c>
      <c r="F166" s="254">
        <v>492</v>
      </c>
      <c r="G166" s="195">
        <v>70</v>
      </c>
    </row>
    <row r="167" spans="1:7" ht="15">
      <c r="A167" s="193">
        <v>164</v>
      </c>
      <c r="B167" s="248" t="s">
        <v>78</v>
      </c>
      <c r="C167" s="116">
        <v>39059</v>
      </c>
      <c r="D167" s="127" t="s">
        <v>56</v>
      </c>
      <c r="E167" s="126" t="s">
        <v>11</v>
      </c>
      <c r="F167" s="258">
        <v>190</v>
      </c>
      <c r="G167" s="195">
        <v>38</v>
      </c>
    </row>
    <row r="168" spans="1:7" ht="15">
      <c r="A168" s="193">
        <v>165</v>
      </c>
      <c r="B168" s="148" t="s">
        <v>112</v>
      </c>
      <c r="C168" s="151">
        <v>39066</v>
      </c>
      <c r="D168" s="128" t="s">
        <v>57</v>
      </c>
      <c r="E168" s="146" t="s">
        <v>65</v>
      </c>
      <c r="F168" s="259">
        <v>464996</v>
      </c>
      <c r="G168" s="157">
        <v>59280</v>
      </c>
    </row>
    <row r="169" spans="1:7" ht="15">
      <c r="A169" s="190">
        <v>166</v>
      </c>
      <c r="B169" s="181" t="s">
        <v>112</v>
      </c>
      <c r="C169" s="117">
        <v>39066</v>
      </c>
      <c r="D169" s="177" t="s">
        <v>57</v>
      </c>
      <c r="E169" s="177" t="s">
        <v>65</v>
      </c>
      <c r="F169" s="252">
        <v>113805</v>
      </c>
      <c r="G169" s="196">
        <v>17354</v>
      </c>
    </row>
    <row r="170" spans="1:7" ht="15">
      <c r="A170" s="193">
        <v>167</v>
      </c>
      <c r="B170" s="149" t="s">
        <v>112</v>
      </c>
      <c r="C170" s="117">
        <v>39066</v>
      </c>
      <c r="D170" s="128" t="s">
        <v>57</v>
      </c>
      <c r="E170" s="128" t="s">
        <v>65</v>
      </c>
      <c r="F170" s="252">
        <v>53915</v>
      </c>
      <c r="G170" s="196">
        <v>10777</v>
      </c>
    </row>
    <row r="171" spans="1:7" ht="15">
      <c r="A171" s="190">
        <v>168</v>
      </c>
      <c r="B171" s="249" t="s">
        <v>112</v>
      </c>
      <c r="C171" s="117">
        <v>39066</v>
      </c>
      <c r="D171" s="128" t="s">
        <v>57</v>
      </c>
      <c r="E171" s="128" t="s">
        <v>65</v>
      </c>
      <c r="F171" s="252">
        <v>25324</v>
      </c>
      <c r="G171" s="196">
        <v>4706</v>
      </c>
    </row>
    <row r="172" spans="1:7" ht="15">
      <c r="A172" s="193">
        <v>169</v>
      </c>
      <c r="B172" s="249" t="s">
        <v>112</v>
      </c>
      <c r="C172" s="117">
        <v>39066</v>
      </c>
      <c r="D172" s="128" t="s">
        <v>57</v>
      </c>
      <c r="E172" s="128" t="s">
        <v>65</v>
      </c>
      <c r="F172" s="257">
        <v>18828</v>
      </c>
      <c r="G172" s="196">
        <v>3600</v>
      </c>
    </row>
    <row r="173" spans="1:7" ht="15">
      <c r="A173" s="193">
        <v>170</v>
      </c>
      <c r="B173" s="149" t="s">
        <v>112</v>
      </c>
      <c r="C173" s="117">
        <v>39066</v>
      </c>
      <c r="D173" s="128" t="s">
        <v>57</v>
      </c>
      <c r="E173" s="128" t="s">
        <v>65</v>
      </c>
      <c r="F173" s="252">
        <v>13632</v>
      </c>
      <c r="G173" s="196">
        <v>2800</v>
      </c>
    </row>
    <row r="174" spans="1:7" ht="15">
      <c r="A174" s="190">
        <v>171</v>
      </c>
      <c r="B174" s="148" t="s">
        <v>112</v>
      </c>
      <c r="C174" s="151">
        <v>39066</v>
      </c>
      <c r="D174" s="283" t="s">
        <v>57</v>
      </c>
      <c r="E174" s="283" t="s">
        <v>65</v>
      </c>
      <c r="F174" s="259">
        <v>7655</v>
      </c>
      <c r="G174" s="157">
        <v>1253</v>
      </c>
    </row>
    <row r="175" spans="1:7" ht="15">
      <c r="A175" s="193">
        <v>172</v>
      </c>
      <c r="B175" s="149" t="s">
        <v>112</v>
      </c>
      <c r="C175" s="117">
        <v>39066</v>
      </c>
      <c r="D175" s="291" t="s">
        <v>57</v>
      </c>
      <c r="E175" s="291" t="s">
        <v>65</v>
      </c>
      <c r="F175" s="293">
        <v>1899</v>
      </c>
      <c r="G175" s="196">
        <v>287</v>
      </c>
    </row>
    <row r="176" spans="1:7" ht="15">
      <c r="A176" s="190">
        <v>173</v>
      </c>
      <c r="B176" s="249" t="s">
        <v>112</v>
      </c>
      <c r="C176" s="117">
        <v>39073</v>
      </c>
      <c r="D176" s="128" t="s">
        <v>57</v>
      </c>
      <c r="E176" s="128" t="s">
        <v>63</v>
      </c>
      <c r="F176" s="252">
        <v>1004</v>
      </c>
      <c r="G176" s="196">
        <v>160</v>
      </c>
    </row>
    <row r="177" spans="1:7" ht="15">
      <c r="A177" s="193">
        <v>174</v>
      </c>
      <c r="B177" s="299" t="s">
        <v>112</v>
      </c>
      <c r="C177" s="151">
        <v>39066</v>
      </c>
      <c r="D177" s="283" t="s">
        <v>57</v>
      </c>
      <c r="E177" s="283" t="s">
        <v>65</v>
      </c>
      <c r="F177" s="259">
        <v>482</v>
      </c>
      <c r="G177" s="157">
        <v>91</v>
      </c>
    </row>
    <row r="178" spans="1:7" ht="15">
      <c r="A178" s="193">
        <v>175</v>
      </c>
      <c r="B178" s="249" t="s">
        <v>112</v>
      </c>
      <c r="C178" s="117">
        <v>39073</v>
      </c>
      <c r="D178" s="128" t="s">
        <v>57</v>
      </c>
      <c r="E178" s="128" t="s">
        <v>63</v>
      </c>
      <c r="F178" s="252">
        <v>74</v>
      </c>
      <c r="G178" s="196">
        <v>11</v>
      </c>
    </row>
    <row r="179" spans="1:7" ht="15">
      <c r="A179" s="190">
        <v>176</v>
      </c>
      <c r="B179" s="150" t="s">
        <v>87</v>
      </c>
      <c r="C179" s="117">
        <v>38898</v>
      </c>
      <c r="D179" s="132" t="s">
        <v>23</v>
      </c>
      <c r="E179" s="131" t="s">
        <v>163</v>
      </c>
      <c r="F179" s="257">
        <v>1068</v>
      </c>
      <c r="G179" s="159">
        <v>356</v>
      </c>
    </row>
    <row r="180" spans="1:7" ht="15">
      <c r="A180" s="193">
        <v>177</v>
      </c>
      <c r="B180" s="150" t="s">
        <v>87</v>
      </c>
      <c r="C180" s="117">
        <v>38898</v>
      </c>
      <c r="D180" s="132" t="s">
        <v>23</v>
      </c>
      <c r="E180" s="131" t="s">
        <v>163</v>
      </c>
      <c r="F180" s="252">
        <v>454.3</v>
      </c>
      <c r="G180" s="196">
        <v>278</v>
      </c>
    </row>
    <row r="181" spans="1:7" ht="15">
      <c r="A181" s="190">
        <v>178</v>
      </c>
      <c r="B181" s="150" t="s">
        <v>87</v>
      </c>
      <c r="C181" s="117">
        <v>38898</v>
      </c>
      <c r="D181" s="132" t="s">
        <v>23</v>
      </c>
      <c r="E181" s="131" t="s">
        <v>163</v>
      </c>
      <c r="F181" s="252">
        <v>400</v>
      </c>
      <c r="G181" s="196">
        <v>80</v>
      </c>
    </row>
    <row r="182" spans="1:7" ht="15">
      <c r="A182" s="193">
        <v>179</v>
      </c>
      <c r="B182" s="181" t="s">
        <v>87</v>
      </c>
      <c r="C182" s="117">
        <v>38898</v>
      </c>
      <c r="D182" s="177" t="s">
        <v>23</v>
      </c>
      <c r="E182" s="177" t="s">
        <v>163</v>
      </c>
      <c r="F182" s="252">
        <v>30.5</v>
      </c>
      <c r="G182" s="196">
        <v>12</v>
      </c>
    </row>
    <row r="183" spans="1:7" ht="15">
      <c r="A183" s="193">
        <v>180</v>
      </c>
      <c r="B183" s="299" t="s">
        <v>15</v>
      </c>
      <c r="C183" s="151">
        <v>38947</v>
      </c>
      <c r="D183" s="283" t="s">
        <v>58</v>
      </c>
      <c r="E183" s="283" t="s">
        <v>59</v>
      </c>
      <c r="F183" s="259">
        <v>28400</v>
      </c>
      <c r="G183" s="157">
        <v>5667</v>
      </c>
    </row>
    <row r="184" spans="1:7" ht="15">
      <c r="A184" s="190">
        <v>181</v>
      </c>
      <c r="B184" s="148" t="s">
        <v>15</v>
      </c>
      <c r="C184" s="151">
        <v>38947</v>
      </c>
      <c r="D184" s="146" t="s">
        <v>58</v>
      </c>
      <c r="E184" s="146" t="s">
        <v>59</v>
      </c>
      <c r="F184" s="259">
        <v>1386</v>
      </c>
      <c r="G184" s="157">
        <v>318</v>
      </c>
    </row>
    <row r="185" spans="1:7" ht="15">
      <c r="A185" s="193">
        <v>182</v>
      </c>
      <c r="B185" s="181" t="s">
        <v>15</v>
      </c>
      <c r="C185" s="117">
        <v>38947</v>
      </c>
      <c r="D185" s="177" t="s">
        <v>58</v>
      </c>
      <c r="E185" s="177" t="s">
        <v>59</v>
      </c>
      <c r="F185" s="252">
        <v>611</v>
      </c>
      <c r="G185" s="196">
        <v>132</v>
      </c>
    </row>
    <row r="186" spans="1:7" ht="15">
      <c r="A186" s="190">
        <v>183</v>
      </c>
      <c r="B186" s="149" t="s">
        <v>15</v>
      </c>
      <c r="C186" s="117">
        <v>38947</v>
      </c>
      <c r="D186" s="291" t="s">
        <v>58</v>
      </c>
      <c r="E186" s="291" t="s">
        <v>59</v>
      </c>
      <c r="F186" s="293">
        <v>530</v>
      </c>
      <c r="G186" s="196">
        <v>105</v>
      </c>
    </row>
    <row r="187" spans="1:7" ht="15">
      <c r="A187" s="193">
        <v>184</v>
      </c>
      <c r="B187" s="249" t="s">
        <v>15</v>
      </c>
      <c r="C187" s="117">
        <v>38947</v>
      </c>
      <c r="D187" s="128" t="s">
        <v>12</v>
      </c>
      <c r="E187" s="128" t="s">
        <v>59</v>
      </c>
      <c r="F187" s="252">
        <v>130</v>
      </c>
      <c r="G187" s="196">
        <v>18</v>
      </c>
    </row>
    <row r="188" spans="1:7" ht="15">
      <c r="A188" s="193">
        <v>185</v>
      </c>
      <c r="B188" s="251" t="s">
        <v>286</v>
      </c>
      <c r="C188" s="116">
        <v>38464</v>
      </c>
      <c r="D188" s="129" t="s">
        <v>46</v>
      </c>
      <c r="E188" s="129" t="s">
        <v>287</v>
      </c>
      <c r="F188" s="254">
        <v>5346</v>
      </c>
      <c r="G188" s="195">
        <v>1782</v>
      </c>
    </row>
    <row r="189" spans="1:7" ht="15">
      <c r="A189" s="190">
        <v>186</v>
      </c>
      <c r="B189" s="148" t="s">
        <v>36</v>
      </c>
      <c r="C189" s="151">
        <v>39031</v>
      </c>
      <c r="D189" s="146" t="s">
        <v>58</v>
      </c>
      <c r="E189" s="146" t="s">
        <v>59</v>
      </c>
      <c r="F189" s="259">
        <v>3021</v>
      </c>
      <c r="G189" s="157">
        <v>605</v>
      </c>
    </row>
    <row r="190" spans="1:7" ht="15">
      <c r="A190" s="193">
        <v>187</v>
      </c>
      <c r="B190" s="149" t="s">
        <v>36</v>
      </c>
      <c r="C190" s="117">
        <v>39031</v>
      </c>
      <c r="D190" s="128" t="s">
        <v>58</v>
      </c>
      <c r="E190" s="128" t="s">
        <v>59</v>
      </c>
      <c r="F190" s="252">
        <v>858</v>
      </c>
      <c r="G190" s="196">
        <v>170</v>
      </c>
    </row>
    <row r="191" spans="1:7" ht="15">
      <c r="A191" s="190">
        <v>188</v>
      </c>
      <c r="B191" s="250" t="s">
        <v>197</v>
      </c>
      <c r="C191" s="117">
        <v>38779</v>
      </c>
      <c r="D191" s="132" t="s">
        <v>23</v>
      </c>
      <c r="E191" s="131" t="s">
        <v>198</v>
      </c>
      <c r="F191" s="252">
        <v>952</v>
      </c>
      <c r="G191" s="196">
        <v>238</v>
      </c>
    </row>
    <row r="192" spans="1:7" ht="15">
      <c r="A192" s="193">
        <v>189</v>
      </c>
      <c r="B192" s="147" t="s">
        <v>91</v>
      </c>
      <c r="C192" s="116">
        <v>39010</v>
      </c>
      <c r="D192" s="127" t="s">
        <v>56</v>
      </c>
      <c r="E192" s="126" t="s">
        <v>71</v>
      </c>
      <c r="F192" s="258">
        <v>1876</v>
      </c>
      <c r="G192" s="156">
        <v>410</v>
      </c>
    </row>
    <row r="193" spans="1:7" ht="15">
      <c r="A193" s="193">
        <v>190</v>
      </c>
      <c r="B193" s="180" t="s">
        <v>91</v>
      </c>
      <c r="C193" s="116">
        <v>39010</v>
      </c>
      <c r="D193" s="178" t="s">
        <v>56</v>
      </c>
      <c r="E193" s="178" t="s">
        <v>71</v>
      </c>
      <c r="F193" s="254">
        <v>582</v>
      </c>
      <c r="G193" s="195">
        <v>86</v>
      </c>
    </row>
    <row r="194" spans="1:7" ht="15">
      <c r="A194" s="190">
        <v>191</v>
      </c>
      <c r="B194" s="147" t="s">
        <v>91</v>
      </c>
      <c r="C194" s="116">
        <v>39010</v>
      </c>
      <c r="D194" s="127" t="s">
        <v>56</v>
      </c>
      <c r="E194" s="126" t="s">
        <v>71</v>
      </c>
      <c r="F194" s="254">
        <v>267</v>
      </c>
      <c r="G194" s="195">
        <v>37</v>
      </c>
    </row>
    <row r="195" spans="1:7" ht="15">
      <c r="A195" s="193">
        <v>192</v>
      </c>
      <c r="B195" s="181" t="s">
        <v>43</v>
      </c>
      <c r="C195" s="117">
        <v>39038</v>
      </c>
      <c r="D195" s="177" t="s">
        <v>57</v>
      </c>
      <c r="E195" s="177" t="s">
        <v>71</v>
      </c>
      <c r="F195" s="252">
        <v>2705</v>
      </c>
      <c r="G195" s="196">
        <v>636</v>
      </c>
    </row>
    <row r="196" spans="1:7" ht="15">
      <c r="A196" s="190">
        <v>193</v>
      </c>
      <c r="B196" s="149" t="s">
        <v>43</v>
      </c>
      <c r="C196" s="117">
        <v>39038</v>
      </c>
      <c r="D196" s="128" t="s">
        <v>57</v>
      </c>
      <c r="E196" s="128" t="s">
        <v>71</v>
      </c>
      <c r="F196" s="252">
        <v>746</v>
      </c>
      <c r="G196" s="196">
        <v>319</v>
      </c>
    </row>
    <row r="197" spans="1:7" ht="15">
      <c r="A197" s="193">
        <v>194</v>
      </c>
      <c r="B197" s="148" t="s">
        <v>43</v>
      </c>
      <c r="C197" s="151">
        <v>39038</v>
      </c>
      <c r="D197" s="128" t="s">
        <v>57</v>
      </c>
      <c r="E197" s="146" t="s">
        <v>71</v>
      </c>
      <c r="F197" s="259">
        <v>197</v>
      </c>
      <c r="G197" s="157">
        <v>24</v>
      </c>
    </row>
    <row r="198" spans="1:7" ht="15">
      <c r="A198" s="193">
        <v>195</v>
      </c>
      <c r="B198" s="249" t="s">
        <v>77</v>
      </c>
      <c r="C198" s="117">
        <v>39045</v>
      </c>
      <c r="D198" s="128" t="s">
        <v>58</v>
      </c>
      <c r="E198" s="128" t="s">
        <v>39</v>
      </c>
      <c r="F198" s="252">
        <v>29071.5</v>
      </c>
      <c r="G198" s="196">
        <v>5809</v>
      </c>
    </row>
    <row r="199" spans="1:7" ht="15">
      <c r="A199" s="190">
        <v>196</v>
      </c>
      <c r="B199" s="148" t="s">
        <v>77</v>
      </c>
      <c r="C199" s="151">
        <v>39045</v>
      </c>
      <c r="D199" s="146" t="s">
        <v>58</v>
      </c>
      <c r="E199" s="146" t="s">
        <v>39</v>
      </c>
      <c r="F199" s="259">
        <v>17062</v>
      </c>
      <c r="G199" s="157">
        <v>3367</v>
      </c>
    </row>
    <row r="200" spans="1:7" ht="15">
      <c r="A200" s="193">
        <v>197</v>
      </c>
      <c r="B200" s="181" t="s">
        <v>77</v>
      </c>
      <c r="C200" s="117">
        <v>39045</v>
      </c>
      <c r="D200" s="177" t="s">
        <v>58</v>
      </c>
      <c r="E200" s="177" t="s">
        <v>39</v>
      </c>
      <c r="F200" s="252">
        <v>5450</v>
      </c>
      <c r="G200" s="196">
        <v>985</v>
      </c>
    </row>
    <row r="201" spans="1:7" ht="15">
      <c r="A201" s="190">
        <v>198</v>
      </c>
      <c r="B201" s="149" t="s">
        <v>77</v>
      </c>
      <c r="C201" s="117">
        <v>39045</v>
      </c>
      <c r="D201" s="128" t="s">
        <v>58</v>
      </c>
      <c r="E201" s="128" t="s">
        <v>39</v>
      </c>
      <c r="F201" s="252">
        <v>5150</v>
      </c>
      <c r="G201" s="196">
        <v>717</v>
      </c>
    </row>
    <row r="202" spans="1:7" ht="15">
      <c r="A202" s="193">
        <v>199</v>
      </c>
      <c r="B202" s="148" t="s">
        <v>77</v>
      </c>
      <c r="C202" s="151">
        <v>39045</v>
      </c>
      <c r="D202" s="283" t="s">
        <v>58</v>
      </c>
      <c r="E202" s="282" t="s">
        <v>39</v>
      </c>
      <c r="F202" s="259">
        <v>2038</v>
      </c>
      <c r="G202" s="157">
        <v>401</v>
      </c>
    </row>
    <row r="203" spans="1:7" ht="15">
      <c r="A203" s="193">
        <v>200</v>
      </c>
      <c r="B203" s="149" t="s">
        <v>77</v>
      </c>
      <c r="C203" s="117">
        <v>39045</v>
      </c>
      <c r="D203" s="128" t="s">
        <v>58</v>
      </c>
      <c r="E203" s="128" t="s">
        <v>39</v>
      </c>
      <c r="F203" s="252">
        <v>960</v>
      </c>
      <c r="G203" s="196">
        <v>240</v>
      </c>
    </row>
    <row r="204" spans="1:7" ht="15">
      <c r="A204" s="190">
        <v>201</v>
      </c>
      <c r="B204" s="149" t="s">
        <v>77</v>
      </c>
      <c r="C204" s="117">
        <v>39045</v>
      </c>
      <c r="D204" s="291" t="s">
        <v>58</v>
      </c>
      <c r="E204" s="291" t="s">
        <v>39</v>
      </c>
      <c r="F204" s="293">
        <v>657</v>
      </c>
      <c r="G204" s="196">
        <v>144</v>
      </c>
    </row>
    <row r="205" spans="1:7" ht="15">
      <c r="A205" s="193">
        <v>202</v>
      </c>
      <c r="B205" s="251" t="s">
        <v>96</v>
      </c>
      <c r="C205" s="116">
        <v>39010</v>
      </c>
      <c r="D205" s="129" t="s">
        <v>45</v>
      </c>
      <c r="E205" s="129" t="s">
        <v>97</v>
      </c>
      <c r="F205" s="258">
        <v>37033.5</v>
      </c>
      <c r="G205" s="195">
        <v>5902</v>
      </c>
    </row>
    <row r="206" spans="1:7" ht="15">
      <c r="A206" s="190">
        <v>203</v>
      </c>
      <c r="B206" s="145" t="s">
        <v>96</v>
      </c>
      <c r="C206" s="116">
        <v>39010</v>
      </c>
      <c r="D206" s="129" t="s">
        <v>45</v>
      </c>
      <c r="E206" s="129" t="s">
        <v>97</v>
      </c>
      <c r="F206" s="254">
        <v>2834</v>
      </c>
      <c r="G206" s="195">
        <v>949</v>
      </c>
    </row>
    <row r="207" spans="1:7" ht="15">
      <c r="A207" s="193">
        <v>204</v>
      </c>
      <c r="B207" s="145" t="s">
        <v>96</v>
      </c>
      <c r="C207" s="116">
        <v>39010</v>
      </c>
      <c r="D207" s="129" t="s">
        <v>45</v>
      </c>
      <c r="E207" s="129" t="s">
        <v>97</v>
      </c>
      <c r="F207" s="258">
        <v>2245.5</v>
      </c>
      <c r="G207" s="156">
        <v>312</v>
      </c>
    </row>
    <row r="208" spans="1:7" ht="15">
      <c r="A208" s="193">
        <v>205</v>
      </c>
      <c r="B208" s="180" t="s">
        <v>96</v>
      </c>
      <c r="C208" s="116">
        <v>39010</v>
      </c>
      <c r="D208" s="178" t="s">
        <v>45</v>
      </c>
      <c r="E208" s="178" t="s">
        <v>97</v>
      </c>
      <c r="F208" s="254">
        <v>1320</v>
      </c>
      <c r="G208" s="195">
        <v>175</v>
      </c>
    </row>
    <row r="209" spans="1:7" ht="15">
      <c r="A209" s="190">
        <v>206</v>
      </c>
      <c r="B209" s="145" t="s">
        <v>96</v>
      </c>
      <c r="C209" s="116">
        <v>39010</v>
      </c>
      <c r="D209" s="129" t="s">
        <v>45</v>
      </c>
      <c r="E209" s="129" t="s">
        <v>97</v>
      </c>
      <c r="F209" s="254">
        <v>528</v>
      </c>
      <c r="G209" s="195">
        <v>80</v>
      </c>
    </row>
    <row r="210" spans="1:7" ht="15">
      <c r="A210" s="193">
        <v>207</v>
      </c>
      <c r="B210" s="251" t="s">
        <v>96</v>
      </c>
      <c r="C210" s="116">
        <v>39010</v>
      </c>
      <c r="D210" s="129" t="s">
        <v>45</v>
      </c>
      <c r="E210" s="129" t="s">
        <v>97</v>
      </c>
      <c r="F210" s="254">
        <v>224</v>
      </c>
      <c r="G210" s="195">
        <v>30</v>
      </c>
    </row>
    <row r="211" spans="1:7" ht="15">
      <c r="A211" s="190">
        <v>208</v>
      </c>
      <c r="B211" s="147" t="s">
        <v>52</v>
      </c>
      <c r="C211" s="116">
        <v>38800</v>
      </c>
      <c r="D211" s="126" t="s">
        <v>48</v>
      </c>
      <c r="E211" s="126" t="s">
        <v>70</v>
      </c>
      <c r="F211" s="260">
        <v>551</v>
      </c>
      <c r="G211" s="158">
        <v>90</v>
      </c>
    </row>
    <row r="212" spans="1:7" ht="15">
      <c r="A212" s="193">
        <v>209</v>
      </c>
      <c r="B212" s="248" t="s">
        <v>199</v>
      </c>
      <c r="C212" s="116">
        <v>38618</v>
      </c>
      <c r="D212" s="126" t="s">
        <v>48</v>
      </c>
      <c r="E212" s="126" t="s">
        <v>200</v>
      </c>
      <c r="F212" s="255">
        <v>1188</v>
      </c>
      <c r="G212" s="197">
        <v>396</v>
      </c>
    </row>
    <row r="213" spans="1:7" ht="15">
      <c r="A213" s="193">
        <v>210</v>
      </c>
      <c r="B213" s="250" t="s">
        <v>83</v>
      </c>
      <c r="C213" s="117">
        <v>38877</v>
      </c>
      <c r="D213" s="132" t="s">
        <v>23</v>
      </c>
      <c r="E213" s="131" t="s">
        <v>27</v>
      </c>
      <c r="F213" s="252">
        <v>5364.5</v>
      </c>
      <c r="G213" s="196">
        <v>1324</v>
      </c>
    </row>
    <row r="214" spans="1:7" ht="15">
      <c r="A214" s="190">
        <v>211</v>
      </c>
      <c r="B214" s="150" t="s">
        <v>83</v>
      </c>
      <c r="C214" s="117">
        <v>38877</v>
      </c>
      <c r="D214" s="132" t="s">
        <v>23</v>
      </c>
      <c r="E214" s="131" t="s">
        <v>27</v>
      </c>
      <c r="F214" s="252">
        <v>1105</v>
      </c>
      <c r="G214" s="196">
        <v>285</v>
      </c>
    </row>
    <row r="215" spans="1:7" ht="15">
      <c r="A215" s="193">
        <v>212</v>
      </c>
      <c r="B215" s="250" t="s">
        <v>83</v>
      </c>
      <c r="C215" s="117">
        <v>38877</v>
      </c>
      <c r="D215" s="132" t="s">
        <v>23</v>
      </c>
      <c r="E215" s="131" t="s">
        <v>27</v>
      </c>
      <c r="F215" s="252">
        <v>914</v>
      </c>
      <c r="G215" s="196">
        <v>239</v>
      </c>
    </row>
    <row r="216" spans="1:7" ht="15">
      <c r="A216" s="190">
        <v>213</v>
      </c>
      <c r="B216" s="181" t="s">
        <v>83</v>
      </c>
      <c r="C216" s="117">
        <v>38877</v>
      </c>
      <c r="D216" s="177" t="s">
        <v>23</v>
      </c>
      <c r="E216" s="177" t="s">
        <v>27</v>
      </c>
      <c r="F216" s="252">
        <v>755</v>
      </c>
      <c r="G216" s="196">
        <v>140</v>
      </c>
    </row>
    <row r="217" spans="1:7" ht="15">
      <c r="A217" s="193">
        <v>214</v>
      </c>
      <c r="B217" s="150" t="s">
        <v>83</v>
      </c>
      <c r="C217" s="117">
        <v>38877</v>
      </c>
      <c r="D217" s="132" t="s">
        <v>23</v>
      </c>
      <c r="E217" s="131" t="s">
        <v>27</v>
      </c>
      <c r="F217" s="257">
        <v>160</v>
      </c>
      <c r="G217" s="159">
        <v>16</v>
      </c>
    </row>
    <row r="218" spans="1:7" ht="15">
      <c r="A218" s="193">
        <v>215</v>
      </c>
      <c r="B218" s="149" t="s">
        <v>257</v>
      </c>
      <c r="C218" s="117">
        <v>38821</v>
      </c>
      <c r="D218" s="291" t="s">
        <v>58</v>
      </c>
      <c r="E218" s="291" t="s">
        <v>59</v>
      </c>
      <c r="F218" s="293">
        <v>610</v>
      </c>
      <c r="G218" s="196">
        <v>116</v>
      </c>
    </row>
    <row r="219" spans="1:7" ht="15">
      <c r="A219" s="190">
        <v>216</v>
      </c>
      <c r="B219" s="149" t="s">
        <v>212</v>
      </c>
      <c r="C219" s="117">
        <v>37589</v>
      </c>
      <c r="D219" s="129" t="s">
        <v>46</v>
      </c>
      <c r="E219" s="129" t="s">
        <v>213</v>
      </c>
      <c r="F219" s="252">
        <v>354</v>
      </c>
      <c r="G219" s="196">
        <v>118</v>
      </c>
    </row>
    <row r="220" spans="1:7" ht="15">
      <c r="A220" s="193">
        <v>217</v>
      </c>
      <c r="B220" s="249" t="s">
        <v>201</v>
      </c>
      <c r="C220" s="117">
        <v>38982</v>
      </c>
      <c r="D220" s="128" t="s">
        <v>58</v>
      </c>
      <c r="E220" s="128" t="s">
        <v>202</v>
      </c>
      <c r="F220" s="252">
        <v>330</v>
      </c>
      <c r="G220" s="196">
        <v>66</v>
      </c>
    </row>
    <row r="221" spans="1:7" ht="15">
      <c r="A221" s="190">
        <v>218</v>
      </c>
      <c r="B221" s="147" t="s">
        <v>129</v>
      </c>
      <c r="C221" s="116">
        <v>39038</v>
      </c>
      <c r="D221" s="126" t="s">
        <v>48</v>
      </c>
      <c r="E221" s="126" t="s">
        <v>42</v>
      </c>
      <c r="F221" s="260">
        <v>19312</v>
      </c>
      <c r="G221" s="158">
        <v>3691</v>
      </c>
    </row>
    <row r="222" spans="1:7" ht="15">
      <c r="A222" s="193">
        <v>219</v>
      </c>
      <c r="B222" s="180" t="s">
        <v>129</v>
      </c>
      <c r="C222" s="116">
        <v>39038</v>
      </c>
      <c r="D222" s="178" t="s">
        <v>48</v>
      </c>
      <c r="E222" s="178" t="s">
        <v>42</v>
      </c>
      <c r="F222" s="255">
        <v>9417</v>
      </c>
      <c r="G222" s="197">
        <v>2021</v>
      </c>
    </row>
    <row r="223" spans="1:7" ht="15">
      <c r="A223" s="193">
        <v>220</v>
      </c>
      <c r="B223" s="147" t="s">
        <v>129</v>
      </c>
      <c r="C223" s="116">
        <v>39038</v>
      </c>
      <c r="D223" s="126" t="s">
        <v>48</v>
      </c>
      <c r="E223" s="126" t="s">
        <v>42</v>
      </c>
      <c r="F223" s="255">
        <v>8894</v>
      </c>
      <c r="G223" s="197">
        <v>1715</v>
      </c>
    </row>
    <row r="224" spans="1:7" ht="15">
      <c r="A224" s="190">
        <v>221</v>
      </c>
      <c r="B224" s="248" t="s">
        <v>129</v>
      </c>
      <c r="C224" s="116">
        <v>39038</v>
      </c>
      <c r="D224" s="126" t="s">
        <v>48</v>
      </c>
      <c r="E224" s="126" t="s">
        <v>42</v>
      </c>
      <c r="F224" s="255">
        <v>3218.5</v>
      </c>
      <c r="G224" s="197">
        <v>562</v>
      </c>
    </row>
    <row r="225" spans="1:7" ht="15">
      <c r="A225" s="193">
        <v>222</v>
      </c>
      <c r="B225" s="147" t="s">
        <v>129</v>
      </c>
      <c r="C225" s="116">
        <v>39038</v>
      </c>
      <c r="D225" s="126" t="s">
        <v>48</v>
      </c>
      <c r="E225" s="126" t="s">
        <v>42</v>
      </c>
      <c r="F225" s="255">
        <v>825</v>
      </c>
      <c r="G225" s="197">
        <v>165</v>
      </c>
    </row>
    <row r="226" spans="1:7" ht="15">
      <c r="A226" s="190">
        <v>223</v>
      </c>
      <c r="B226" s="249" t="s">
        <v>335</v>
      </c>
      <c r="C226" s="119">
        <v>38828</v>
      </c>
      <c r="D226" s="128" t="s">
        <v>64</v>
      </c>
      <c r="E226" s="129" t="s">
        <v>336</v>
      </c>
      <c r="F226" s="261">
        <v>949</v>
      </c>
      <c r="G226" s="198">
        <v>190</v>
      </c>
    </row>
    <row r="227" spans="1:7" ht="15">
      <c r="A227" s="193">
        <v>224</v>
      </c>
      <c r="B227" s="250" t="s">
        <v>232</v>
      </c>
      <c r="C227" s="117">
        <v>38814</v>
      </c>
      <c r="D227" s="132" t="s">
        <v>23</v>
      </c>
      <c r="E227" s="131" t="s">
        <v>195</v>
      </c>
      <c r="F227" s="257">
        <v>4276</v>
      </c>
      <c r="G227" s="196">
        <v>1069</v>
      </c>
    </row>
    <row r="228" spans="1:7" ht="15">
      <c r="A228" s="193">
        <v>225</v>
      </c>
      <c r="B228" s="181" t="s">
        <v>154</v>
      </c>
      <c r="C228" s="117">
        <v>39038</v>
      </c>
      <c r="D228" s="177" t="s">
        <v>58</v>
      </c>
      <c r="E228" s="177" t="s">
        <v>155</v>
      </c>
      <c r="F228" s="252">
        <v>2427</v>
      </c>
      <c r="G228" s="196">
        <v>457</v>
      </c>
    </row>
    <row r="229" spans="1:7" ht="15">
      <c r="A229" s="190">
        <v>226</v>
      </c>
      <c r="B229" s="149" t="s">
        <v>154</v>
      </c>
      <c r="C229" s="117">
        <v>39038</v>
      </c>
      <c r="D229" s="291" t="s">
        <v>58</v>
      </c>
      <c r="E229" s="291" t="s">
        <v>251</v>
      </c>
      <c r="F229" s="293">
        <v>1802</v>
      </c>
      <c r="G229" s="196">
        <v>212</v>
      </c>
    </row>
    <row r="230" spans="1:7" ht="15">
      <c r="A230" s="193">
        <v>227</v>
      </c>
      <c r="B230" s="149" t="s">
        <v>154</v>
      </c>
      <c r="C230" s="117">
        <v>39038</v>
      </c>
      <c r="D230" s="128" t="s">
        <v>58</v>
      </c>
      <c r="E230" s="128" t="s">
        <v>155</v>
      </c>
      <c r="F230" s="252">
        <v>1511</v>
      </c>
      <c r="G230" s="196">
        <v>303</v>
      </c>
    </row>
    <row r="231" spans="1:7" ht="15">
      <c r="A231" s="190">
        <v>228</v>
      </c>
      <c r="B231" s="148" t="s">
        <v>154</v>
      </c>
      <c r="C231" s="151">
        <v>39038</v>
      </c>
      <c r="D231" s="283" t="s">
        <v>58</v>
      </c>
      <c r="E231" s="282" t="s">
        <v>251</v>
      </c>
      <c r="F231" s="259">
        <v>1189</v>
      </c>
      <c r="G231" s="157">
        <v>238</v>
      </c>
    </row>
    <row r="232" spans="1:7" ht="15">
      <c r="A232" s="193">
        <v>229</v>
      </c>
      <c r="B232" s="149" t="s">
        <v>154</v>
      </c>
      <c r="C232" s="117">
        <v>39038</v>
      </c>
      <c r="D232" s="128" t="s">
        <v>58</v>
      </c>
      <c r="E232" s="128" t="s">
        <v>155</v>
      </c>
      <c r="F232" s="252">
        <v>460</v>
      </c>
      <c r="G232" s="196">
        <v>92</v>
      </c>
    </row>
    <row r="233" spans="1:7" ht="15">
      <c r="A233" s="193">
        <v>230</v>
      </c>
      <c r="B233" s="250" t="s">
        <v>203</v>
      </c>
      <c r="C233" s="117">
        <v>38982</v>
      </c>
      <c r="D233" s="132" t="s">
        <v>23</v>
      </c>
      <c r="E233" s="131" t="s">
        <v>204</v>
      </c>
      <c r="F233" s="252">
        <v>3560</v>
      </c>
      <c r="G233" s="196">
        <v>890</v>
      </c>
    </row>
    <row r="234" spans="1:7" ht="15">
      <c r="A234" s="190">
        <v>231</v>
      </c>
      <c r="B234" s="150" t="s">
        <v>203</v>
      </c>
      <c r="C234" s="117">
        <v>38982</v>
      </c>
      <c r="D234" s="132" t="s">
        <v>23</v>
      </c>
      <c r="E234" s="131" t="s">
        <v>204</v>
      </c>
      <c r="F234" s="252">
        <v>1780</v>
      </c>
      <c r="G234" s="196">
        <v>445</v>
      </c>
    </row>
    <row r="235" spans="1:7" ht="15">
      <c r="A235" s="193">
        <v>232</v>
      </c>
      <c r="B235" s="250" t="s">
        <v>158</v>
      </c>
      <c r="C235" s="117">
        <v>39045</v>
      </c>
      <c r="D235" s="132" t="s">
        <v>23</v>
      </c>
      <c r="E235" s="131" t="s">
        <v>159</v>
      </c>
      <c r="F235" s="257">
        <v>1068</v>
      </c>
      <c r="G235" s="196">
        <v>267</v>
      </c>
    </row>
    <row r="236" spans="1:7" ht="15">
      <c r="A236" s="190">
        <v>233</v>
      </c>
      <c r="B236" s="181" t="s">
        <v>158</v>
      </c>
      <c r="C236" s="117">
        <v>39045</v>
      </c>
      <c r="D236" s="177" t="s">
        <v>23</v>
      </c>
      <c r="E236" s="177" t="s">
        <v>159</v>
      </c>
      <c r="F236" s="252">
        <v>851.5</v>
      </c>
      <c r="G236" s="196">
        <v>142</v>
      </c>
    </row>
    <row r="237" spans="1:7" ht="15">
      <c r="A237" s="193">
        <v>234</v>
      </c>
      <c r="B237" s="150" t="s">
        <v>158</v>
      </c>
      <c r="C237" s="117">
        <v>39045</v>
      </c>
      <c r="D237" s="132" t="s">
        <v>23</v>
      </c>
      <c r="E237" s="131" t="s">
        <v>159</v>
      </c>
      <c r="F237" s="252">
        <v>290.5</v>
      </c>
      <c r="G237" s="196">
        <v>39</v>
      </c>
    </row>
    <row r="238" spans="1:7" ht="15">
      <c r="A238" s="193">
        <v>235</v>
      </c>
      <c r="B238" s="250" t="s">
        <v>158</v>
      </c>
      <c r="C238" s="117">
        <v>39045</v>
      </c>
      <c r="D238" s="132" t="s">
        <v>23</v>
      </c>
      <c r="E238" s="131" t="s">
        <v>159</v>
      </c>
      <c r="F238" s="252">
        <v>236</v>
      </c>
      <c r="G238" s="196">
        <v>97</v>
      </c>
    </row>
    <row r="239" spans="1:7" ht="15">
      <c r="A239" s="190">
        <v>236</v>
      </c>
      <c r="B239" s="150" t="s">
        <v>158</v>
      </c>
      <c r="C239" s="117">
        <v>39045</v>
      </c>
      <c r="D239" s="132" t="s">
        <v>23</v>
      </c>
      <c r="E239" s="131" t="s">
        <v>159</v>
      </c>
      <c r="F239" s="252">
        <v>176</v>
      </c>
      <c r="G239" s="196">
        <v>68</v>
      </c>
    </row>
    <row r="240" spans="1:7" ht="15">
      <c r="A240" s="193">
        <v>237</v>
      </c>
      <c r="B240" s="250" t="s">
        <v>158</v>
      </c>
      <c r="C240" s="117">
        <v>39045</v>
      </c>
      <c r="D240" s="132" t="s">
        <v>23</v>
      </c>
      <c r="E240" s="131" t="s">
        <v>159</v>
      </c>
      <c r="F240" s="252">
        <v>74</v>
      </c>
      <c r="G240" s="196">
        <v>14</v>
      </c>
    </row>
    <row r="241" spans="1:7" ht="15">
      <c r="A241" s="190">
        <v>238</v>
      </c>
      <c r="B241" s="150" t="s">
        <v>281</v>
      </c>
      <c r="C241" s="117">
        <v>39045</v>
      </c>
      <c r="D241" s="285" t="s">
        <v>23</v>
      </c>
      <c r="E241" s="286" t="s">
        <v>159</v>
      </c>
      <c r="F241" s="257">
        <v>372</v>
      </c>
      <c r="G241" s="159">
        <v>124</v>
      </c>
    </row>
    <row r="242" spans="1:7" ht="15">
      <c r="A242" s="193">
        <v>239</v>
      </c>
      <c r="B242" s="147" t="s">
        <v>122</v>
      </c>
      <c r="C242" s="116">
        <v>39073</v>
      </c>
      <c r="D242" s="126" t="s">
        <v>48</v>
      </c>
      <c r="E242" s="126" t="s">
        <v>33</v>
      </c>
      <c r="F242" s="260">
        <v>1289903.5</v>
      </c>
      <c r="G242" s="158">
        <v>169709</v>
      </c>
    </row>
    <row r="243" spans="1:7" ht="15">
      <c r="A243" s="193">
        <v>240</v>
      </c>
      <c r="B243" s="180" t="s">
        <v>122</v>
      </c>
      <c r="C243" s="116">
        <v>39073</v>
      </c>
      <c r="D243" s="178" t="s">
        <v>48</v>
      </c>
      <c r="E243" s="178" t="s">
        <v>33</v>
      </c>
      <c r="F243" s="255">
        <v>386658</v>
      </c>
      <c r="G243" s="197">
        <v>52723</v>
      </c>
    </row>
    <row r="244" spans="1:7" ht="15">
      <c r="A244" s="190">
        <v>241</v>
      </c>
      <c r="B244" s="147" t="s">
        <v>122</v>
      </c>
      <c r="C244" s="116">
        <v>39073</v>
      </c>
      <c r="D244" s="126" t="s">
        <v>48</v>
      </c>
      <c r="E244" s="126" t="s">
        <v>33</v>
      </c>
      <c r="F244" s="255">
        <v>174047.5</v>
      </c>
      <c r="G244" s="197">
        <v>26534</v>
      </c>
    </row>
    <row r="245" spans="1:7" ht="15">
      <c r="A245" s="193">
        <v>242</v>
      </c>
      <c r="B245" s="248" t="s">
        <v>122</v>
      </c>
      <c r="C245" s="116">
        <v>39073</v>
      </c>
      <c r="D245" s="126" t="s">
        <v>48</v>
      </c>
      <c r="E245" s="126" t="s">
        <v>33</v>
      </c>
      <c r="F245" s="255">
        <v>53640.5</v>
      </c>
      <c r="G245" s="197">
        <v>10972</v>
      </c>
    </row>
    <row r="246" spans="1:7" ht="15">
      <c r="A246" s="190">
        <v>243</v>
      </c>
      <c r="B246" s="147" t="s">
        <v>122</v>
      </c>
      <c r="C246" s="116">
        <v>39073</v>
      </c>
      <c r="D246" s="282" t="s">
        <v>48</v>
      </c>
      <c r="E246" s="282" t="s">
        <v>33</v>
      </c>
      <c r="F246" s="295">
        <v>19067</v>
      </c>
      <c r="G246" s="197">
        <v>3834</v>
      </c>
    </row>
    <row r="247" spans="1:7" ht="15">
      <c r="A247" s="193">
        <v>244</v>
      </c>
      <c r="B247" s="248" t="s">
        <v>122</v>
      </c>
      <c r="C247" s="116">
        <v>39073</v>
      </c>
      <c r="D247" s="282" t="s">
        <v>48</v>
      </c>
      <c r="E247" s="282" t="s">
        <v>33</v>
      </c>
      <c r="F247" s="260">
        <v>16336.5</v>
      </c>
      <c r="G247" s="158">
        <v>3779</v>
      </c>
    </row>
    <row r="248" spans="1:7" ht="15">
      <c r="A248" s="193">
        <v>245</v>
      </c>
      <c r="B248" s="248" t="s">
        <v>122</v>
      </c>
      <c r="C248" s="116">
        <v>39073</v>
      </c>
      <c r="D248" s="126" t="s">
        <v>48</v>
      </c>
      <c r="E248" s="126" t="s">
        <v>33</v>
      </c>
      <c r="F248" s="260">
        <v>13202</v>
      </c>
      <c r="G248" s="197">
        <v>2814</v>
      </c>
    </row>
    <row r="249" spans="1:7" ht="15">
      <c r="A249" s="190">
        <v>246</v>
      </c>
      <c r="B249" s="147" t="s">
        <v>122</v>
      </c>
      <c r="C249" s="116">
        <v>39073</v>
      </c>
      <c r="D249" s="126" t="s">
        <v>48</v>
      </c>
      <c r="E249" s="126" t="s">
        <v>33</v>
      </c>
      <c r="F249" s="255">
        <v>11222</v>
      </c>
      <c r="G249" s="197">
        <v>2184</v>
      </c>
    </row>
    <row r="250" spans="1:7" ht="15">
      <c r="A250" s="193">
        <v>247</v>
      </c>
      <c r="B250" s="147" t="s">
        <v>122</v>
      </c>
      <c r="C250" s="116">
        <v>39073</v>
      </c>
      <c r="D250" s="282" t="s">
        <v>48</v>
      </c>
      <c r="E250" s="282" t="s">
        <v>33</v>
      </c>
      <c r="F250" s="260">
        <v>4695</v>
      </c>
      <c r="G250" s="158">
        <v>945</v>
      </c>
    </row>
    <row r="251" spans="1:7" ht="15">
      <c r="A251" s="190">
        <v>248</v>
      </c>
      <c r="B251" s="248" t="s">
        <v>122</v>
      </c>
      <c r="C251" s="116">
        <v>39073</v>
      </c>
      <c r="D251" s="126" t="s">
        <v>48</v>
      </c>
      <c r="E251" s="126" t="s">
        <v>33</v>
      </c>
      <c r="F251" s="255">
        <v>4541</v>
      </c>
      <c r="G251" s="197">
        <v>777</v>
      </c>
    </row>
    <row r="252" spans="1:7" ht="15">
      <c r="A252" s="193">
        <v>249</v>
      </c>
      <c r="B252" s="248" t="s">
        <v>122</v>
      </c>
      <c r="C252" s="116">
        <v>39073</v>
      </c>
      <c r="D252" s="126" t="s">
        <v>48</v>
      </c>
      <c r="E252" s="126" t="s">
        <v>33</v>
      </c>
      <c r="F252" s="255">
        <v>1360</v>
      </c>
      <c r="G252" s="197">
        <v>312</v>
      </c>
    </row>
    <row r="253" spans="1:7" ht="15">
      <c r="A253" s="193">
        <v>250</v>
      </c>
      <c r="B253" s="250" t="s">
        <v>250</v>
      </c>
      <c r="C253" s="117">
        <v>38779</v>
      </c>
      <c r="D253" s="285" t="s">
        <v>23</v>
      </c>
      <c r="E253" s="286" t="s">
        <v>198</v>
      </c>
      <c r="F253" s="257">
        <v>3560</v>
      </c>
      <c r="G253" s="159">
        <v>890</v>
      </c>
    </row>
    <row r="254" spans="1:7" ht="15">
      <c r="A254" s="190">
        <v>251</v>
      </c>
      <c r="B254" s="250" t="s">
        <v>233</v>
      </c>
      <c r="C254" s="117">
        <v>38548</v>
      </c>
      <c r="D254" s="132" t="s">
        <v>23</v>
      </c>
      <c r="E254" s="131" t="s">
        <v>207</v>
      </c>
      <c r="F254" s="257">
        <v>236</v>
      </c>
      <c r="G254" s="196">
        <v>59</v>
      </c>
    </row>
    <row r="255" spans="1:7" ht="15">
      <c r="A255" s="193">
        <v>252</v>
      </c>
      <c r="B255" s="181" t="s">
        <v>153</v>
      </c>
      <c r="C255" s="117">
        <v>37246</v>
      </c>
      <c r="D255" s="178" t="s">
        <v>46</v>
      </c>
      <c r="E255" s="178" t="s">
        <v>151</v>
      </c>
      <c r="F255" s="254">
        <v>6255</v>
      </c>
      <c r="G255" s="195">
        <v>2085</v>
      </c>
    </row>
    <row r="256" spans="1:7" ht="15">
      <c r="A256" s="190">
        <v>253</v>
      </c>
      <c r="B256" s="181" t="s">
        <v>152</v>
      </c>
      <c r="C256" s="117">
        <v>37610</v>
      </c>
      <c r="D256" s="178" t="s">
        <v>46</v>
      </c>
      <c r="E256" s="178" t="s">
        <v>151</v>
      </c>
      <c r="F256" s="252">
        <v>6255</v>
      </c>
      <c r="G256" s="196">
        <v>2085</v>
      </c>
    </row>
    <row r="257" spans="1:7" ht="15">
      <c r="A257" s="193">
        <v>254</v>
      </c>
      <c r="B257" s="180" t="s">
        <v>150</v>
      </c>
      <c r="C257" s="116">
        <v>37974</v>
      </c>
      <c r="D257" s="178" t="s">
        <v>46</v>
      </c>
      <c r="E257" s="178" t="s">
        <v>151</v>
      </c>
      <c r="F257" s="254">
        <v>6255</v>
      </c>
      <c r="G257" s="195">
        <v>2085</v>
      </c>
    </row>
    <row r="258" spans="1:7" ht="15">
      <c r="A258" s="193">
        <v>255</v>
      </c>
      <c r="B258" s="150" t="s">
        <v>277</v>
      </c>
      <c r="C258" s="117">
        <v>38688</v>
      </c>
      <c r="D258" s="285" t="s">
        <v>23</v>
      </c>
      <c r="E258" s="286" t="s">
        <v>85</v>
      </c>
      <c r="F258" s="257">
        <v>1664</v>
      </c>
      <c r="G258" s="159">
        <v>416</v>
      </c>
    </row>
    <row r="259" spans="1:7" ht="15">
      <c r="A259" s="190">
        <v>256</v>
      </c>
      <c r="B259" s="181" t="s">
        <v>157</v>
      </c>
      <c r="C259" s="117">
        <v>38842</v>
      </c>
      <c r="D259" s="177" t="s">
        <v>57</v>
      </c>
      <c r="E259" s="177" t="s">
        <v>60</v>
      </c>
      <c r="F259" s="252">
        <v>1155</v>
      </c>
      <c r="G259" s="196">
        <v>350</v>
      </c>
    </row>
    <row r="260" spans="1:7" ht="15">
      <c r="A260" s="193">
        <v>257</v>
      </c>
      <c r="B260" s="251" t="s">
        <v>329</v>
      </c>
      <c r="C260" s="116">
        <v>38296</v>
      </c>
      <c r="D260" s="129" t="s">
        <v>46</v>
      </c>
      <c r="E260" s="129" t="s">
        <v>187</v>
      </c>
      <c r="F260" s="254">
        <v>5346</v>
      </c>
      <c r="G260" s="195">
        <v>1782</v>
      </c>
    </row>
    <row r="261" spans="1:7" ht="15">
      <c r="A261" s="190">
        <v>258</v>
      </c>
      <c r="B261" s="249" t="s">
        <v>333</v>
      </c>
      <c r="C261" s="117">
        <v>39038</v>
      </c>
      <c r="D261" s="128" t="s">
        <v>58</v>
      </c>
      <c r="E261" s="128" t="s">
        <v>66</v>
      </c>
      <c r="F261" s="252">
        <v>2376</v>
      </c>
      <c r="G261" s="196">
        <v>475</v>
      </c>
    </row>
    <row r="262" spans="1:7" ht="15">
      <c r="A262" s="193">
        <v>259</v>
      </c>
      <c r="B262" s="145" t="s">
        <v>258</v>
      </c>
      <c r="C262" s="116">
        <v>38996</v>
      </c>
      <c r="D262" s="284" t="s">
        <v>73</v>
      </c>
      <c r="E262" s="284" t="s">
        <v>136</v>
      </c>
      <c r="F262" s="294">
        <v>1737</v>
      </c>
      <c r="G262" s="195">
        <v>255</v>
      </c>
    </row>
    <row r="263" spans="1:7" ht="15">
      <c r="A263" s="193">
        <v>260</v>
      </c>
      <c r="B263" s="149" t="s">
        <v>106</v>
      </c>
      <c r="C263" s="117">
        <v>38954</v>
      </c>
      <c r="D263" s="128" t="s">
        <v>57</v>
      </c>
      <c r="E263" s="128" t="s">
        <v>65</v>
      </c>
      <c r="F263" s="252">
        <v>1156</v>
      </c>
      <c r="G263" s="196">
        <v>350</v>
      </c>
    </row>
    <row r="264" spans="1:7" ht="15">
      <c r="A264" s="190">
        <v>261</v>
      </c>
      <c r="B264" s="148" t="s">
        <v>106</v>
      </c>
      <c r="C264" s="151">
        <v>38954</v>
      </c>
      <c r="D264" s="128" t="s">
        <v>57</v>
      </c>
      <c r="E264" s="146" t="s">
        <v>65</v>
      </c>
      <c r="F264" s="259">
        <v>413</v>
      </c>
      <c r="G264" s="157">
        <v>100</v>
      </c>
    </row>
    <row r="265" spans="1:7" ht="14.25" customHeight="1">
      <c r="A265" s="193">
        <v>262</v>
      </c>
      <c r="B265" s="147" t="s">
        <v>169</v>
      </c>
      <c r="C265" s="116">
        <v>38639</v>
      </c>
      <c r="D265" s="126" t="s">
        <v>48</v>
      </c>
      <c r="E265" s="126" t="s">
        <v>25</v>
      </c>
      <c r="F265" s="255">
        <v>1946</v>
      </c>
      <c r="G265" s="197">
        <v>278</v>
      </c>
    </row>
    <row r="266" spans="1:7" ht="15">
      <c r="A266" s="190">
        <v>263</v>
      </c>
      <c r="B266" s="149" t="s">
        <v>171</v>
      </c>
      <c r="C266" s="117">
        <v>38800</v>
      </c>
      <c r="D266" s="128" t="s">
        <v>58</v>
      </c>
      <c r="E266" s="128" t="s">
        <v>59</v>
      </c>
      <c r="F266" s="252">
        <v>1510</v>
      </c>
      <c r="G266" s="196">
        <v>302</v>
      </c>
    </row>
    <row r="267" spans="1:7" ht="15">
      <c r="A267" s="193">
        <v>264</v>
      </c>
      <c r="B267" s="147" t="s">
        <v>104</v>
      </c>
      <c r="C267" s="116">
        <v>39073</v>
      </c>
      <c r="D267" s="127" t="s">
        <v>56</v>
      </c>
      <c r="E267" s="126" t="s">
        <v>11</v>
      </c>
      <c r="F267" s="258">
        <v>736993</v>
      </c>
      <c r="G267" s="156">
        <v>80041</v>
      </c>
    </row>
    <row r="268" spans="1:7" ht="15">
      <c r="A268" s="193">
        <v>265</v>
      </c>
      <c r="B268" s="180" t="s">
        <v>104</v>
      </c>
      <c r="C268" s="116">
        <v>39073</v>
      </c>
      <c r="D268" s="178" t="s">
        <v>56</v>
      </c>
      <c r="E268" s="178" t="s">
        <v>11</v>
      </c>
      <c r="F268" s="254">
        <v>318216</v>
      </c>
      <c r="G268" s="195">
        <v>36145</v>
      </c>
    </row>
    <row r="269" spans="1:7" ht="15">
      <c r="A269" s="190">
        <v>266</v>
      </c>
      <c r="B269" s="147" t="s">
        <v>104</v>
      </c>
      <c r="C269" s="116">
        <v>39073</v>
      </c>
      <c r="D269" s="127" t="s">
        <v>56</v>
      </c>
      <c r="E269" s="126" t="s">
        <v>11</v>
      </c>
      <c r="F269" s="254">
        <v>148350</v>
      </c>
      <c r="G269" s="195">
        <v>17661</v>
      </c>
    </row>
    <row r="270" spans="1:7" ht="15">
      <c r="A270" s="193">
        <v>267</v>
      </c>
      <c r="B270" s="248" t="s">
        <v>104</v>
      </c>
      <c r="C270" s="116">
        <v>39073</v>
      </c>
      <c r="D270" s="127" t="s">
        <v>56</v>
      </c>
      <c r="E270" s="126" t="s">
        <v>11</v>
      </c>
      <c r="F270" s="254">
        <v>83269</v>
      </c>
      <c r="G270" s="195">
        <v>10172</v>
      </c>
    </row>
    <row r="271" spans="1:7" ht="15">
      <c r="A271" s="190">
        <v>268</v>
      </c>
      <c r="B271" s="147" t="s">
        <v>104</v>
      </c>
      <c r="C271" s="116">
        <v>39073</v>
      </c>
      <c r="D271" s="127" t="s">
        <v>56</v>
      </c>
      <c r="E271" s="126" t="s">
        <v>11</v>
      </c>
      <c r="F271" s="254">
        <v>13464</v>
      </c>
      <c r="G271" s="195">
        <v>1277</v>
      </c>
    </row>
    <row r="272" spans="1:7" ht="15">
      <c r="A272" s="193">
        <v>269</v>
      </c>
      <c r="B272" s="248" t="s">
        <v>104</v>
      </c>
      <c r="C272" s="116">
        <v>39073</v>
      </c>
      <c r="D272" s="281" t="s">
        <v>56</v>
      </c>
      <c r="E272" s="282" t="s">
        <v>11</v>
      </c>
      <c r="F272" s="258">
        <v>3459</v>
      </c>
      <c r="G272" s="156">
        <v>1543</v>
      </c>
    </row>
    <row r="273" spans="1:7" ht="15">
      <c r="A273" s="193">
        <v>270</v>
      </c>
      <c r="B273" s="147" t="s">
        <v>104</v>
      </c>
      <c r="C273" s="116">
        <v>39073</v>
      </c>
      <c r="D273" s="281" t="s">
        <v>56</v>
      </c>
      <c r="E273" s="282" t="s">
        <v>11</v>
      </c>
      <c r="F273" s="258">
        <v>2344</v>
      </c>
      <c r="G273" s="156">
        <v>389</v>
      </c>
    </row>
    <row r="274" spans="1:7" ht="15">
      <c r="A274" s="190">
        <v>271</v>
      </c>
      <c r="B274" s="147" t="s">
        <v>104</v>
      </c>
      <c r="C274" s="116">
        <v>39073</v>
      </c>
      <c r="D274" s="281" t="s">
        <v>56</v>
      </c>
      <c r="E274" s="282" t="s">
        <v>11</v>
      </c>
      <c r="F274" s="294">
        <v>2218</v>
      </c>
      <c r="G274" s="195">
        <v>444</v>
      </c>
    </row>
    <row r="275" spans="1:7" ht="15">
      <c r="A275" s="193">
        <v>272</v>
      </c>
      <c r="B275" s="248" t="s">
        <v>104</v>
      </c>
      <c r="C275" s="116">
        <v>39073</v>
      </c>
      <c r="D275" s="127" t="s">
        <v>56</v>
      </c>
      <c r="E275" s="126" t="s">
        <v>11</v>
      </c>
      <c r="F275" s="254">
        <v>2077</v>
      </c>
      <c r="G275" s="195">
        <v>644</v>
      </c>
    </row>
    <row r="276" spans="1:7" ht="15">
      <c r="A276" s="190">
        <v>273</v>
      </c>
      <c r="B276" s="248" t="s">
        <v>104</v>
      </c>
      <c r="C276" s="116">
        <v>39073</v>
      </c>
      <c r="D276" s="127" t="s">
        <v>56</v>
      </c>
      <c r="E276" s="126" t="s">
        <v>11</v>
      </c>
      <c r="F276" s="258">
        <v>1073</v>
      </c>
      <c r="G276" s="195">
        <v>200</v>
      </c>
    </row>
    <row r="277" spans="1:7" ht="15">
      <c r="A277" s="193">
        <v>274</v>
      </c>
      <c r="B277" s="248" t="s">
        <v>337</v>
      </c>
      <c r="C277" s="116">
        <v>39073</v>
      </c>
      <c r="D277" s="127" t="s">
        <v>56</v>
      </c>
      <c r="E277" s="126" t="s">
        <v>11</v>
      </c>
      <c r="F277" s="254">
        <v>628</v>
      </c>
      <c r="G277" s="195">
        <v>89</v>
      </c>
    </row>
    <row r="278" spans="1:7" ht="15">
      <c r="A278" s="193">
        <v>275</v>
      </c>
      <c r="B278" s="150" t="s">
        <v>116</v>
      </c>
      <c r="C278" s="117">
        <v>39066</v>
      </c>
      <c r="D278" s="285" t="s">
        <v>23</v>
      </c>
      <c r="E278" s="286" t="s">
        <v>25</v>
      </c>
      <c r="F278" s="293">
        <v>1068</v>
      </c>
      <c r="G278" s="196">
        <v>267</v>
      </c>
    </row>
    <row r="279" spans="1:7" ht="15">
      <c r="A279" s="190">
        <v>276</v>
      </c>
      <c r="B279" s="250" t="s">
        <v>116</v>
      </c>
      <c r="C279" s="117">
        <v>39066</v>
      </c>
      <c r="D279" s="132" t="s">
        <v>23</v>
      </c>
      <c r="E279" s="131" t="s">
        <v>205</v>
      </c>
      <c r="F279" s="252">
        <v>420</v>
      </c>
      <c r="G279" s="196">
        <v>84</v>
      </c>
    </row>
    <row r="280" spans="1:7" ht="15">
      <c r="A280" s="193">
        <v>277</v>
      </c>
      <c r="B280" s="181" t="s">
        <v>116</v>
      </c>
      <c r="C280" s="117">
        <v>39066</v>
      </c>
      <c r="D280" s="177" t="s">
        <v>23</v>
      </c>
      <c r="E280" s="177" t="s">
        <v>25</v>
      </c>
      <c r="F280" s="252">
        <v>268</v>
      </c>
      <c r="G280" s="196">
        <v>28</v>
      </c>
    </row>
    <row r="281" spans="1:7" ht="15">
      <c r="A281" s="190">
        <v>278</v>
      </c>
      <c r="B281" s="150" t="s">
        <v>116</v>
      </c>
      <c r="C281" s="117">
        <v>39066</v>
      </c>
      <c r="D281" s="132" t="s">
        <v>23</v>
      </c>
      <c r="E281" s="131" t="s">
        <v>25</v>
      </c>
      <c r="F281" s="257">
        <v>212</v>
      </c>
      <c r="G281" s="159">
        <v>23</v>
      </c>
    </row>
    <row r="282" spans="1:7" ht="15">
      <c r="A282" s="193">
        <v>279</v>
      </c>
      <c r="B282" s="149" t="s">
        <v>234</v>
      </c>
      <c r="C282" s="117">
        <v>38989</v>
      </c>
      <c r="D282" s="291" t="s">
        <v>58</v>
      </c>
      <c r="E282" s="291" t="s">
        <v>66</v>
      </c>
      <c r="F282" s="293">
        <v>1135</v>
      </c>
      <c r="G282" s="196">
        <v>216</v>
      </c>
    </row>
    <row r="283" spans="1:7" ht="15">
      <c r="A283" s="193">
        <v>280</v>
      </c>
      <c r="B283" s="148" t="s">
        <v>234</v>
      </c>
      <c r="C283" s="151">
        <v>38989</v>
      </c>
      <c r="D283" s="283" t="s">
        <v>66</v>
      </c>
      <c r="E283" s="282" t="s">
        <v>66</v>
      </c>
      <c r="F283" s="259">
        <v>1135</v>
      </c>
      <c r="G283" s="157">
        <v>216</v>
      </c>
    </row>
    <row r="284" spans="1:7" ht="15">
      <c r="A284" s="190">
        <v>281</v>
      </c>
      <c r="B284" s="249" t="s">
        <v>234</v>
      </c>
      <c r="C284" s="117">
        <v>38989</v>
      </c>
      <c r="D284" s="128" t="s">
        <v>58</v>
      </c>
      <c r="E284" s="128" t="s">
        <v>66</v>
      </c>
      <c r="F284" s="257">
        <v>397</v>
      </c>
      <c r="G284" s="196">
        <v>77</v>
      </c>
    </row>
    <row r="285" spans="1:7" ht="15">
      <c r="A285" s="193">
        <v>282</v>
      </c>
      <c r="B285" s="180" t="s">
        <v>147</v>
      </c>
      <c r="C285" s="116">
        <v>39073</v>
      </c>
      <c r="D285" s="178" t="s">
        <v>73</v>
      </c>
      <c r="E285" s="178" t="s">
        <v>136</v>
      </c>
      <c r="F285" s="254">
        <v>28432.5</v>
      </c>
      <c r="G285" s="195">
        <v>3928</v>
      </c>
    </row>
    <row r="286" spans="1:7" ht="15">
      <c r="A286" s="190">
        <v>283</v>
      </c>
      <c r="B286" s="145" t="s">
        <v>147</v>
      </c>
      <c r="C286" s="116">
        <v>39073</v>
      </c>
      <c r="D286" s="129" t="s">
        <v>73</v>
      </c>
      <c r="E286" s="129" t="s">
        <v>136</v>
      </c>
      <c r="F286" s="254">
        <v>3756</v>
      </c>
      <c r="G286" s="195">
        <v>644</v>
      </c>
    </row>
    <row r="287" spans="1:7" ht="15">
      <c r="A287" s="193">
        <v>284</v>
      </c>
      <c r="B287" s="251" t="s">
        <v>147</v>
      </c>
      <c r="C287" s="116">
        <v>39073</v>
      </c>
      <c r="D287" s="129" t="s">
        <v>73</v>
      </c>
      <c r="E287" s="129" t="s">
        <v>136</v>
      </c>
      <c r="F287" s="254">
        <v>3051</v>
      </c>
      <c r="G287" s="195">
        <v>698</v>
      </c>
    </row>
    <row r="288" spans="1:7" ht="15">
      <c r="A288" s="193">
        <v>285</v>
      </c>
      <c r="B288" s="251" t="s">
        <v>147</v>
      </c>
      <c r="C288" s="116">
        <v>39073</v>
      </c>
      <c r="D288" s="129" t="s">
        <v>73</v>
      </c>
      <c r="E288" s="129" t="s">
        <v>136</v>
      </c>
      <c r="F288" s="254">
        <v>1594</v>
      </c>
      <c r="G288" s="195">
        <v>314</v>
      </c>
    </row>
    <row r="289" spans="1:7" ht="15">
      <c r="A289" s="190">
        <v>286</v>
      </c>
      <c r="B289" s="145" t="s">
        <v>147</v>
      </c>
      <c r="C289" s="116">
        <v>39073</v>
      </c>
      <c r="D289" s="284" t="s">
        <v>73</v>
      </c>
      <c r="E289" s="284" t="s">
        <v>136</v>
      </c>
      <c r="F289" s="294">
        <v>1243</v>
      </c>
      <c r="G289" s="195">
        <v>259</v>
      </c>
    </row>
    <row r="290" spans="1:7" ht="15">
      <c r="A290" s="193">
        <v>287</v>
      </c>
      <c r="B290" s="145" t="s">
        <v>147</v>
      </c>
      <c r="C290" s="116">
        <v>39073</v>
      </c>
      <c r="D290" s="284" t="s">
        <v>73</v>
      </c>
      <c r="E290" s="284" t="s">
        <v>136</v>
      </c>
      <c r="F290" s="258">
        <v>950</v>
      </c>
      <c r="G290" s="156">
        <v>179</v>
      </c>
    </row>
    <row r="291" spans="1:7" ht="15">
      <c r="A291" s="190">
        <v>288</v>
      </c>
      <c r="B291" s="145" t="s">
        <v>147</v>
      </c>
      <c r="C291" s="116">
        <v>39073</v>
      </c>
      <c r="D291" s="129" t="s">
        <v>73</v>
      </c>
      <c r="E291" s="129" t="s">
        <v>136</v>
      </c>
      <c r="F291" s="254">
        <v>584.5</v>
      </c>
      <c r="G291" s="195">
        <v>144</v>
      </c>
    </row>
    <row r="292" spans="1:7" ht="15">
      <c r="A292" s="193">
        <v>289</v>
      </c>
      <c r="B292" s="149" t="s">
        <v>170</v>
      </c>
      <c r="C292" s="117">
        <v>38436</v>
      </c>
      <c r="D292" s="128" t="s">
        <v>58</v>
      </c>
      <c r="E292" s="128" t="s">
        <v>59</v>
      </c>
      <c r="F292" s="252">
        <v>1510</v>
      </c>
      <c r="G292" s="196">
        <v>302</v>
      </c>
    </row>
    <row r="293" spans="1:7" ht="15">
      <c r="A293" s="193">
        <v>290</v>
      </c>
      <c r="B293" s="149" t="s">
        <v>170</v>
      </c>
      <c r="C293" s="117">
        <v>38436</v>
      </c>
      <c r="D293" s="128" t="s">
        <v>58</v>
      </c>
      <c r="E293" s="128" t="s">
        <v>59</v>
      </c>
      <c r="F293" s="252">
        <v>201</v>
      </c>
      <c r="G293" s="196">
        <v>47</v>
      </c>
    </row>
    <row r="294" spans="1:7" ht="15">
      <c r="A294" s="190">
        <v>291</v>
      </c>
      <c r="B294" s="249" t="s">
        <v>170</v>
      </c>
      <c r="C294" s="117">
        <v>38436</v>
      </c>
      <c r="D294" s="128" t="s">
        <v>58</v>
      </c>
      <c r="E294" s="128" t="s">
        <v>59</v>
      </c>
      <c r="F294" s="252">
        <v>201</v>
      </c>
      <c r="G294" s="196">
        <v>47</v>
      </c>
    </row>
    <row r="295" spans="1:7" ht="15">
      <c r="A295" s="193">
        <v>292</v>
      </c>
      <c r="B295" s="147" t="s">
        <v>32</v>
      </c>
      <c r="C295" s="116">
        <v>39024</v>
      </c>
      <c r="D295" s="127" t="s">
        <v>56</v>
      </c>
      <c r="E295" s="126" t="s">
        <v>71</v>
      </c>
      <c r="F295" s="258">
        <v>4639</v>
      </c>
      <c r="G295" s="156">
        <v>1240</v>
      </c>
    </row>
    <row r="296" spans="1:7" ht="15">
      <c r="A296" s="190">
        <v>293</v>
      </c>
      <c r="B296" s="248" t="s">
        <v>32</v>
      </c>
      <c r="C296" s="116">
        <v>39024</v>
      </c>
      <c r="D296" s="127" t="s">
        <v>56</v>
      </c>
      <c r="E296" s="126" t="s">
        <v>71</v>
      </c>
      <c r="F296" s="254">
        <v>3468</v>
      </c>
      <c r="G296" s="195">
        <v>968</v>
      </c>
    </row>
    <row r="297" spans="1:7" ht="15">
      <c r="A297" s="193">
        <v>294</v>
      </c>
      <c r="B297" s="180" t="s">
        <v>32</v>
      </c>
      <c r="C297" s="116">
        <v>39024</v>
      </c>
      <c r="D297" s="178" t="s">
        <v>56</v>
      </c>
      <c r="E297" s="178" t="s">
        <v>71</v>
      </c>
      <c r="F297" s="254">
        <v>1123</v>
      </c>
      <c r="G297" s="195">
        <v>375</v>
      </c>
    </row>
    <row r="298" spans="1:7" ht="15">
      <c r="A298" s="193">
        <v>295</v>
      </c>
      <c r="B298" s="147" t="s">
        <v>32</v>
      </c>
      <c r="C298" s="116">
        <v>39024</v>
      </c>
      <c r="D298" s="127" t="s">
        <v>56</v>
      </c>
      <c r="E298" s="126" t="s">
        <v>71</v>
      </c>
      <c r="F298" s="254">
        <v>130</v>
      </c>
      <c r="G298" s="195">
        <v>20</v>
      </c>
    </row>
    <row r="299" spans="1:7" ht="15">
      <c r="A299" s="190">
        <v>296</v>
      </c>
      <c r="B299" s="147" t="s">
        <v>259</v>
      </c>
      <c r="C299" s="116">
        <v>39024</v>
      </c>
      <c r="D299" s="281" t="s">
        <v>56</v>
      </c>
      <c r="E299" s="282" t="s">
        <v>11</v>
      </c>
      <c r="F299" s="294">
        <v>719</v>
      </c>
      <c r="G299" s="195">
        <v>90</v>
      </c>
    </row>
    <row r="300" spans="1:7" ht="15">
      <c r="A300" s="193">
        <v>297</v>
      </c>
      <c r="B300" s="182" t="s">
        <v>100</v>
      </c>
      <c r="C300" s="119">
        <v>39059</v>
      </c>
      <c r="D300" s="179" t="s">
        <v>64</v>
      </c>
      <c r="E300" s="179" t="s">
        <v>101</v>
      </c>
      <c r="F300" s="261">
        <v>8747</v>
      </c>
      <c r="G300" s="198">
        <v>1379</v>
      </c>
    </row>
    <row r="301" spans="1:7" ht="15">
      <c r="A301" s="190">
        <v>298</v>
      </c>
      <c r="B301" s="121" t="s">
        <v>100</v>
      </c>
      <c r="C301" s="119">
        <v>39059</v>
      </c>
      <c r="D301" s="130" t="s">
        <v>64</v>
      </c>
      <c r="E301" s="130" t="s">
        <v>101</v>
      </c>
      <c r="F301" s="262">
        <v>4587</v>
      </c>
      <c r="G301" s="160">
        <v>707</v>
      </c>
    </row>
    <row r="302" spans="1:7" ht="15">
      <c r="A302" s="193">
        <v>299</v>
      </c>
      <c r="B302" s="241" t="s">
        <v>100</v>
      </c>
      <c r="C302" s="119">
        <v>39059</v>
      </c>
      <c r="D302" s="130" t="s">
        <v>64</v>
      </c>
      <c r="E302" s="130" t="s">
        <v>101</v>
      </c>
      <c r="F302" s="261">
        <v>4297</v>
      </c>
      <c r="G302" s="198">
        <v>700</v>
      </c>
    </row>
    <row r="303" spans="1:7" ht="15">
      <c r="A303" s="193">
        <v>300</v>
      </c>
      <c r="B303" s="150" t="s">
        <v>219</v>
      </c>
      <c r="C303" s="117">
        <v>38191</v>
      </c>
      <c r="D303" s="132" t="s">
        <v>23</v>
      </c>
      <c r="E303" s="131" t="s">
        <v>195</v>
      </c>
      <c r="F303" s="252">
        <v>803.2</v>
      </c>
      <c r="G303" s="196">
        <v>502</v>
      </c>
    </row>
    <row r="304" spans="1:7" ht="15">
      <c r="A304" s="190">
        <v>301</v>
      </c>
      <c r="B304" s="250" t="s">
        <v>219</v>
      </c>
      <c r="C304" s="117">
        <v>38191</v>
      </c>
      <c r="D304" s="132" t="s">
        <v>23</v>
      </c>
      <c r="E304" s="131" t="s">
        <v>195</v>
      </c>
      <c r="F304" s="257">
        <v>476</v>
      </c>
      <c r="G304" s="196">
        <v>119</v>
      </c>
    </row>
    <row r="305" spans="1:7" ht="15">
      <c r="A305" s="193">
        <v>302</v>
      </c>
      <c r="B305" s="150" t="s">
        <v>253</v>
      </c>
      <c r="C305" s="117">
        <v>37869</v>
      </c>
      <c r="D305" s="285" t="s">
        <v>23</v>
      </c>
      <c r="E305" s="286" t="s">
        <v>27</v>
      </c>
      <c r="F305" s="293">
        <v>952</v>
      </c>
      <c r="G305" s="196">
        <v>238</v>
      </c>
    </row>
    <row r="306" spans="1:7" ht="15">
      <c r="A306" s="190">
        <v>303</v>
      </c>
      <c r="B306" s="150" t="s">
        <v>256</v>
      </c>
      <c r="C306" s="117">
        <v>38751</v>
      </c>
      <c r="D306" s="285" t="s">
        <v>23</v>
      </c>
      <c r="E306" s="286" t="s">
        <v>27</v>
      </c>
      <c r="F306" s="293">
        <v>245.5</v>
      </c>
      <c r="G306" s="196">
        <v>97</v>
      </c>
    </row>
    <row r="307" spans="1:7" ht="15">
      <c r="A307" s="193">
        <v>304</v>
      </c>
      <c r="B307" s="248" t="s">
        <v>161</v>
      </c>
      <c r="C307" s="116">
        <v>39003</v>
      </c>
      <c r="D307" s="127" t="s">
        <v>56</v>
      </c>
      <c r="E307" s="126" t="s">
        <v>145</v>
      </c>
      <c r="F307" s="254">
        <v>544</v>
      </c>
      <c r="G307" s="195">
        <v>133</v>
      </c>
    </row>
    <row r="308" spans="1:7" ht="15">
      <c r="A308" s="193">
        <v>305</v>
      </c>
      <c r="B308" s="180" t="s">
        <v>161</v>
      </c>
      <c r="C308" s="116">
        <v>39003</v>
      </c>
      <c r="D308" s="178" t="s">
        <v>56</v>
      </c>
      <c r="E308" s="178" t="s">
        <v>145</v>
      </c>
      <c r="F308" s="254">
        <v>513</v>
      </c>
      <c r="G308" s="195">
        <v>162</v>
      </c>
    </row>
    <row r="309" spans="1:7" ht="15">
      <c r="A309" s="190">
        <v>306</v>
      </c>
      <c r="B309" s="148" t="s">
        <v>82</v>
      </c>
      <c r="C309" s="151">
        <v>39010</v>
      </c>
      <c r="D309" s="146" t="s">
        <v>58</v>
      </c>
      <c r="E309" s="146" t="s">
        <v>71</v>
      </c>
      <c r="F309" s="259">
        <v>13340</v>
      </c>
      <c r="G309" s="157">
        <v>1914</v>
      </c>
    </row>
    <row r="310" spans="1:7" ht="15">
      <c r="A310" s="193">
        <v>307</v>
      </c>
      <c r="B310" s="249" t="s">
        <v>82</v>
      </c>
      <c r="C310" s="117">
        <v>39010</v>
      </c>
      <c r="D310" s="128" t="s">
        <v>58</v>
      </c>
      <c r="E310" s="128" t="s">
        <v>71</v>
      </c>
      <c r="F310" s="252">
        <v>5274.5</v>
      </c>
      <c r="G310" s="196">
        <v>1016</v>
      </c>
    </row>
    <row r="311" spans="1:7" ht="15">
      <c r="A311" s="190">
        <v>308</v>
      </c>
      <c r="B311" s="181" t="s">
        <v>82</v>
      </c>
      <c r="C311" s="117">
        <v>39010</v>
      </c>
      <c r="D311" s="177" t="s">
        <v>58</v>
      </c>
      <c r="E311" s="177" t="s">
        <v>71</v>
      </c>
      <c r="F311" s="252">
        <v>3471</v>
      </c>
      <c r="G311" s="196">
        <v>491</v>
      </c>
    </row>
    <row r="312" spans="1:7" ht="15">
      <c r="A312" s="193">
        <v>309</v>
      </c>
      <c r="B312" s="148" t="s">
        <v>82</v>
      </c>
      <c r="C312" s="151">
        <v>39010</v>
      </c>
      <c r="D312" s="283" t="s">
        <v>58</v>
      </c>
      <c r="E312" s="282" t="s">
        <v>71</v>
      </c>
      <c r="F312" s="259">
        <v>2629</v>
      </c>
      <c r="G312" s="157">
        <v>519</v>
      </c>
    </row>
    <row r="313" spans="1:7" ht="15">
      <c r="A313" s="193">
        <v>310</v>
      </c>
      <c r="B313" s="149" t="s">
        <v>82</v>
      </c>
      <c r="C313" s="117">
        <v>39010</v>
      </c>
      <c r="D313" s="128" t="s">
        <v>58</v>
      </c>
      <c r="E313" s="128" t="s">
        <v>71</v>
      </c>
      <c r="F313" s="252">
        <v>2097</v>
      </c>
      <c r="G313" s="196">
        <v>307</v>
      </c>
    </row>
    <row r="314" spans="1:7" ht="15">
      <c r="A314" s="190">
        <v>311</v>
      </c>
      <c r="B314" s="249" t="s">
        <v>82</v>
      </c>
      <c r="C314" s="117">
        <v>39010</v>
      </c>
      <c r="D314" s="128" t="s">
        <v>58</v>
      </c>
      <c r="E314" s="128" t="s">
        <v>71</v>
      </c>
      <c r="F314" s="257">
        <v>130</v>
      </c>
      <c r="G314" s="196">
        <v>18</v>
      </c>
    </row>
    <row r="315" spans="1:7" ht="15">
      <c r="A315" s="193">
        <v>312</v>
      </c>
      <c r="B315" s="149" t="s">
        <v>82</v>
      </c>
      <c r="C315" s="117">
        <v>39010</v>
      </c>
      <c r="D315" s="291" t="s">
        <v>58</v>
      </c>
      <c r="E315" s="291" t="s">
        <v>71</v>
      </c>
      <c r="F315" s="293">
        <v>49</v>
      </c>
      <c r="G315" s="196">
        <v>7</v>
      </c>
    </row>
    <row r="316" spans="1:7" ht="15">
      <c r="A316" s="190">
        <v>313</v>
      </c>
      <c r="B316" s="250" t="s">
        <v>235</v>
      </c>
      <c r="C316" s="117">
        <v>38758</v>
      </c>
      <c r="D316" s="285" t="s">
        <v>23</v>
      </c>
      <c r="E316" s="286" t="s">
        <v>236</v>
      </c>
      <c r="F316" s="257">
        <v>4276</v>
      </c>
      <c r="G316" s="159">
        <v>1069</v>
      </c>
    </row>
    <row r="317" spans="1:7" ht="15">
      <c r="A317" s="193">
        <v>314</v>
      </c>
      <c r="B317" s="250" t="s">
        <v>235</v>
      </c>
      <c r="C317" s="117">
        <v>38758</v>
      </c>
      <c r="D317" s="132" t="s">
        <v>23</v>
      </c>
      <c r="E317" s="131" t="s">
        <v>236</v>
      </c>
      <c r="F317" s="257">
        <v>3560</v>
      </c>
      <c r="G317" s="196">
        <v>890</v>
      </c>
    </row>
    <row r="318" spans="1:7" ht="15">
      <c r="A318" s="193">
        <v>315</v>
      </c>
      <c r="B318" s="145" t="s">
        <v>156</v>
      </c>
      <c r="C318" s="116">
        <v>39052</v>
      </c>
      <c r="D318" s="129" t="s">
        <v>73</v>
      </c>
      <c r="E318" s="129" t="s">
        <v>136</v>
      </c>
      <c r="F318" s="254">
        <v>1617</v>
      </c>
      <c r="G318" s="195">
        <v>271</v>
      </c>
    </row>
    <row r="319" spans="1:7" ht="15">
      <c r="A319" s="190">
        <v>316</v>
      </c>
      <c r="B319" s="180" t="s">
        <v>156</v>
      </c>
      <c r="C319" s="151">
        <v>39073</v>
      </c>
      <c r="D319" s="146" t="s">
        <v>73</v>
      </c>
      <c r="E319" s="146" t="s">
        <v>136</v>
      </c>
      <c r="F319" s="259">
        <v>1562.5</v>
      </c>
      <c r="G319" s="157">
        <v>266</v>
      </c>
    </row>
    <row r="320" spans="1:7" ht="15">
      <c r="A320" s="193">
        <v>317</v>
      </c>
      <c r="B320" s="180" t="s">
        <v>156</v>
      </c>
      <c r="C320" s="116">
        <v>39052</v>
      </c>
      <c r="D320" s="178" t="s">
        <v>73</v>
      </c>
      <c r="E320" s="178" t="s">
        <v>136</v>
      </c>
      <c r="F320" s="254">
        <v>1522</v>
      </c>
      <c r="G320" s="195">
        <v>316</v>
      </c>
    </row>
    <row r="321" spans="1:7" ht="15">
      <c r="A321" s="190">
        <v>318</v>
      </c>
      <c r="B321" s="145" t="s">
        <v>156</v>
      </c>
      <c r="C321" s="116">
        <v>39052</v>
      </c>
      <c r="D321" s="284" t="s">
        <v>73</v>
      </c>
      <c r="E321" s="284" t="s">
        <v>136</v>
      </c>
      <c r="F321" s="258">
        <v>1188</v>
      </c>
      <c r="G321" s="156">
        <v>198</v>
      </c>
    </row>
    <row r="322" spans="1:7" ht="15">
      <c r="A322" s="193">
        <v>319</v>
      </c>
      <c r="B322" s="251" t="s">
        <v>156</v>
      </c>
      <c r="C322" s="116">
        <v>39052</v>
      </c>
      <c r="D322" s="129" t="s">
        <v>73</v>
      </c>
      <c r="E322" s="129" t="s">
        <v>136</v>
      </c>
      <c r="F322" s="254">
        <v>301</v>
      </c>
      <c r="G322" s="195">
        <v>60</v>
      </c>
    </row>
    <row r="323" spans="1:7" ht="15">
      <c r="A323" s="193">
        <v>320</v>
      </c>
      <c r="B323" s="180" t="s">
        <v>156</v>
      </c>
      <c r="C323" s="116">
        <v>39052</v>
      </c>
      <c r="D323" s="129" t="s">
        <v>73</v>
      </c>
      <c r="E323" s="129" t="s">
        <v>136</v>
      </c>
      <c r="F323" s="254">
        <v>197</v>
      </c>
      <c r="G323" s="195">
        <v>47</v>
      </c>
    </row>
    <row r="324" spans="1:7" ht="15">
      <c r="A324" s="190">
        <v>321</v>
      </c>
      <c r="B324" s="147" t="s">
        <v>114</v>
      </c>
      <c r="C324" s="116">
        <v>39066</v>
      </c>
      <c r="D324" s="127" t="s">
        <v>56</v>
      </c>
      <c r="E324" s="126" t="s">
        <v>71</v>
      </c>
      <c r="F324" s="258">
        <v>41071</v>
      </c>
      <c r="G324" s="156">
        <v>3570</v>
      </c>
    </row>
    <row r="325" spans="1:7" ht="15">
      <c r="A325" s="193">
        <v>322</v>
      </c>
      <c r="B325" s="180" t="s">
        <v>114</v>
      </c>
      <c r="C325" s="116">
        <v>39066</v>
      </c>
      <c r="D325" s="178" t="s">
        <v>56</v>
      </c>
      <c r="E325" s="178" t="s">
        <v>71</v>
      </c>
      <c r="F325" s="254">
        <v>3039</v>
      </c>
      <c r="G325" s="195">
        <v>371</v>
      </c>
    </row>
    <row r="326" spans="1:7" ht="15">
      <c r="A326" s="190">
        <v>323</v>
      </c>
      <c r="B326" s="248" t="s">
        <v>114</v>
      </c>
      <c r="C326" s="116">
        <v>39066</v>
      </c>
      <c r="D326" s="127" t="s">
        <v>56</v>
      </c>
      <c r="E326" s="126" t="s">
        <v>71</v>
      </c>
      <c r="F326" s="254">
        <v>2600</v>
      </c>
      <c r="G326" s="195">
        <v>361</v>
      </c>
    </row>
    <row r="327" spans="1:7" ht="15">
      <c r="A327" s="193">
        <v>324</v>
      </c>
      <c r="B327" s="248" t="s">
        <v>114</v>
      </c>
      <c r="C327" s="116">
        <v>39066</v>
      </c>
      <c r="D327" s="127" t="s">
        <v>56</v>
      </c>
      <c r="E327" s="126" t="s">
        <v>71</v>
      </c>
      <c r="F327" s="254">
        <v>2174</v>
      </c>
      <c r="G327" s="195">
        <v>300</v>
      </c>
    </row>
    <row r="328" spans="1:7" ht="15">
      <c r="A328" s="193">
        <v>325</v>
      </c>
      <c r="B328" s="147" t="s">
        <v>114</v>
      </c>
      <c r="C328" s="116">
        <v>39066</v>
      </c>
      <c r="D328" s="127" t="s">
        <v>56</v>
      </c>
      <c r="E328" s="126" t="s">
        <v>71</v>
      </c>
      <c r="F328" s="254">
        <v>1124</v>
      </c>
      <c r="G328" s="195">
        <v>164</v>
      </c>
    </row>
    <row r="329" spans="1:7" ht="15">
      <c r="A329" s="190">
        <v>326</v>
      </c>
      <c r="B329" s="147" t="s">
        <v>114</v>
      </c>
      <c r="C329" s="116">
        <v>39066</v>
      </c>
      <c r="D329" s="127" t="s">
        <v>56</v>
      </c>
      <c r="E329" s="126" t="s">
        <v>71</v>
      </c>
      <c r="F329" s="254">
        <v>762</v>
      </c>
      <c r="G329" s="195">
        <v>96</v>
      </c>
    </row>
    <row r="330" spans="1:7" ht="15">
      <c r="A330" s="193">
        <v>327</v>
      </c>
      <c r="B330" s="248" t="s">
        <v>114</v>
      </c>
      <c r="C330" s="116">
        <v>39066</v>
      </c>
      <c r="D330" s="281" t="s">
        <v>56</v>
      </c>
      <c r="E330" s="282" t="s">
        <v>71</v>
      </c>
      <c r="F330" s="258">
        <v>751</v>
      </c>
      <c r="G330" s="156">
        <v>88</v>
      </c>
    </row>
    <row r="331" spans="1:7" ht="15">
      <c r="A331" s="190">
        <v>328</v>
      </c>
      <c r="B331" s="147" t="s">
        <v>114</v>
      </c>
      <c r="C331" s="116">
        <v>39066</v>
      </c>
      <c r="D331" s="281" t="s">
        <v>56</v>
      </c>
      <c r="E331" s="282" t="s">
        <v>71</v>
      </c>
      <c r="F331" s="294">
        <v>237</v>
      </c>
      <c r="G331" s="195">
        <v>46</v>
      </c>
    </row>
    <row r="332" spans="1:7" ht="15">
      <c r="A332" s="193">
        <v>329</v>
      </c>
      <c r="B332" s="248" t="s">
        <v>114</v>
      </c>
      <c r="C332" s="116">
        <v>39066</v>
      </c>
      <c r="D332" s="127" t="s">
        <v>56</v>
      </c>
      <c r="E332" s="126" t="s">
        <v>71</v>
      </c>
      <c r="F332" s="258">
        <v>234</v>
      </c>
      <c r="G332" s="195">
        <v>27</v>
      </c>
    </row>
    <row r="333" spans="1:7" ht="15">
      <c r="A333" s="193">
        <v>330</v>
      </c>
      <c r="B333" s="147" t="s">
        <v>114</v>
      </c>
      <c r="C333" s="116">
        <v>39066</v>
      </c>
      <c r="D333" s="281" t="s">
        <v>56</v>
      </c>
      <c r="E333" s="282" t="s">
        <v>71</v>
      </c>
      <c r="F333" s="258">
        <v>161</v>
      </c>
      <c r="G333" s="156">
        <v>29</v>
      </c>
    </row>
    <row r="334" spans="1:7" ht="15">
      <c r="A334" s="190">
        <v>331</v>
      </c>
      <c r="B334" s="150" t="s">
        <v>220</v>
      </c>
      <c r="C334" s="117">
        <v>38709</v>
      </c>
      <c r="D334" s="132" t="s">
        <v>23</v>
      </c>
      <c r="E334" s="131" t="s">
        <v>33</v>
      </c>
      <c r="F334" s="252">
        <v>3560</v>
      </c>
      <c r="G334" s="196">
        <v>890</v>
      </c>
    </row>
    <row r="335" spans="1:7" ht="15">
      <c r="A335" s="193">
        <v>332</v>
      </c>
      <c r="B335" s="148" t="s">
        <v>134</v>
      </c>
      <c r="C335" s="151">
        <v>39031</v>
      </c>
      <c r="D335" s="146" t="s">
        <v>58</v>
      </c>
      <c r="E335" s="146" t="s">
        <v>39</v>
      </c>
      <c r="F335" s="259">
        <v>570</v>
      </c>
      <c r="G335" s="157">
        <v>142</v>
      </c>
    </row>
    <row r="336" spans="1:7" ht="15">
      <c r="A336" s="190">
        <v>333</v>
      </c>
      <c r="B336" s="249" t="s">
        <v>134</v>
      </c>
      <c r="C336" s="117">
        <v>39031</v>
      </c>
      <c r="D336" s="128" t="s">
        <v>58</v>
      </c>
      <c r="E336" s="128" t="s">
        <v>39</v>
      </c>
      <c r="F336" s="252">
        <v>310</v>
      </c>
      <c r="G336" s="196">
        <v>69</v>
      </c>
    </row>
    <row r="337" spans="1:7" ht="15">
      <c r="A337" s="193">
        <v>334</v>
      </c>
      <c r="B337" s="249" t="s">
        <v>134</v>
      </c>
      <c r="C337" s="117">
        <v>39031</v>
      </c>
      <c r="D337" s="128" t="s">
        <v>12</v>
      </c>
      <c r="E337" s="128" t="s">
        <v>39</v>
      </c>
      <c r="F337" s="252">
        <v>254</v>
      </c>
      <c r="G337" s="196">
        <v>57</v>
      </c>
    </row>
    <row r="338" spans="1:7" ht="15">
      <c r="A338" s="193">
        <v>335</v>
      </c>
      <c r="B338" s="181" t="s">
        <v>134</v>
      </c>
      <c r="C338" s="117">
        <v>39031</v>
      </c>
      <c r="D338" s="177" t="s">
        <v>58</v>
      </c>
      <c r="E338" s="177" t="s">
        <v>39</v>
      </c>
      <c r="F338" s="252">
        <v>176</v>
      </c>
      <c r="G338" s="196">
        <v>44</v>
      </c>
    </row>
    <row r="339" spans="1:7" ht="15">
      <c r="A339" s="190">
        <v>336</v>
      </c>
      <c r="B339" s="148" t="s">
        <v>79</v>
      </c>
      <c r="C339" s="151">
        <v>39052</v>
      </c>
      <c r="D339" s="146" t="s">
        <v>58</v>
      </c>
      <c r="E339" s="146" t="s">
        <v>14</v>
      </c>
      <c r="F339" s="259">
        <v>137705.5</v>
      </c>
      <c r="G339" s="157">
        <v>21048</v>
      </c>
    </row>
    <row r="340" spans="1:7" ht="15">
      <c r="A340" s="193">
        <v>337</v>
      </c>
      <c r="B340" s="181" t="s">
        <v>79</v>
      </c>
      <c r="C340" s="117">
        <v>39052</v>
      </c>
      <c r="D340" s="177" t="s">
        <v>58</v>
      </c>
      <c r="E340" s="177" t="s">
        <v>14</v>
      </c>
      <c r="F340" s="252">
        <v>96374</v>
      </c>
      <c r="G340" s="196">
        <v>15913</v>
      </c>
    </row>
    <row r="341" spans="1:7" ht="15">
      <c r="A341" s="190">
        <v>338</v>
      </c>
      <c r="B341" s="149" t="s">
        <v>79</v>
      </c>
      <c r="C341" s="117">
        <v>39052</v>
      </c>
      <c r="D341" s="128" t="s">
        <v>58</v>
      </c>
      <c r="E341" s="128" t="s">
        <v>14</v>
      </c>
      <c r="F341" s="252">
        <v>73504</v>
      </c>
      <c r="G341" s="196">
        <v>13224</v>
      </c>
    </row>
    <row r="342" spans="1:7" ht="15">
      <c r="A342" s="193">
        <v>339</v>
      </c>
      <c r="B342" s="249" t="s">
        <v>79</v>
      </c>
      <c r="C342" s="117">
        <v>39052</v>
      </c>
      <c r="D342" s="128" t="s">
        <v>58</v>
      </c>
      <c r="E342" s="128" t="s">
        <v>14</v>
      </c>
      <c r="F342" s="252">
        <v>30884</v>
      </c>
      <c r="G342" s="196">
        <v>6184</v>
      </c>
    </row>
    <row r="343" spans="1:7" ht="15">
      <c r="A343" s="193">
        <v>340</v>
      </c>
      <c r="B343" s="149" t="s">
        <v>79</v>
      </c>
      <c r="C343" s="117">
        <v>39052</v>
      </c>
      <c r="D343" s="291" t="s">
        <v>58</v>
      </c>
      <c r="E343" s="291" t="s">
        <v>14</v>
      </c>
      <c r="F343" s="293">
        <v>17976</v>
      </c>
      <c r="G343" s="196">
        <v>3081</v>
      </c>
    </row>
    <row r="344" spans="1:7" ht="15">
      <c r="A344" s="190">
        <v>341</v>
      </c>
      <c r="B344" s="149" t="s">
        <v>79</v>
      </c>
      <c r="C344" s="117">
        <v>39052</v>
      </c>
      <c r="D344" s="128" t="s">
        <v>58</v>
      </c>
      <c r="E344" s="128" t="s">
        <v>14</v>
      </c>
      <c r="F344" s="252">
        <v>17454.5</v>
      </c>
      <c r="G344" s="196">
        <v>3648</v>
      </c>
    </row>
    <row r="345" spans="1:7" ht="15">
      <c r="A345" s="193">
        <v>342</v>
      </c>
      <c r="B345" s="249" t="s">
        <v>79</v>
      </c>
      <c r="C345" s="117">
        <v>39052</v>
      </c>
      <c r="D345" s="128" t="s">
        <v>58</v>
      </c>
      <c r="E345" s="128" t="s">
        <v>14</v>
      </c>
      <c r="F345" s="257">
        <v>10984.5</v>
      </c>
      <c r="G345" s="196">
        <v>2101</v>
      </c>
    </row>
    <row r="346" spans="1:7" ht="15">
      <c r="A346" s="190">
        <v>343</v>
      </c>
      <c r="B346" s="148" t="s">
        <v>79</v>
      </c>
      <c r="C346" s="151">
        <v>39052</v>
      </c>
      <c r="D346" s="283" t="s">
        <v>58</v>
      </c>
      <c r="E346" s="282" t="s">
        <v>14</v>
      </c>
      <c r="F346" s="259">
        <v>8264</v>
      </c>
      <c r="G346" s="157">
        <v>1405</v>
      </c>
    </row>
    <row r="347" spans="1:7" ht="15">
      <c r="A347" s="193">
        <v>344</v>
      </c>
      <c r="B347" s="299" t="s">
        <v>79</v>
      </c>
      <c r="C347" s="151">
        <v>39052</v>
      </c>
      <c r="D347" s="283" t="s">
        <v>58</v>
      </c>
      <c r="E347" s="283" t="s">
        <v>14</v>
      </c>
      <c r="F347" s="259">
        <v>5607</v>
      </c>
      <c r="G347" s="157">
        <v>939</v>
      </c>
    </row>
    <row r="348" spans="1:7" ht="15">
      <c r="A348" s="193">
        <v>345</v>
      </c>
      <c r="B348" s="249" t="s">
        <v>79</v>
      </c>
      <c r="C348" s="117">
        <v>39052</v>
      </c>
      <c r="D348" s="128" t="s">
        <v>58</v>
      </c>
      <c r="E348" s="128" t="s">
        <v>331</v>
      </c>
      <c r="F348" s="252">
        <v>4629</v>
      </c>
      <c r="G348" s="196">
        <v>964</v>
      </c>
    </row>
    <row r="349" spans="1:7" ht="15">
      <c r="A349" s="190">
        <v>346</v>
      </c>
      <c r="B349" s="249" t="s">
        <v>79</v>
      </c>
      <c r="C349" s="117">
        <v>39052</v>
      </c>
      <c r="D349" s="128" t="s">
        <v>12</v>
      </c>
      <c r="E349" s="128" t="s">
        <v>14</v>
      </c>
      <c r="F349" s="252">
        <v>2782</v>
      </c>
      <c r="G349" s="196">
        <v>414</v>
      </c>
    </row>
    <row r="350" spans="1:7" ht="15">
      <c r="A350" s="193">
        <v>347</v>
      </c>
      <c r="B350" s="250" t="s">
        <v>102</v>
      </c>
      <c r="C350" s="117">
        <v>39059</v>
      </c>
      <c r="D350" s="132" t="s">
        <v>23</v>
      </c>
      <c r="E350" s="131" t="s">
        <v>103</v>
      </c>
      <c r="F350" s="252">
        <v>2970</v>
      </c>
      <c r="G350" s="196">
        <v>759</v>
      </c>
    </row>
    <row r="351" spans="1:7" ht="15">
      <c r="A351" s="190">
        <v>348</v>
      </c>
      <c r="B351" s="150" t="s">
        <v>102</v>
      </c>
      <c r="C351" s="117">
        <v>39059</v>
      </c>
      <c r="D351" s="132" t="s">
        <v>23</v>
      </c>
      <c r="E351" s="131" t="s">
        <v>103</v>
      </c>
      <c r="F351" s="252">
        <v>1068</v>
      </c>
      <c r="G351" s="196">
        <v>267</v>
      </c>
    </row>
    <row r="352" spans="1:7" ht="15">
      <c r="A352" s="193">
        <v>349</v>
      </c>
      <c r="B352" s="250" t="s">
        <v>102</v>
      </c>
      <c r="C352" s="117">
        <v>39059</v>
      </c>
      <c r="D352" s="132" t="s">
        <v>23</v>
      </c>
      <c r="E352" s="131" t="s">
        <v>103</v>
      </c>
      <c r="F352" s="252">
        <v>952</v>
      </c>
      <c r="G352" s="196">
        <v>238</v>
      </c>
    </row>
    <row r="353" spans="1:7" ht="15">
      <c r="A353" s="193">
        <v>350</v>
      </c>
      <c r="B353" s="181" t="s">
        <v>102</v>
      </c>
      <c r="C353" s="117">
        <v>39059</v>
      </c>
      <c r="D353" s="177" t="s">
        <v>23</v>
      </c>
      <c r="E353" s="177" t="s">
        <v>103</v>
      </c>
      <c r="F353" s="252">
        <v>453</v>
      </c>
      <c r="G353" s="196">
        <v>91</v>
      </c>
    </row>
    <row r="354" spans="1:7" ht="15">
      <c r="A354" s="190">
        <v>351</v>
      </c>
      <c r="B354" s="250" t="s">
        <v>102</v>
      </c>
      <c r="C354" s="117">
        <v>39059</v>
      </c>
      <c r="D354" s="132" t="s">
        <v>23</v>
      </c>
      <c r="E354" s="131" t="s">
        <v>103</v>
      </c>
      <c r="F354" s="252">
        <v>340</v>
      </c>
      <c r="G354" s="196">
        <v>68</v>
      </c>
    </row>
    <row r="355" spans="1:7" ht="15">
      <c r="A355" s="193">
        <v>352</v>
      </c>
      <c r="B355" s="250" t="s">
        <v>102</v>
      </c>
      <c r="C355" s="117">
        <v>39059</v>
      </c>
      <c r="D355" s="285" t="s">
        <v>23</v>
      </c>
      <c r="E355" s="286" t="s">
        <v>103</v>
      </c>
      <c r="F355" s="257">
        <v>117</v>
      </c>
      <c r="G355" s="159">
        <v>49</v>
      </c>
    </row>
    <row r="356" spans="1:7" ht="15">
      <c r="A356" s="190">
        <v>353</v>
      </c>
      <c r="B356" s="150" t="s">
        <v>102</v>
      </c>
      <c r="C356" s="117">
        <v>39059</v>
      </c>
      <c r="D356" s="132" t="s">
        <v>23</v>
      </c>
      <c r="E356" s="131" t="s">
        <v>103</v>
      </c>
      <c r="F356" s="257">
        <v>115</v>
      </c>
      <c r="G356" s="159">
        <v>14</v>
      </c>
    </row>
    <row r="357" spans="1:7" ht="15">
      <c r="A357" s="193">
        <v>354</v>
      </c>
      <c r="B357" s="250" t="s">
        <v>102</v>
      </c>
      <c r="C357" s="117">
        <v>39059</v>
      </c>
      <c r="D357" s="132" t="s">
        <v>23</v>
      </c>
      <c r="E357" s="131" t="s">
        <v>103</v>
      </c>
      <c r="F357" s="257">
        <v>60</v>
      </c>
      <c r="G357" s="196">
        <v>24</v>
      </c>
    </row>
    <row r="358" spans="1:7" ht="15">
      <c r="A358" s="193">
        <v>355</v>
      </c>
      <c r="B358" s="150" t="s">
        <v>84</v>
      </c>
      <c r="C358" s="117">
        <v>38891</v>
      </c>
      <c r="D358" s="132" t="s">
        <v>23</v>
      </c>
      <c r="E358" s="131" t="s">
        <v>13</v>
      </c>
      <c r="F358" s="257">
        <v>2030.2</v>
      </c>
      <c r="G358" s="159">
        <v>506</v>
      </c>
    </row>
    <row r="359" spans="1:7" ht="15">
      <c r="A359" s="190">
        <v>356</v>
      </c>
      <c r="B359" s="181" t="s">
        <v>84</v>
      </c>
      <c r="C359" s="117">
        <v>38891</v>
      </c>
      <c r="D359" s="177" t="s">
        <v>23</v>
      </c>
      <c r="E359" s="177" t="s">
        <v>13</v>
      </c>
      <c r="F359" s="252">
        <v>1554.4</v>
      </c>
      <c r="G359" s="196">
        <v>456</v>
      </c>
    </row>
    <row r="360" spans="1:7" ht="15">
      <c r="A360" s="193">
        <v>357</v>
      </c>
      <c r="B360" s="150" t="s">
        <v>84</v>
      </c>
      <c r="C360" s="117">
        <v>38891</v>
      </c>
      <c r="D360" s="132" t="s">
        <v>23</v>
      </c>
      <c r="E360" s="131" t="s">
        <v>13</v>
      </c>
      <c r="F360" s="252">
        <v>699</v>
      </c>
      <c r="G360" s="196">
        <v>199</v>
      </c>
    </row>
    <row r="361" spans="1:7" ht="15">
      <c r="A361" s="190">
        <v>358</v>
      </c>
      <c r="B361" s="150" t="s">
        <v>84</v>
      </c>
      <c r="C361" s="117">
        <v>38891</v>
      </c>
      <c r="D361" s="285" t="s">
        <v>23</v>
      </c>
      <c r="E361" s="286" t="s">
        <v>13</v>
      </c>
      <c r="F361" s="293">
        <v>195</v>
      </c>
      <c r="G361" s="196">
        <v>65</v>
      </c>
    </row>
    <row r="362" spans="1:7" ht="15">
      <c r="A362" s="193">
        <v>359</v>
      </c>
      <c r="B362" s="147" t="s">
        <v>17</v>
      </c>
      <c r="C362" s="116">
        <v>39052</v>
      </c>
      <c r="D362" s="127" t="s">
        <v>56</v>
      </c>
      <c r="E362" s="126" t="s">
        <v>71</v>
      </c>
      <c r="F362" s="258">
        <v>18054</v>
      </c>
      <c r="G362" s="156">
        <v>2827</v>
      </c>
    </row>
    <row r="363" spans="1:7" ht="15">
      <c r="A363" s="193">
        <v>360</v>
      </c>
      <c r="B363" s="180" t="s">
        <v>17</v>
      </c>
      <c r="C363" s="116">
        <v>39052</v>
      </c>
      <c r="D363" s="178" t="s">
        <v>56</v>
      </c>
      <c r="E363" s="178" t="s">
        <v>71</v>
      </c>
      <c r="F363" s="254">
        <v>7487</v>
      </c>
      <c r="G363" s="195">
        <v>1405</v>
      </c>
    </row>
    <row r="364" spans="1:7" ht="15">
      <c r="A364" s="190">
        <v>361</v>
      </c>
      <c r="B364" s="147" t="s">
        <v>17</v>
      </c>
      <c r="C364" s="116">
        <v>39052</v>
      </c>
      <c r="D364" s="127" t="s">
        <v>56</v>
      </c>
      <c r="E364" s="126" t="s">
        <v>71</v>
      </c>
      <c r="F364" s="254">
        <v>5131</v>
      </c>
      <c r="G364" s="195">
        <v>1115</v>
      </c>
    </row>
    <row r="365" spans="1:7" ht="15">
      <c r="A365" s="193">
        <v>362</v>
      </c>
      <c r="B365" s="147" t="s">
        <v>17</v>
      </c>
      <c r="C365" s="116">
        <v>39052</v>
      </c>
      <c r="D365" s="281" t="s">
        <v>56</v>
      </c>
      <c r="E365" s="282" t="s">
        <v>71</v>
      </c>
      <c r="F365" s="258">
        <v>1536</v>
      </c>
      <c r="G365" s="156">
        <v>296</v>
      </c>
    </row>
    <row r="366" spans="1:7" ht="15">
      <c r="A366" s="190">
        <v>363</v>
      </c>
      <c r="B366" s="147" t="s">
        <v>17</v>
      </c>
      <c r="C366" s="116">
        <v>39052</v>
      </c>
      <c r="D366" s="281" t="s">
        <v>56</v>
      </c>
      <c r="E366" s="282" t="s">
        <v>71</v>
      </c>
      <c r="F366" s="294">
        <v>723</v>
      </c>
      <c r="G366" s="195">
        <v>149</v>
      </c>
    </row>
    <row r="367" spans="1:7" ht="15">
      <c r="A367" s="193">
        <v>364</v>
      </c>
      <c r="B367" s="147" t="s">
        <v>17</v>
      </c>
      <c r="C367" s="116">
        <v>39052</v>
      </c>
      <c r="D367" s="127" t="s">
        <v>56</v>
      </c>
      <c r="E367" s="126" t="s">
        <v>71</v>
      </c>
      <c r="F367" s="254">
        <v>530</v>
      </c>
      <c r="G367" s="195">
        <v>106</v>
      </c>
    </row>
    <row r="368" spans="1:7" ht="15">
      <c r="A368" s="193">
        <v>365</v>
      </c>
      <c r="B368" s="149" t="s">
        <v>214</v>
      </c>
      <c r="C368" s="117">
        <v>37862</v>
      </c>
      <c r="D368" s="129" t="s">
        <v>46</v>
      </c>
      <c r="E368" s="129" t="s">
        <v>215</v>
      </c>
      <c r="F368" s="254">
        <v>354</v>
      </c>
      <c r="G368" s="195">
        <v>118</v>
      </c>
    </row>
    <row r="369" spans="1:7" ht="15">
      <c r="A369" s="190">
        <v>366</v>
      </c>
      <c r="B369" s="180" t="s">
        <v>95</v>
      </c>
      <c r="C369" s="116">
        <v>39010</v>
      </c>
      <c r="D369" s="178" t="s">
        <v>68</v>
      </c>
      <c r="E369" s="178" t="s">
        <v>40</v>
      </c>
      <c r="F369" s="263">
        <v>2615</v>
      </c>
      <c r="G369" s="199">
        <v>432</v>
      </c>
    </row>
    <row r="370" spans="1:7" ht="15">
      <c r="A370" s="193">
        <v>367</v>
      </c>
      <c r="B370" s="147" t="s">
        <v>95</v>
      </c>
      <c r="C370" s="116">
        <v>39010</v>
      </c>
      <c r="D370" s="126" t="s">
        <v>68</v>
      </c>
      <c r="E370" s="126" t="s">
        <v>40</v>
      </c>
      <c r="F370" s="264">
        <v>1100</v>
      </c>
      <c r="G370" s="161">
        <v>143</v>
      </c>
    </row>
    <row r="371" spans="1:7" ht="15">
      <c r="A371" s="190">
        <v>368</v>
      </c>
      <c r="B371" s="251" t="s">
        <v>173</v>
      </c>
      <c r="C371" s="116">
        <v>39038</v>
      </c>
      <c r="D371" s="129" t="s">
        <v>45</v>
      </c>
      <c r="E371" s="129" t="s">
        <v>174</v>
      </c>
      <c r="F371" s="258">
        <v>1188</v>
      </c>
      <c r="G371" s="195">
        <v>396</v>
      </c>
    </row>
    <row r="372" spans="1:7" ht="15">
      <c r="A372" s="193">
        <v>369</v>
      </c>
      <c r="B372" s="145" t="s">
        <v>173</v>
      </c>
      <c r="C372" s="116">
        <v>39038</v>
      </c>
      <c r="D372" s="129" t="s">
        <v>45</v>
      </c>
      <c r="E372" s="129" t="s">
        <v>174</v>
      </c>
      <c r="F372" s="254">
        <v>885</v>
      </c>
      <c r="G372" s="195">
        <v>171</v>
      </c>
    </row>
    <row r="373" spans="1:7" ht="15">
      <c r="A373" s="193">
        <v>370</v>
      </c>
      <c r="B373" s="250" t="s">
        <v>206</v>
      </c>
      <c r="C373" s="117">
        <v>38639</v>
      </c>
      <c r="D373" s="132" t="s">
        <v>23</v>
      </c>
      <c r="E373" s="131" t="s">
        <v>207</v>
      </c>
      <c r="F373" s="252">
        <v>3560</v>
      </c>
      <c r="G373" s="196">
        <v>890</v>
      </c>
    </row>
    <row r="374" spans="1:7" ht="15">
      <c r="A374" s="190">
        <v>371</v>
      </c>
      <c r="B374" s="148" t="s">
        <v>16</v>
      </c>
      <c r="C374" s="151">
        <v>39059</v>
      </c>
      <c r="D374" s="146" t="s">
        <v>58</v>
      </c>
      <c r="E374" s="146" t="s">
        <v>38</v>
      </c>
      <c r="F374" s="259">
        <v>291.5</v>
      </c>
      <c r="G374" s="157">
        <v>19</v>
      </c>
    </row>
    <row r="375" spans="1:7" ht="15">
      <c r="A375" s="193">
        <v>372</v>
      </c>
      <c r="B375" s="249" t="s">
        <v>34</v>
      </c>
      <c r="C375" s="119">
        <v>38982</v>
      </c>
      <c r="D375" s="128" t="s">
        <v>64</v>
      </c>
      <c r="E375" s="129" t="s">
        <v>289</v>
      </c>
      <c r="F375" s="261">
        <v>2355</v>
      </c>
      <c r="G375" s="198">
        <v>418</v>
      </c>
    </row>
    <row r="376" spans="1:7" ht="15">
      <c r="A376" s="190">
        <v>373</v>
      </c>
      <c r="B376" s="121" t="s">
        <v>34</v>
      </c>
      <c r="C376" s="119">
        <v>39024</v>
      </c>
      <c r="D376" s="130" t="s">
        <v>64</v>
      </c>
      <c r="E376" s="130" t="s">
        <v>62</v>
      </c>
      <c r="F376" s="262">
        <v>1186</v>
      </c>
      <c r="G376" s="160">
        <v>237</v>
      </c>
    </row>
    <row r="377" spans="1:7" ht="15">
      <c r="A377" s="193">
        <v>374</v>
      </c>
      <c r="B377" s="121" t="s">
        <v>34</v>
      </c>
      <c r="C377" s="119">
        <v>39024</v>
      </c>
      <c r="D377" s="288" t="s">
        <v>64</v>
      </c>
      <c r="E377" s="288" t="s">
        <v>62</v>
      </c>
      <c r="F377" s="262">
        <v>958</v>
      </c>
      <c r="G377" s="160">
        <v>124</v>
      </c>
    </row>
    <row r="378" spans="1:7" ht="15">
      <c r="A378" s="193">
        <v>375</v>
      </c>
      <c r="B378" s="250" t="s">
        <v>94</v>
      </c>
      <c r="C378" s="117">
        <v>39010</v>
      </c>
      <c r="D378" s="132" t="s">
        <v>23</v>
      </c>
      <c r="E378" s="131" t="s">
        <v>85</v>
      </c>
      <c r="F378" s="252">
        <v>2852</v>
      </c>
      <c r="G378" s="196">
        <v>713</v>
      </c>
    </row>
    <row r="379" spans="1:7" ht="15">
      <c r="A379" s="190">
        <v>376</v>
      </c>
      <c r="B379" s="150" t="s">
        <v>94</v>
      </c>
      <c r="C379" s="117">
        <v>39010</v>
      </c>
      <c r="D379" s="132" t="s">
        <v>23</v>
      </c>
      <c r="E379" s="131" t="s">
        <v>85</v>
      </c>
      <c r="F379" s="252">
        <v>2339</v>
      </c>
      <c r="G379" s="196">
        <v>447</v>
      </c>
    </row>
    <row r="380" spans="1:7" ht="15">
      <c r="A380" s="193">
        <v>377</v>
      </c>
      <c r="B380" s="150" t="s">
        <v>94</v>
      </c>
      <c r="C380" s="117">
        <v>39010</v>
      </c>
      <c r="D380" s="285" t="s">
        <v>23</v>
      </c>
      <c r="E380" s="286" t="s">
        <v>85</v>
      </c>
      <c r="F380" s="257">
        <v>2083</v>
      </c>
      <c r="G380" s="159">
        <v>384</v>
      </c>
    </row>
    <row r="381" spans="1:7" ht="15">
      <c r="A381" s="190">
        <v>378</v>
      </c>
      <c r="B381" s="150" t="s">
        <v>94</v>
      </c>
      <c r="C381" s="117">
        <v>39010</v>
      </c>
      <c r="D381" s="132" t="s">
        <v>23</v>
      </c>
      <c r="E381" s="131" t="s">
        <v>85</v>
      </c>
      <c r="F381" s="257">
        <v>1894</v>
      </c>
      <c r="G381" s="159">
        <v>394</v>
      </c>
    </row>
    <row r="382" spans="1:7" ht="15">
      <c r="A382" s="193">
        <v>379</v>
      </c>
      <c r="B382" s="250" t="s">
        <v>94</v>
      </c>
      <c r="C382" s="117">
        <v>39010</v>
      </c>
      <c r="D382" s="132" t="s">
        <v>23</v>
      </c>
      <c r="E382" s="131" t="s">
        <v>85</v>
      </c>
      <c r="F382" s="257">
        <v>1780</v>
      </c>
      <c r="G382" s="196">
        <v>445</v>
      </c>
    </row>
    <row r="383" spans="1:7" ht="15">
      <c r="A383" s="193">
        <v>380</v>
      </c>
      <c r="B383" s="181" t="s">
        <v>94</v>
      </c>
      <c r="C383" s="117">
        <v>39010</v>
      </c>
      <c r="D383" s="177" t="s">
        <v>23</v>
      </c>
      <c r="E383" s="177" t="s">
        <v>85</v>
      </c>
      <c r="F383" s="252">
        <v>1723</v>
      </c>
      <c r="G383" s="196">
        <v>386</v>
      </c>
    </row>
    <row r="384" spans="1:7" ht="15">
      <c r="A384" s="190">
        <v>381</v>
      </c>
      <c r="B384" s="150" t="s">
        <v>94</v>
      </c>
      <c r="C384" s="117">
        <v>39010</v>
      </c>
      <c r="D384" s="132" t="s">
        <v>23</v>
      </c>
      <c r="E384" s="131" t="s">
        <v>85</v>
      </c>
      <c r="F384" s="252">
        <v>1526</v>
      </c>
      <c r="G384" s="196">
        <v>373</v>
      </c>
    </row>
    <row r="385" spans="1:7" ht="15">
      <c r="A385" s="193">
        <v>382</v>
      </c>
      <c r="B385" s="250" t="s">
        <v>94</v>
      </c>
      <c r="C385" s="117">
        <v>39010</v>
      </c>
      <c r="D385" s="285" t="s">
        <v>23</v>
      </c>
      <c r="E385" s="286" t="s">
        <v>85</v>
      </c>
      <c r="F385" s="257">
        <v>357.5</v>
      </c>
      <c r="G385" s="159">
        <v>84</v>
      </c>
    </row>
    <row r="386" spans="1:7" ht="15">
      <c r="A386" s="190">
        <v>383</v>
      </c>
      <c r="B386" s="250" t="s">
        <v>94</v>
      </c>
      <c r="C386" s="117">
        <v>39010</v>
      </c>
      <c r="D386" s="132" t="s">
        <v>23</v>
      </c>
      <c r="E386" s="131" t="s">
        <v>85</v>
      </c>
      <c r="F386" s="252">
        <v>351</v>
      </c>
      <c r="G386" s="196">
        <v>51</v>
      </c>
    </row>
    <row r="387" spans="1:9" ht="15">
      <c r="A387" s="193">
        <v>384</v>
      </c>
      <c r="B387" s="250" t="s">
        <v>94</v>
      </c>
      <c r="C387" s="117">
        <v>39010</v>
      </c>
      <c r="D387" s="132" t="s">
        <v>23</v>
      </c>
      <c r="E387" s="131" t="s">
        <v>85</v>
      </c>
      <c r="F387" s="252">
        <v>175</v>
      </c>
      <c r="G387" s="196">
        <v>27</v>
      </c>
      <c r="I387" s="300"/>
    </row>
    <row r="388" spans="1:9" ht="15">
      <c r="A388" s="193">
        <v>385</v>
      </c>
      <c r="B388" s="150" t="s">
        <v>94</v>
      </c>
      <c r="C388" s="117">
        <v>39010</v>
      </c>
      <c r="D388" s="285" t="s">
        <v>23</v>
      </c>
      <c r="E388" s="286" t="s">
        <v>85</v>
      </c>
      <c r="F388" s="293">
        <v>159</v>
      </c>
      <c r="G388" s="196">
        <v>37</v>
      </c>
      <c r="I388" s="300"/>
    </row>
    <row r="389" spans="1:9" ht="15">
      <c r="A389" s="190">
        <v>386</v>
      </c>
      <c r="B389" s="147" t="s">
        <v>172</v>
      </c>
      <c r="C389" s="116">
        <v>38814</v>
      </c>
      <c r="D389" s="126" t="s">
        <v>48</v>
      </c>
      <c r="E389" s="126" t="s">
        <v>70</v>
      </c>
      <c r="F389" s="255">
        <v>960</v>
      </c>
      <c r="G389" s="197">
        <v>192</v>
      </c>
      <c r="I389" s="300"/>
    </row>
    <row r="390" spans="1:9" ht="15.75" thickBot="1">
      <c r="A390" s="193">
        <v>387</v>
      </c>
      <c r="B390" s="200" t="s">
        <v>133</v>
      </c>
      <c r="C390" s="201">
        <v>38996</v>
      </c>
      <c r="D390" s="202" t="s">
        <v>57</v>
      </c>
      <c r="E390" s="203" t="s">
        <v>63</v>
      </c>
      <c r="F390" s="265">
        <v>795</v>
      </c>
      <c r="G390" s="204">
        <v>159</v>
      </c>
      <c r="I390" s="300"/>
    </row>
    <row r="391" spans="1:9" ht="15">
      <c r="A391" s="467" t="s">
        <v>50</v>
      </c>
      <c r="B391" s="468"/>
      <c r="C391" s="185"/>
      <c r="D391" s="185"/>
      <c r="E391" s="185"/>
      <c r="F391" s="266">
        <f>SUM(F4:F390)</f>
        <v>10073071.699999997</v>
      </c>
      <c r="G391" s="188">
        <f>SUM(G4:G390)</f>
        <v>1471787</v>
      </c>
      <c r="I391" s="300"/>
    </row>
    <row r="392" spans="1:9" ht="12.75">
      <c r="A392" s="91"/>
      <c r="B392" s="83"/>
      <c r="C392" s="84"/>
      <c r="D392" s="84"/>
      <c r="E392" s="84"/>
      <c r="F392" s="267"/>
      <c r="G392" s="171"/>
      <c r="I392" s="300"/>
    </row>
    <row r="393" spans="1:9" ht="12.75">
      <c r="A393" s="92"/>
      <c r="B393" s="87"/>
      <c r="C393" s="50"/>
      <c r="D393" s="50"/>
      <c r="E393" s="50"/>
      <c r="F393" s="268"/>
      <c r="G393" s="172"/>
      <c r="I393" s="300"/>
    </row>
    <row r="394" spans="1:9" ht="12.75">
      <c r="A394" s="92"/>
      <c r="B394" s="87"/>
      <c r="C394" s="433" t="s">
        <v>31</v>
      </c>
      <c r="D394" s="459"/>
      <c r="E394" s="459"/>
      <c r="F394" s="459"/>
      <c r="G394" s="459"/>
      <c r="I394" s="300"/>
    </row>
    <row r="395" spans="1:7" ht="12.75">
      <c r="A395" s="92"/>
      <c r="B395" s="87"/>
      <c r="C395" s="459"/>
      <c r="D395" s="459"/>
      <c r="E395" s="459"/>
      <c r="F395" s="459"/>
      <c r="G395" s="459"/>
    </row>
    <row r="396" spans="1:7" ht="12.75">
      <c r="A396" s="92"/>
      <c r="B396" s="87"/>
      <c r="C396" s="459"/>
      <c r="D396" s="459"/>
      <c r="E396" s="459"/>
      <c r="F396" s="459"/>
      <c r="G396" s="459"/>
    </row>
    <row r="397" spans="1:7" ht="18" customHeight="1">
      <c r="A397" s="92"/>
      <c r="B397" s="87"/>
      <c r="C397" s="459"/>
      <c r="D397" s="459"/>
      <c r="E397" s="459"/>
      <c r="F397" s="459"/>
      <c r="G397" s="459"/>
    </row>
    <row r="398" spans="1:7" ht="30" customHeight="1">
      <c r="A398" s="92"/>
      <c r="B398" s="87"/>
      <c r="C398" s="459"/>
      <c r="D398" s="459"/>
      <c r="E398" s="459"/>
      <c r="F398" s="459"/>
      <c r="G398" s="459"/>
    </row>
    <row r="399" spans="1:7" ht="12.75">
      <c r="A399" s="92"/>
      <c r="B399" s="87"/>
      <c r="C399" s="459"/>
      <c r="D399" s="459"/>
      <c r="E399" s="459"/>
      <c r="F399" s="459"/>
      <c r="G399" s="459"/>
    </row>
    <row r="400" spans="1:7" ht="12.75">
      <c r="A400" s="92"/>
      <c r="B400" s="87"/>
      <c r="C400" s="104"/>
      <c r="D400" s="90"/>
      <c r="E400" s="90"/>
      <c r="F400" s="269"/>
      <c r="G400" s="173"/>
    </row>
    <row r="401" spans="1:7" ht="12.75">
      <c r="A401" s="92"/>
      <c r="B401" s="87"/>
      <c r="C401" s="460" t="s">
        <v>19</v>
      </c>
      <c r="D401" s="459"/>
      <c r="E401" s="459"/>
      <c r="F401" s="459"/>
      <c r="G401" s="459"/>
    </row>
    <row r="402" spans="1:7" ht="12.75">
      <c r="A402" s="92"/>
      <c r="B402" s="87"/>
      <c r="C402" s="459"/>
      <c r="D402" s="459"/>
      <c r="E402" s="459"/>
      <c r="F402" s="459"/>
      <c r="G402" s="459"/>
    </row>
    <row r="403" spans="1:7" ht="12.75">
      <c r="A403" s="92"/>
      <c r="B403" s="87"/>
      <c r="C403" s="459"/>
      <c r="D403" s="459"/>
      <c r="E403" s="459"/>
      <c r="F403" s="459"/>
      <c r="G403" s="459"/>
    </row>
    <row r="404" spans="1:7" ht="12.75">
      <c r="A404" s="92"/>
      <c r="B404" s="87"/>
      <c r="C404" s="459"/>
      <c r="D404" s="459"/>
      <c r="E404" s="459"/>
      <c r="F404" s="459"/>
      <c r="G404" s="459"/>
    </row>
    <row r="405" spans="1:7" ht="12.75">
      <c r="A405" s="92"/>
      <c r="B405" s="87"/>
      <c r="C405" s="459"/>
      <c r="D405" s="459"/>
      <c r="E405" s="459"/>
      <c r="F405" s="459"/>
      <c r="G405" s="459"/>
    </row>
    <row r="406" spans="1:7" ht="12.75">
      <c r="A406" s="92"/>
      <c r="B406" s="87"/>
      <c r="C406" s="459"/>
      <c r="D406" s="459"/>
      <c r="E406" s="459"/>
      <c r="F406" s="459"/>
      <c r="G406" s="459"/>
    </row>
    <row r="407" spans="1:7" ht="12.75">
      <c r="A407" s="92"/>
      <c r="B407" s="87"/>
      <c r="C407" s="461"/>
      <c r="D407" s="461"/>
      <c r="E407" s="461"/>
      <c r="F407" s="461"/>
      <c r="G407" s="461"/>
    </row>
    <row r="408" spans="1:7" ht="12.75">
      <c r="A408" s="92"/>
      <c r="B408" s="87"/>
      <c r="C408" s="50"/>
      <c r="D408" s="50"/>
      <c r="E408" s="50"/>
      <c r="F408" s="268"/>
      <c r="G408" s="172"/>
    </row>
    <row r="409" spans="1:7" ht="12.75">
      <c r="A409" s="92"/>
      <c r="B409" s="87"/>
      <c r="C409" s="50"/>
      <c r="D409" s="50"/>
      <c r="E409" s="50"/>
      <c r="F409" s="268"/>
      <c r="G409" s="172"/>
    </row>
  </sheetData>
  <mergeCells count="9">
    <mergeCell ref="C394:G399"/>
    <mergeCell ref="C401:G407"/>
    <mergeCell ref="A1:G1"/>
    <mergeCell ref="B2:B3"/>
    <mergeCell ref="C2:C3"/>
    <mergeCell ref="D2:D3"/>
    <mergeCell ref="E2:E3"/>
    <mergeCell ref="F2:G2"/>
    <mergeCell ref="A391:B39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W61"/>
  <sheetViews>
    <sheetView zoomScale="90" zoomScaleNormal="90" workbookViewId="0" topLeftCell="A1">
      <selection activeCell="A61" sqref="A61:I61"/>
    </sheetView>
  </sheetViews>
  <sheetFormatPr defaultColWidth="9.140625" defaultRowHeight="12.75"/>
  <cols>
    <col min="1" max="1" width="2.7109375" style="230" bestFit="1" customWidth="1"/>
    <col min="2" max="2" width="4.7109375" style="231" bestFit="1" customWidth="1"/>
    <col min="3" max="3" width="7.57421875" style="232" bestFit="1" customWidth="1"/>
    <col min="4" max="4" width="2.7109375" style="230" bestFit="1" customWidth="1"/>
    <col min="5" max="5" width="1.8515625" style="230" bestFit="1" customWidth="1"/>
    <col min="6" max="6" width="3.421875" style="233" bestFit="1" customWidth="1"/>
    <col min="7" max="7" width="10.421875" style="234" bestFit="1" customWidth="1"/>
    <col min="8" max="8" width="8.421875" style="235" bestFit="1" customWidth="1"/>
    <col min="9" max="9" width="5.28125" style="232" bestFit="1" customWidth="1"/>
    <col min="10" max="10" width="9.7109375" style="236" bestFit="1" customWidth="1"/>
    <col min="11" max="11" width="6.28125" style="237" bestFit="1" customWidth="1"/>
    <col min="12" max="12" width="6.00390625" style="238" bestFit="1" customWidth="1"/>
    <col min="13" max="13" width="1.8515625" style="233" bestFit="1" customWidth="1"/>
    <col min="14" max="14" width="9.7109375" style="234" bestFit="1" customWidth="1"/>
    <col min="15" max="15" width="6.28125" style="235" bestFit="1" customWidth="1"/>
    <col min="16" max="16" width="6.00390625" style="239" bestFit="1" customWidth="1"/>
    <col min="17" max="17" width="2.7109375" style="230" bestFit="1" customWidth="1"/>
    <col min="18" max="18" width="10.421875" style="236" bestFit="1" customWidth="1"/>
    <col min="19" max="19" width="8.421875" style="237" bestFit="1" customWidth="1"/>
    <col min="20" max="20" width="6.00390625" style="238" bestFit="1" customWidth="1"/>
    <col min="21" max="21" width="20.57421875" style="240" bestFit="1" customWidth="1"/>
    <col min="22" max="22" width="6.28125" style="235" bestFit="1" customWidth="1"/>
    <col min="23" max="23" width="6.00390625" style="239" bestFit="1" customWidth="1"/>
    <col min="24" max="16384" width="9.140625" style="220" customWidth="1"/>
  </cols>
  <sheetData>
    <row r="1" spans="1:23" ht="14.25" thickBot="1">
      <c r="A1" s="205">
        <v>1</v>
      </c>
      <c r="B1" s="206" t="s">
        <v>140</v>
      </c>
      <c r="C1" s="207" t="s">
        <v>139</v>
      </c>
      <c r="D1" s="208">
        <v>10</v>
      </c>
      <c r="E1" s="209">
        <v>2</v>
      </c>
      <c r="F1" s="210">
        <v>56</v>
      </c>
      <c r="G1" s="211">
        <v>8691537.8</v>
      </c>
      <c r="H1" s="212">
        <v>1116749</v>
      </c>
      <c r="I1" s="213" t="s">
        <v>56</v>
      </c>
      <c r="J1" s="214">
        <v>2578324</v>
      </c>
      <c r="K1" s="215">
        <v>326212</v>
      </c>
      <c r="L1" s="216">
        <f aca="true" t="shared" si="0" ref="L1:L11">SUM(K1/H1)</f>
        <v>0.29210861169340646</v>
      </c>
      <c r="M1" s="210">
        <v>4</v>
      </c>
      <c r="N1" s="211">
        <v>3067842</v>
      </c>
      <c r="O1" s="217">
        <v>355957</v>
      </c>
      <c r="P1" s="218">
        <f aca="true" t="shared" si="1" ref="P1:P11">SUM(O1/H1)</f>
        <v>0.31874396126613946</v>
      </c>
      <c r="Q1" s="205">
        <v>15</v>
      </c>
      <c r="R1" s="214">
        <v>4982432.6</v>
      </c>
      <c r="S1" s="215">
        <v>687078</v>
      </c>
      <c r="T1" s="216">
        <f aca="true" t="shared" si="2" ref="T1:T11">SUM(S1/H1)</f>
        <v>0.6152483682546391</v>
      </c>
      <c r="U1" s="219" t="s">
        <v>141</v>
      </c>
      <c r="V1" s="217">
        <v>169709</v>
      </c>
      <c r="W1" s="218">
        <f aca="true" t="shared" si="3" ref="W1:W11">SUM(V1/H1)</f>
        <v>0.15196700422386766</v>
      </c>
    </row>
    <row r="2" spans="1:23" ht="14.25" thickBot="1">
      <c r="A2" s="205">
        <v>2</v>
      </c>
      <c r="B2" s="206" t="s">
        <v>142</v>
      </c>
      <c r="C2" s="207" t="s">
        <v>139</v>
      </c>
      <c r="D2" s="208">
        <v>11</v>
      </c>
      <c r="E2" s="209">
        <v>1</v>
      </c>
      <c r="F2" s="210">
        <v>60</v>
      </c>
      <c r="G2" s="211">
        <v>5118756.19</v>
      </c>
      <c r="H2" s="212">
        <v>659053</v>
      </c>
      <c r="I2" s="213" t="s">
        <v>57</v>
      </c>
      <c r="J2" s="214">
        <v>1728906</v>
      </c>
      <c r="K2" s="215">
        <v>201031</v>
      </c>
      <c r="L2" s="216">
        <f t="shared" si="0"/>
        <v>0.30503009621380983</v>
      </c>
      <c r="M2" s="210">
        <v>4</v>
      </c>
      <c r="N2" s="211">
        <v>1283953.79</v>
      </c>
      <c r="O2" s="217">
        <v>146284</v>
      </c>
      <c r="P2" s="218">
        <f t="shared" si="1"/>
        <v>0.22196090450995595</v>
      </c>
      <c r="Q2" s="205">
        <v>15</v>
      </c>
      <c r="R2" s="214">
        <v>2107779</v>
      </c>
      <c r="S2" s="215">
        <v>296899</v>
      </c>
      <c r="T2" s="216">
        <f t="shared" si="2"/>
        <v>0.4504933594111551</v>
      </c>
      <c r="U2" s="219" t="s">
        <v>162</v>
      </c>
      <c r="V2" s="217">
        <v>124215</v>
      </c>
      <c r="W2" s="218">
        <f t="shared" si="3"/>
        <v>0.18847497849186637</v>
      </c>
    </row>
    <row r="3" spans="1:23" ht="14.25" thickBot="1">
      <c r="A3" s="205">
        <v>3</v>
      </c>
      <c r="B3" s="206" t="s">
        <v>178</v>
      </c>
      <c r="C3" s="207" t="s">
        <v>139</v>
      </c>
      <c r="D3" s="208">
        <v>10</v>
      </c>
      <c r="E3" s="209">
        <v>2</v>
      </c>
      <c r="F3" s="210">
        <v>62</v>
      </c>
      <c r="G3" s="211">
        <v>6529602.8</v>
      </c>
      <c r="H3" s="212">
        <v>890256</v>
      </c>
      <c r="I3" s="213" t="s">
        <v>177</v>
      </c>
      <c r="J3" s="214">
        <v>3607269.5</v>
      </c>
      <c r="K3" s="215">
        <v>527388</v>
      </c>
      <c r="L3" s="216">
        <f t="shared" si="0"/>
        <v>0.5924003882029438</v>
      </c>
      <c r="M3" s="210">
        <v>5</v>
      </c>
      <c r="N3" s="211">
        <v>3682940.5</v>
      </c>
      <c r="O3" s="217">
        <v>511626</v>
      </c>
      <c r="P3" s="218">
        <f t="shared" si="1"/>
        <v>0.5746953685232113</v>
      </c>
      <c r="Q3" s="205">
        <v>16</v>
      </c>
      <c r="R3" s="214">
        <v>4246940.5</v>
      </c>
      <c r="S3" s="215">
        <v>616838</v>
      </c>
      <c r="T3" s="216">
        <f t="shared" si="2"/>
        <v>0.6928771050124908</v>
      </c>
      <c r="U3" s="219" t="s">
        <v>179</v>
      </c>
      <c r="V3" s="217">
        <v>453903</v>
      </c>
      <c r="W3" s="218">
        <f t="shared" si="3"/>
        <v>0.5098567153717583</v>
      </c>
    </row>
    <row r="4" spans="1:23" ht="14.25" thickBot="1">
      <c r="A4" s="205">
        <v>4</v>
      </c>
      <c r="B4" s="206" t="s">
        <v>181</v>
      </c>
      <c r="C4" s="207" t="s">
        <v>139</v>
      </c>
      <c r="D4" s="208">
        <v>10</v>
      </c>
      <c r="E4" s="209">
        <v>2</v>
      </c>
      <c r="F4" s="210">
        <v>61</v>
      </c>
      <c r="G4" s="211">
        <v>7092188.4</v>
      </c>
      <c r="H4" s="212">
        <v>992303</v>
      </c>
      <c r="I4" s="213" t="s">
        <v>177</v>
      </c>
      <c r="J4" s="214">
        <v>4481033</v>
      </c>
      <c r="K4" s="215">
        <v>657202</v>
      </c>
      <c r="L4" s="216">
        <f t="shared" si="0"/>
        <v>0.6622997209521688</v>
      </c>
      <c r="M4" s="210">
        <v>3</v>
      </c>
      <c r="N4" s="211">
        <v>2723182.5</v>
      </c>
      <c r="O4" s="217">
        <v>383964</v>
      </c>
      <c r="P4" s="218">
        <f t="shared" si="1"/>
        <v>0.38694229484340975</v>
      </c>
      <c r="Q4" s="205">
        <v>17</v>
      </c>
      <c r="R4" s="214">
        <v>5464750.5</v>
      </c>
      <c r="S4" s="215">
        <v>798920</v>
      </c>
      <c r="T4" s="216">
        <f t="shared" si="2"/>
        <v>0.8051169854369079</v>
      </c>
      <c r="U4" s="219" t="s">
        <v>182</v>
      </c>
      <c r="V4" s="217">
        <v>302980</v>
      </c>
      <c r="W4" s="218">
        <f t="shared" si="3"/>
        <v>0.30533012597966547</v>
      </c>
    </row>
    <row r="5" spans="1:23" ht="14.25" thickBot="1">
      <c r="A5" s="205">
        <v>5</v>
      </c>
      <c r="B5" s="206" t="s">
        <v>208</v>
      </c>
      <c r="C5" s="207" t="s">
        <v>209</v>
      </c>
      <c r="D5" s="208">
        <v>10</v>
      </c>
      <c r="E5" s="209">
        <v>2</v>
      </c>
      <c r="F5" s="210">
        <v>59</v>
      </c>
      <c r="G5" s="211">
        <v>9179330.2</v>
      </c>
      <c r="H5" s="212">
        <v>1224917</v>
      </c>
      <c r="I5" s="213" t="s">
        <v>56</v>
      </c>
      <c r="J5" s="214">
        <v>3493499</v>
      </c>
      <c r="K5" s="215">
        <v>456605</v>
      </c>
      <c r="L5" s="216">
        <f t="shared" si="0"/>
        <v>0.3727640321752413</v>
      </c>
      <c r="M5" s="210">
        <v>3</v>
      </c>
      <c r="N5" s="211">
        <v>4795747.5</v>
      </c>
      <c r="O5" s="217">
        <v>625765</v>
      </c>
      <c r="P5" s="218">
        <f t="shared" si="1"/>
        <v>0.5108631850158011</v>
      </c>
      <c r="Q5" s="205">
        <v>19</v>
      </c>
      <c r="R5" s="214">
        <v>7049057.5</v>
      </c>
      <c r="S5" s="215">
        <v>968934</v>
      </c>
      <c r="T5" s="216">
        <f t="shared" si="2"/>
        <v>0.7910201262616161</v>
      </c>
      <c r="U5" s="219" t="s">
        <v>210</v>
      </c>
      <c r="V5" s="217">
        <v>274655</v>
      </c>
      <c r="W5" s="218">
        <f t="shared" si="3"/>
        <v>0.22422335554164077</v>
      </c>
    </row>
    <row r="6" spans="1:23" ht="14.25" thickBot="1">
      <c r="A6" s="205">
        <v>6</v>
      </c>
      <c r="B6" s="206" t="s">
        <v>231</v>
      </c>
      <c r="C6" s="207" t="s">
        <v>209</v>
      </c>
      <c r="D6" s="208">
        <v>10</v>
      </c>
      <c r="E6" s="209">
        <v>2</v>
      </c>
      <c r="F6" s="210">
        <v>51</v>
      </c>
      <c r="G6" s="211">
        <v>8785416.1</v>
      </c>
      <c r="H6" s="212">
        <v>1151292</v>
      </c>
      <c r="I6" s="213" t="s">
        <v>56</v>
      </c>
      <c r="J6" s="214">
        <v>4155506</v>
      </c>
      <c r="K6" s="215">
        <v>521201</v>
      </c>
      <c r="L6" s="216">
        <f t="shared" si="0"/>
        <v>0.4527096514177116</v>
      </c>
      <c r="M6" s="210">
        <v>5</v>
      </c>
      <c r="N6" s="211">
        <v>1872291.5</v>
      </c>
      <c r="O6" s="217">
        <v>216438</v>
      </c>
      <c r="P6" s="218">
        <f t="shared" si="1"/>
        <v>0.18799574738641456</v>
      </c>
      <c r="Q6" s="205">
        <v>17</v>
      </c>
      <c r="R6" s="214">
        <v>5912605</v>
      </c>
      <c r="S6" s="215">
        <v>810354</v>
      </c>
      <c r="T6" s="216">
        <f t="shared" si="2"/>
        <v>0.7038648752879374</v>
      </c>
      <c r="U6" s="219" t="s">
        <v>210</v>
      </c>
      <c r="V6" s="217">
        <v>238848</v>
      </c>
      <c r="W6" s="218">
        <f t="shared" si="3"/>
        <v>0.2074608353050312</v>
      </c>
    </row>
    <row r="7" spans="1:23" ht="14.25" thickBot="1">
      <c r="A7" s="205">
        <v>7</v>
      </c>
      <c r="B7" s="206" t="s">
        <v>244</v>
      </c>
      <c r="C7" s="207" t="s">
        <v>209</v>
      </c>
      <c r="D7" s="208">
        <v>9</v>
      </c>
      <c r="E7" s="209">
        <v>3</v>
      </c>
      <c r="F7" s="210">
        <v>52</v>
      </c>
      <c r="G7" s="211">
        <v>6302662.94</v>
      </c>
      <c r="H7" s="212">
        <v>828699</v>
      </c>
      <c r="I7" s="213" t="s">
        <v>56</v>
      </c>
      <c r="J7" s="214">
        <v>2914628</v>
      </c>
      <c r="K7" s="215">
        <v>366924</v>
      </c>
      <c r="L7" s="216">
        <f t="shared" si="0"/>
        <v>0.44277113885741387</v>
      </c>
      <c r="M7" s="210">
        <v>4</v>
      </c>
      <c r="N7" s="211">
        <v>1331644</v>
      </c>
      <c r="O7" s="217">
        <v>154379</v>
      </c>
      <c r="P7" s="218">
        <f t="shared" si="1"/>
        <v>0.18629080039917992</v>
      </c>
      <c r="Q7" s="205">
        <v>18</v>
      </c>
      <c r="R7" s="214">
        <v>3602022.94</v>
      </c>
      <c r="S7" s="215">
        <v>511804</v>
      </c>
      <c r="T7" s="216">
        <f t="shared" si="2"/>
        <v>0.6175993937485142</v>
      </c>
      <c r="U7" s="219" t="s">
        <v>210</v>
      </c>
      <c r="V7" s="217">
        <v>139396</v>
      </c>
      <c r="W7" s="218">
        <f t="shared" si="3"/>
        <v>0.16821065308393035</v>
      </c>
    </row>
    <row r="8" spans="1:23" ht="14.25" thickBot="1">
      <c r="A8" s="205">
        <v>8</v>
      </c>
      <c r="B8" s="206" t="s">
        <v>252</v>
      </c>
      <c r="C8" s="207" t="s">
        <v>209</v>
      </c>
      <c r="D8" s="208">
        <v>9</v>
      </c>
      <c r="E8" s="209">
        <v>3</v>
      </c>
      <c r="F8" s="210">
        <v>63</v>
      </c>
      <c r="G8" s="211">
        <v>6053217.5</v>
      </c>
      <c r="H8" s="212">
        <v>775939</v>
      </c>
      <c r="I8" s="213" t="s">
        <v>56</v>
      </c>
      <c r="J8" s="214">
        <v>2583853</v>
      </c>
      <c r="K8" s="215">
        <v>311964</v>
      </c>
      <c r="L8" s="216">
        <f t="shared" si="0"/>
        <v>0.4020470681329331</v>
      </c>
      <c r="M8" s="210">
        <v>5</v>
      </c>
      <c r="N8" s="211">
        <v>2873712.5</v>
      </c>
      <c r="O8" s="217">
        <v>340864</v>
      </c>
      <c r="P8" s="218">
        <f t="shared" si="1"/>
        <v>0.4392922639537386</v>
      </c>
      <c r="Q8" s="205">
        <v>19</v>
      </c>
      <c r="R8" s="214">
        <v>2339416.5</v>
      </c>
      <c r="S8" s="215">
        <v>340194</v>
      </c>
      <c r="T8" s="216">
        <f t="shared" si="2"/>
        <v>0.43842879401602447</v>
      </c>
      <c r="U8" s="219" t="s">
        <v>269</v>
      </c>
      <c r="V8" s="217">
        <v>121457</v>
      </c>
      <c r="W8" s="218">
        <f t="shared" si="3"/>
        <v>0.1565290570521652</v>
      </c>
    </row>
    <row r="9" spans="1:23" ht="14.25" thickBot="1">
      <c r="A9" s="205">
        <v>9</v>
      </c>
      <c r="B9" s="206" t="s">
        <v>270</v>
      </c>
      <c r="C9" s="207" t="s">
        <v>282</v>
      </c>
      <c r="D9" s="208">
        <v>9</v>
      </c>
      <c r="E9" s="209">
        <v>3</v>
      </c>
      <c r="F9" s="210">
        <v>61</v>
      </c>
      <c r="G9" s="211">
        <v>5270968</v>
      </c>
      <c r="H9" s="212">
        <v>674938</v>
      </c>
      <c r="I9" s="213" t="s">
        <v>56</v>
      </c>
      <c r="J9" s="214">
        <v>1779119</v>
      </c>
      <c r="K9" s="215">
        <v>220698</v>
      </c>
      <c r="L9" s="216">
        <f t="shared" si="0"/>
        <v>0.3269900346402188</v>
      </c>
      <c r="M9" s="210">
        <v>6</v>
      </c>
      <c r="N9" s="211">
        <v>1015200</v>
      </c>
      <c r="O9" s="217">
        <v>116014</v>
      </c>
      <c r="P9" s="218">
        <f t="shared" si="1"/>
        <v>0.17188838085868627</v>
      </c>
      <c r="Q9" s="205">
        <v>17</v>
      </c>
      <c r="R9" s="214">
        <v>1651440</v>
      </c>
      <c r="S9" s="215">
        <v>243524</v>
      </c>
      <c r="T9" s="216">
        <f t="shared" si="2"/>
        <v>0.36080943731127896</v>
      </c>
      <c r="U9" s="219" t="s">
        <v>269</v>
      </c>
      <c r="V9" s="217">
        <v>81309</v>
      </c>
      <c r="W9" s="218">
        <f t="shared" si="3"/>
        <v>0.12046884306410366</v>
      </c>
    </row>
    <row r="10" spans="1:23" ht="14.25" thickBot="1">
      <c r="A10" s="205">
        <v>10</v>
      </c>
      <c r="B10" s="206" t="s">
        <v>231</v>
      </c>
      <c r="C10" s="207" t="s">
        <v>282</v>
      </c>
      <c r="D10" s="208">
        <v>9</v>
      </c>
      <c r="E10" s="209">
        <v>3</v>
      </c>
      <c r="F10" s="210">
        <v>65</v>
      </c>
      <c r="G10" s="211">
        <v>5088138.05</v>
      </c>
      <c r="H10" s="212">
        <v>653287</v>
      </c>
      <c r="I10" s="213" t="s">
        <v>56</v>
      </c>
      <c r="J10" s="214">
        <v>2301130</v>
      </c>
      <c r="K10" s="215">
        <v>286844</v>
      </c>
      <c r="L10" s="216">
        <f t="shared" si="0"/>
        <v>0.4390780774759026</v>
      </c>
      <c r="M10" s="210">
        <v>5</v>
      </c>
      <c r="N10" s="211">
        <v>2343737.5</v>
      </c>
      <c r="O10" s="217">
        <v>283835</v>
      </c>
      <c r="P10" s="218">
        <f t="shared" si="1"/>
        <v>0.43447213858533845</v>
      </c>
      <c r="Q10" s="205">
        <v>21</v>
      </c>
      <c r="R10" s="214">
        <v>1588352.55</v>
      </c>
      <c r="S10" s="215">
        <v>230463</v>
      </c>
      <c r="T10" s="216">
        <f t="shared" si="2"/>
        <v>0.3527745079880665</v>
      </c>
      <c r="U10" s="219" t="s">
        <v>284</v>
      </c>
      <c r="V10" s="217">
        <v>102037</v>
      </c>
      <c r="W10" s="218">
        <f t="shared" si="3"/>
        <v>0.1561901583836813</v>
      </c>
    </row>
    <row r="11" spans="1:23" ht="14.25" thickBot="1">
      <c r="A11" s="205">
        <v>11</v>
      </c>
      <c r="B11" s="206" t="s">
        <v>244</v>
      </c>
      <c r="C11" s="207" t="s">
        <v>282</v>
      </c>
      <c r="D11" s="208">
        <v>10</v>
      </c>
      <c r="E11" s="209">
        <v>2</v>
      </c>
      <c r="F11" s="210">
        <v>68</v>
      </c>
      <c r="G11" s="211">
        <v>4963885.5</v>
      </c>
      <c r="H11" s="212">
        <v>638208</v>
      </c>
      <c r="I11" s="213" t="s">
        <v>56</v>
      </c>
      <c r="J11" s="214">
        <v>1481838</v>
      </c>
      <c r="K11" s="215">
        <v>191563</v>
      </c>
      <c r="L11" s="216">
        <f t="shared" si="0"/>
        <v>0.30015762886081027</v>
      </c>
      <c r="M11" s="210">
        <v>6</v>
      </c>
      <c r="N11" s="211">
        <v>1956043.5</v>
      </c>
      <c r="O11" s="217">
        <v>227604</v>
      </c>
      <c r="P11" s="218">
        <f t="shared" si="1"/>
        <v>0.35662981347773764</v>
      </c>
      <c r="Q11" s="205">
        <v>22</v>
      </c>
      <c r="R11" s="214">
        <v>1714676</v>
      </c>
      <c r="S11" s="215">
        <v>241825</v>
      </c>
      <c r="T11" s="216">
        <f t="shared" si="2"/>
        <v>0.3789125175491376</v>
      </c>
      <c r="U11" s="219" t="s">
        <v>341</v>
      </c>
      <c r="V11" s="217">
        <v>86101</v>
      </c>
      <c r="W11" s="218">
        <f t="shared" si="3"/>
        <v>0.13491056207380667</v>
      </c>
    </row>
    <row r="12" spans="1:23" ht="14.25" thickBot="1">
      <c r="A12" s="205"/>
      <c r="B12" s="206"/>
      <c r="C12" s="207"/>
      <c r="D12" s="208"/>
      <c r="E12" s="209"/>
      <c r="F12" s="210"/>
      <c r="G12" s="211"/>
      <c r="H12" s="212"/>
      <c r="I12" s="213"/>
      <c r="J12" s="214"/>
      <c r="K12" s="215"/>
      <c r="L12" s="216"/>
      <c r="M12" s="210"/>
      <c r="N12" s="211"/>
      <c r="O12" s="217"/>
      <c r="P12" s="218"/>
      <c r="Q12" s="205"/>
      <c r="R12" s="214"/>
      <c r="S12" s="215"/>
      <c r="T12" s="216"/>
      <c r="U12" s="219"/>
      <c r="V12" s="217"/>
      <c r="W12" s="218"/>
    </row>
    <row r="13" spans="1:23" ht="14.25" thickBot="1">
      <c r="A13" s="205"/>
      <c r="B13" s="206"/>
      <c r="C13" s="207"/>
      <c r="D13" s="208"/>
      <c r="E13" s="209"/>
      <c r="F13" s="210"/>
      <c r="G13" s="211"/>
      <c r="H13" s="212"/>
      <c r="I13" s="213"/>
      <c r="J13" s="214"/>
      <c r="K13" s="215"/>
      <c r="L13" s="216"/>
      <c r="M13" s="210"/>
      <c r="N13" s="211"/>
      <c r="O13" s="217"/>
      <c r="P13" s="218"/>
      <c r="Q13" s="205"/>
      <c r="R13" s="214"/>
      <c r="S13" s="215"/>
      <c r="T13" s="216"/>
      <c r="U13" s="219"/>
      <c r="V13" s="217"/>
      <c r="W13" s="218"/>
    </row>
    <row r="14" spans="1:23" ht="14.25" thickBot="1">
      <c r="A14" s="205"/>
      <c r="B14" s="206"/>
      <c r="C14" s="207"/>
      <c r="D14" s="208"/>
      <c r="E14" s="209"/>
      <c r="F14" s="210"/>
      <c r="G14" s="211"/>
      <c r="H14" s="212"/>
      <c r="I14" s="213"/>
      <c r="J14" s="214"/>
      <c r="K14" s="215"/>
      <c r="L14" s="216"/>
      <c r="M14" s="210"/>
      <c r="N14" s="211"/>
      <c r="O14" s="217"/>
      <c r="P14" s="218"/>
      <c r="Q14" s="205"/>
      <c r="R14" s="214"/>
      <c r="S14" s="215"/>
      <c r="T14" s="216"/>
      <c r="U14" s="219"/>
      <c r="V14" s="217"/>
      <c r="W14" s="218"/>
    </row>
    <row r="15" spans="1:23" ht="14.25" thickBot="1">
      <c r="A15" s="205"/>
      <c r="B15" s="206"/>
      <c r="C15" s="207"/>
      <c r="D15" s="208"/>
      <c r="E15" s="209"/>
      <c r="F15" s="210"/>
      <c r="G15" s="211"/>
      <c r="H15" s="212"/>
      <c r="I15" s="213"/>
      <c r="J15" s="214"/>
      <c r="K15" s="215"/>
      <c r="L15" s="216"/>
      <c r="M15" s="210"/>
      <c r="N15" s="211"/>
      <c r="O15" s="217"/>
      <c r="P15" s="218"/>
      <c r="Q15" s="205"/>
      <c r="R15" s="214"/>
      <c r="S15" s="215"/>
      <c r="T15" s="216"/>
      <c r="U15" s="219"/>
      <c r="V15" s="217"/>
      <c r="W15" s="218"/>
    </row>
    <row r="16" spans="1:23" ht="14.25" thickBot="1">
      <c r="A16" s="205"/>
      <c r="B16" s="206"/>
      <c r="C16" s="207"/>
      <c r="D16" s="208"/>
      <c r="E16" s="209"/>
      <c r="F16" s="210"/>
      <c r="G16" s="211"/>
      <c r="H16" s="212"/>
      <c r="I16" s="213"/>
      <c r="J16" s="214"/>
      <c r="K16" s="215"/>
      <c r="L16" s="216"/>
      <c r="M16" s="210"/>
      <c r="N16" s="211"/>
      <c r="O16" s="217"/>
      <c r="P16" s="218"/>
      <c r="Q16" s="205"/>
      <c r="R16" s="214"/>
      <c r="S16" s="215"/>
      <c r="T16" s="216"/>
      <c r="U16" s="219"/>
      <c r="V16" s="217"/>
      <c r="W16" s="218"/>
    </row>
    <row r="17" spans="1:23" ht="14.25" thickBot="1">
      <c r="A17" s="205"/>
      <c r="B17" s="206"/>
      <c r="C17" s="207"/>
      <c r="D17" s="208"/>
      <c r="E17" s="209"/>
      <c r="F17" s="210"/>
      <c r="G17" s="211"/>
      <c r="H17" s="212"/>
      <c r="I17" s="213"/>
      <c r="J17" s="214"/>
      <c r="K17" s="215"/>
      <c r="L17" s="216"/>
      <c r="M17" s="210"/>
      <c r="N17" s="211"/>
      <c r="O17" s="217"/>
      <c r="P17" s="218"/>
      <c r="Q17" s="205"/>
      <c r="R17" s="214"/>
      <c r="S17" s="215"/>
      <c r="T17" s="216"/>
      <c r="U17" s="219"/>
      <c r="V17" s="217"/>
      <c r="W17" s="218"/>
    </row>
    <row r="18" spans="1:23" ht="14.25" thickBot="1">
      <c r="A18" s="205"/>
      <c r="B18" s="206"/>
      <c r="C18" s="207"/>
      <c r="D18" s="208"/>
      <c r="E18" s="209"/>
      <c r="F18" s="210"/>
      <c r="G18" s="211"/>
      <c r="H18" s="212"/>
      <c r="I18" s="213"/>
      <c r="J18" s="214"/>
      <c r="K18" s="215"/>
      <c r="L18" s="216"/>
      <c r="M18" s="210"/>
      <c r="N18" s="211"/>
      <c r="O18" s="217"/>
      <c r="P18" s="218"/>
      <c r="Q18" s="205"/>
      <c r="R18" s="214"/>
      <c r="S18" s="215"/>
      <c r="T18" s="216"/>
      <c r="U18" s="219"/>
      <c r="V18" s="217"/>
      <c r="W18" s="218"/>
    </row>
    <row r="19" spans="1:23" ht="14.25" thickBot="1">
      <c r="A19" s="205"/>
      <c r="B19" s="206"/>
      <c r="C19" s="207"/>
      <c r="D19" s="208"/>
      <c r="E19" s="209"/>
      <c r="F19" s="210"/>
      <c r="G19" s="211"/>
      <c r="H19" s="212"/>
      <c r="I19" s="213"/>
      <c r="J19" s="214"/>
      <c r="K19" s="215"/>
      <c r="L19" s="216"/>
      <c r="M19" s="210"/>
      <c r="N19" s="211"/>
      <c r="O19" s="217"/>
      <c r="P19" s="218"/>
      <c r="Q19" s="205"/>
      <c r="R19" s="214"/>
      <c r="S19" s="215"/>
      <c r="T19" s="216"/>
      <c r="U19" s="219"/>
      <c r="V19" s="217"/>
      <c r="W19" s="218"/>
    </row>
    <row r="20" spans="1:23" ht="14.25" thickBot="1">
      <c r="A20" s="205"/>
      <c r="B20" s="206"/>
      <c r="C20" s="207"/>
      <c r="D20" s="208"/>
      <c r="E20" s="209"/>
      <c r="F20" s="210"/>
      <c r="G20" s="211"/>
      <c r="H20" s="212"/>
      <c r="I20" s="213"/>
      <c r="J20" s="214"/>
      <c r="K20" s="215"/>
      <c r="L20" s="216"/>
      <c r="M20" s="210"/>
      <c r="N20" s="211"/>
      <c r="O20" s="217"/>
      <c r="P20" s="218"/>
      <c r="Q20" s="205"/>
      <c r="R20" s="214"/>
      <c r="S20" s="215"/>
      <c r="T20" s="216"/>
      <c r="U20" s="219"/>
      <c r="V20" s="217"/>
      <c r="W20" s="218"/>
    </row>
    <row r="21" spans="1:23" ht="14.25" thickBot="1">
      <c r="A21" s="205"/>
      <c r="B21" s="206"/>
      <c r="C21" s="207"/>
      <c r="D21" s="208"/>
      <c r="E21" s="209"/>
      <c r="F21" s="210"/>
      <c r="G21" s="211"/>
      <c r="H21" s="212"/>
      <c r="I21" s="213"/>
      <c r="J21" s="214"/>
      <c r="K21" s="215"/>
      <c r="L21" s="216"/>
      <c r="M21" s="210"/>
      <c r="N21" s="211"/>
      <c r="O21" s="217"/>
      <c r="P21" s="218"/>
      <c r="Q21" s="205"/>
      <c r="R21" s="214"/>
      <c r="S21" s="215"/>
      <c r="T21" s="216"/>
      <c r="U21" s="219"/>
      <c r="V21" s="217"/>
      <c r="W21" s="218"/>
    </row>
    <row r="22" spans="1:23" ht="14.25" thickBot="1">
      <c r="A22" s="205"/>
      <c r="B22" s="206"/>
      <c r="C22" s="207"/>
      <c r="D22" s="208"/>
      <c r="E22" s="209"/>
      <c r="F22" s="210"/>
      <c r="G22" s="211"/>
      <c r="H22" s="212"/>
      <c r="I22" s="213"/>
      <c r="J22" s="214"/>
      <c r="K22" s="215"/>
      <c r="L22" s="216"/>
      <c r="M22" s="210"/>
      <c r="N22" s="211"/>
      <c r="O22" s="217"/>
      <c r="P22" s="218"/>
      <c r="Q22" s="205"/>
      <c r="R22" s="214"/>
      <c r="S22" s="215"/>
      <c r="T22" s="216"/>
      <c r="U22" s="219"/>
      <c r="V22" s="217"/>
      <c r="W22" s="218"/>
    </row>
    <row r="23" spans="1:23" ht="14.25" thickBot="1">
      <c r="A23" s="205"/>
      <c r="B23" s="206"/>
      <c r="C23" s="207"/>
      <c r="D23" s="208"/>
      <c r="E23" s="209"/>
      <c r="F23" s="210"/>
      <c r="G23" s="211"/>
      <c r="H23" s="212"/>
      <c r="I23" s="213"/>
      <c r="J23" s="214"/>
      <c r="K23" s="215"/>
      <c r="L23" s="216"/>
      <c r="M23" s="210"/>
      <c r="N23" s="211"/>
      <c r="O23" s="217"/>
      <c r="P23" s="218"/>
      <c r="Q23" s="205"/>
      <c r="R23" s="214"/>
      <c r="S23" s="215"/>
      <c r="T23" s="216"/>
      <c r="U23" s="219"/>
      <c r="V23" s="217"/>
      <c r="W23" s="218"/>
    </row>
    <row r="24" spans="1:23" ht="14.25" hidden="1" thickBot="1">
      <c r="A24" s="205"/>
      <c r="B24" s="206"/>
      <c r="C24" s="207"/>
      <c r="D24" s="208"/>
      <c r="E24" s="209"/>
      <c r="F24" s="210"/>
      <c r="G24" s="211"/>
      <c r="H24" s="212"/>
      <c r="I24" s="213"/>
      <c r="J24" s="214"/>
      <c r="K24" s="215"/>
      <c r="L24" s="216"/>
      <c r="M24" s="210"/>
      <c r="N24" s="211"/>
      <c r="O24" s="217"/>
      <c r="P24" s="218"/>
      <c r="Q24" s="205"/>
      <c r="R24" s="214"/>
      <c r="S24" s="215"/>
      <c r="T24" s="216"/>
      <c r="U24" s="219"/>
      <c r="V24" s="217"/>
      <c r="W24" s="218"/>
    </row>
    <row r="25" spans="1:23" ht="14.25" hidden="1" thickBot="1">
      <c r="A25" s="205"/>
      <c r="B25" s="206"/>
      <c r="C25" s="207"/>
      <c r="D25" s="208"/>
      <c r="E25" s="209"/>
      <c r="F25" s="210"/>
      <c r="G25" s="211"/>
      <c r="H25" s="212"/>
      <c r="I25" s="213"/>
      <c r="J25" s="214"/>
      <c r="K25" s="215"/>
      <c r="L25" s="216"/>
      <c r="M25" s="210"/>
      <c r="N25" s="211"/>
      <c r="O25" s="217"/>
      <c r="P25" s="218"/>
      <c r="Q25" s="205"/>
      <c r="R25" s="214"/>
      <c r="S25" s="215"/>
      <c r="T25" s="216"/>
      <c r="U25" s="219"/>
      <c r="V25" s="217"/>
      <c r="W25" s="218"/>
    </row>
    <row r="26" spans="1:23" ht="14.25" hidden="1" thickBot="1">
      <c r="A26" s="205"/>
      <c r="B26" s="206"/>
      <c r="C26" s="207"/>
      <c r="D26" s="208"/>
      <c r="E26" s="209"/>
      <c r="F26" s="210"/>
      <c r="G26" s="211"/>
      <c r="H26" s="212"/>
      <c r="I26" s="213"/>
      <c r="J26" s="214"/>
      <c r="K26" s="215"/>
      <c r="L26" s="216"/>
      <c r="M26" s="210"/>
      <c r="N26" s="211"/>
      <c r="O26" s="217"/>
      <c r="P26" s="218"/>
      <c r="Q26" s="205"/>
      <c r="R26" s="214"/>
      <c r="S26" s="215"/>
      <c r="T26" s="216"/>
      <c r="U26" s="219"/>
      <c r="V26" s="217"/>
      <c r="W26" s="218"/>
    </row>
    <row r="27" spans="1:23" ht="14.25" hidden="1" thickBot="1">
      <c r="A27" s="205"/>
      <c r="B27" s="206"/>
      <c r="C27" s="207"/>
      <c r="D27" s="208"/>
      <c r="E27" s="209"/>
      <c r="F27" s="210"/>
      <c r="G27" s="211"/>
      <c r="H27" s="212"/>
      <c r="I27" s="213"/>
      <c r="J27" s="214"/>
      <c r="K27" s="215"/>
      <c r="L27" s="216"/>
      <c r="M27" s="210"/>
      <c r="N27" s="211"/>
      <c r="O27" s="217"/>
      <c r="P27" s="218"/>
      <c r="Q27" s="205"/>
      <c r="R27" s="214"/>
      <c r="S27" s="215"/>
      <c r="T27" s="216"/>
      <c r="U27" s="219"/>
      <c r="V27" s="217"/>
      <c r="W27" s="218"/>
    </row>
    <row r="28" spans="1:23" ht="14.25" hidden="1" thickBot="1">
      <c r="A28" s="205"/>
      <c r="B28" s="206"/>
      <c r="C28" s="207"/>
      <c r="D28" s="208"/>
      <c r="E28" s="209"/>
      <c r="F28" s="210"/>
      <c r="G28" s="211"/>
      <c r="H28" s="212"/>
      <c r="I28" s="213"/>
      <c r="J28" s="214"/>
      <c r="K28" s="215"/>
      <c r="L28" s="216"/>
      <c r="M28" s="210"/>
      <c r="N28" s="211"/>
      <c r="O28" s="217"/>
      <c r="P28" s="218"/>
      <c r="Q28" s="205"/>
      <c r="R28" s="214"/>
      <c r="S28" s="215"/>
      <c r="T28" s="216"/>
      <c r="U28" s="219"/>
      <c r="V28" s="217"/>
      <c r="W28" s="218"/>
    </row>
    <row r="29" spans="1:23" ht="14.25" hidden="1" thickBot="1">
      <c r="A29" s="205"/>
      <c r="B29" s="206"/>
      <c r="C29" s="207"/>
      <c r="D29" s="208"/>
      <c r="E29" s="209"/>
      <c r="F29" s="210"/>
      <c r="G29" s="211"/>
      <c r="H29" s="212"/>
      <c r="I29" s="213"/>
      <c r="J29" s="214"/>
      <c r="K29" s="215"/>
      <c r="L29" s="216"/>
      <c r="M29" s="210"/>
      <c r="N29" s="211"/>
      <c r="O29" s="217"/>
      <c r="P29" s="218"/>
      <c r="Q29" s="205"/>
      <c r="R29" s="214"/>
      <c r="S29" s="215"/>
      <c r="T29" s="216"/>
      <c r="U29" s="219"/>
      <c r="V29" s="217"/>
      <c r="W29" s="218"/>
    </row>
    <row r="30" spans="1:23" ht="14.25" hidden="1" thickBot="1">
      <c r="A30" s="205"/>
      <c r="B30" s="206"/>
      <c r="C30" s="207"/>
      <c r="D30" s="208"/>
      <c r="E30" s="209"/>
      <c r="F30" s="210"/>
      <c r="G30" s="211"/>
      <c r="H30" s="212"/>
      <c r="I30" s="213"/>
      <c r="J30" s="214"/>
      <c r="K30" s="215"/>
      <c r="L30" s="216"/>
      <c r="M30" s="210"/>
      <c r="N30" s="211"/>
      <c r="O30" s="217"/>
      <c r="P30" s="218"/>
      <c r="Q30" s="205"/>
      <c r="R30" s="214"/>
      <c r="S30" s="215"/>
      <c r="T30" s="216"/>
      <c r="U30" s="219"/>
      <c r="V30" s="217"/>
      <c r="W30" s="218"/>
    </row>
    <row r="31" spans="1:23" ht="14.25" hidden="1" thickBot="1">
      <c r="A31" s="205"/>
      <c r="B31" s="206"/>
      <c r="C31" s="207"/>
      <c r="D31" s="208"/>
      <c r="E31" s="209"/>
      <c r="F31" s="210"/>
      <c r="G31" s="211"/>
      <c r="H31" s="212"/>
      <c r="I31" s="213"/>
      <c r="J31" s="214"/>
      <c r="K31" s="215"/>
      <c r="L31" s="216"/>
      <c r="M31" s="210"/>
      <c r="N31" s="211"/>
      <c r="O31" s="217"/>
      <c r="P31" s="218"/>
      <c r="Q31" s="205"/>
      <c r="R31" s="214"/>
      <c r="S31" s="215"/>
      <c r="T31" s="216"/>
      <c r="U31" s="219"/>
      <c r="V31" s="217"/>
      <c r="W31" s="218"/>
    </row>
    <row r="32" spans="1:23" ht="14.25" hidden="1" thickBot="1">
      <c r="A32" s="205"/>
      <c r="B32" s="206"/>
      <c r="C32" s="207"/>
      <c r="D32" s="208"/>
      <c r="E32" s="209"/>
      <c r="F32" s="210"/>
      <c r="G32" s="211"/>
      <c r="H32" s="212"/>
      <c r="I32" s="213"/>
      <c r="J32" s="214"/>
      <c r="K32" s="215"/>
      <c r="L32" s="216"/>
      <c r="M32" s="210"/>
      <c r="N32" s="211"/>
      <c r="O32" s="217"/>
      <c r="P32" s="218"/>
      <c r="Q32" s="205"/>
      <c r="R32" s="214"/>
      <c r="S32" s="215"/>
      <c r="T32" s="216"/>
      <c r="U32" s="219"/>
      <c r="V32" s="217"/>
      <c r="W32" s="218"/>
    </row>
    <row r="33" spans="1:23" ht="14.25" hidden="1" thickBot="1">
      <c r="A33" s="205"/>
      <c r="B33" s="206"/>
      <c r="C33" s="207"/>
      <c r="D33" s="208"/>
      <c r="E33" s="209"/>
      <c r="F33" s="210"/>
      <c r="G33" s="211"/>
      <c r="H33" s="212"/>
      <c r="I33" s="213"/>
      <c r="J33" s="214"/>
      <c r="K33" s="215"/>
      <c r="L33" s="216"/>
      <c r="M33" s="210"/>
      <c r="N33" s="211"/>
      <c r="O33" s="217"/>
      <c r="P33" s="218"/>
      <c r="Q33" s="205"/>
      <c r="R33" s="214"/>
      <c r="S33" s="215"/>
      <c r="T33" s="216"/>
      <c r="U33" s="219"/>
      <c r="V33" s="217"/>
      <c r="W33" s="218"/>
    </row>
    <row r="34" spans="1:23" ht="14.25" hidden="1" thickBot="1">
      <c r="A34" s="205"/>
      <c r="B34" s="206"/>
      <c r="C34" s="207"/>
      <c r="D34" s="208"/>
      <c r="E34" s="209"/>
      <c r="F34" s="210"/>
      <c r="G34" s="211"/>
      <c r="H34" s="212"/>
      <c r="I34" s="213"/>
      <c r="J34" s="214"/>
      <c r="K34" s="215"/>
      <c r="L34" s="216"/>
      <c r="M34" s="210"/>
      <c r="N34" s="211"/>
      <c r="O34" s="217"/>
      <c r="P34" s="218"/>
      <c r="Q34" s="205"/>
      <c r="R34" s="214"/>
      <c r="S34" s="215"/>
      <c r="T34" s="216"/>
      <c r="U34" s="219"/>
      <c r="V34" s="217"/>
      <c r="W34" s="218"/>
    </row>
    <row r="35" spans="1:23" ht="14.25" hidden="1" thickBot="1">
      <c r="A35" s="205"/>
      <c r="B35" s="206"/>
      <c r="C35" s="207"/>
      <c r="D35" s="208"/>
      <c r="E35" s="209"/>
      <c r="F35" s="210"/>
      <c r="G35" s="211"/>
      <c r="H35" s="212"/>
      <c r="I35" s="213"/>
      <c r="J35" s="214"/>
      <c r="K35" s="215"/>
      <c r="L35" s="216"/>
      <c r="M35" s="210"/>
      <c r="N35" s="211"/>
      <c r="O35" s="217"/>
      <c r="P35" s="218"/>
      <c r="Q35" s="205"/>
      <c r="R35" s="214"/>
      <c r="S35" s="215"/>
      <c r="T35" s="216"/>
      <c r="U35" s="219"/>
      <c r="V35" s="217"/>
      <c r="W35" s="218"/>
    </row>
    <row r="36" spans="1:23" ht="14.25" hidden="1" thickBot="1">
      <c r="A36" s="205"/>
      <c r="B36" s="206"/>
      <c r="C36" s="207"/>
      <c r="D36" s="208"/>
      <c r="E36" s="209"/>
      <c r="F36" s="210"/>
      <c r="G36" s="211"/>
      <c r="H36" s="212"/>
      <c r="I36" s="213"/>
      <c r="J36" s="214"/>
      <c r="K36" s="215"/>
      <c r="L36" s="216"/>
      <c r="M36" s="210"/>
      <c r="N36" s="211"/>
      <c r="O36" s="217"/>
      <c r="P36" s="218"/>
      <c r="Q36" s="205"/>
      <c r="R36" s="214"/>
      <c r="S36" s="215"/>
      <c r="T36" s="216"/>
      <c r="U36" s="219"/>
      <c r="V36" s="217"/>
      <c r="W36" s="218"/>
    </row>
    <row r="37" spans="1:23" ht="14.25" hidden="1" thickBot="1">
      <c r="A37" s="205"/>
      <c r="B37" s="206"/>
      <c r="C37" s="207"/>
      <c r="D37" s="208"/>
      <c r="E37" s="209"/>
      <c r="F37" s="210"/>
      <c r="G37" s="211"/>
      <c r="H37" s="212"/>
      <c r="I37" s="213"/>
      <c r="J37" s="214"/>
      <c r="K37" s="215"/>
      <c r="L37" s="216"/>
      <c r="M37" s="210"/>
      <c r="N37" s="211"/>
      <c r="O37" s="217"/>
      <c r="P37" s="218"/>
      <c r="Q37" s="205"/>
      <c r="R37" s="214"/>
      <c r="S37" s="215"/>
      <c r="T37" s="216"/>
      <c r="U37" s="219"/>
      <c r="V37" s="217"/>
      <c r="W37" s="218"/>
    </row>
    <row r="38" spans="1:23" ht="14.25" hidden="1" thickBot="1">
      <c r="A38" s="205"/>
      <c r="B38" s="206"/>
      <c r="C38" s="207"/>
      <c r="D38" s="208"/>
      <c r="E38" s="209"/>
      <c r="F38" s="210"/>
      <c r="G38" s="211"/>
      <c r="H38" s="212"/>
      <c r="I38" s="213"/>
      <c r="J38" s="214"/>
      <c r="K38" s="215"/>
      <c r="L38" s="216"/>
      <c r="M38" s="210"/>
      <c r="N38" s="211"/>
      <c r="O38" s="217"/>
      <c r="P38" s="218"/>
      <c r="Q38" s="205"/>
      <c r="R38" s="214"/>
      <c r="S38" s="215"/>
      <c r="T38" s="216"/>
      <c r="U38" s="219"/>
      <c r="V38" s="217"/>
      <c r="W38" s="218"/>
    </row>
    <row r="39" spans="1:23" ht="14.25" hidden="1" thickBot="1">
      <c r="A39" s="205"/>
      <c r="B39" s="206"/>
      <c r="C39" s="207"/>
      <c r="D39" s="208"/>
      <c r="E39" s="209"/>
      <c r="F39" s="210"/>
      <c r="G39" s="211"/>
      <c r="H39" s="212"/>
      <c r="I39" s="213"/>
      <c r="J39" s="214"/>
      <c r="K39" s="215"/>
      <c r="L39" s="216"/>
      <c r="M39" s="210"/>
      <c r="N39" s="211"/>
      <c r="O39" s="217"/>
      <c r="P39" s="218"/>
      <c r="Q39" s="205"/>
      <c r="R39" s="214"/>
      <c r="S39" s="215"/>
      <c r="T39" s="216"/>
      <c r="U39" s="219"/>
      <c r="V39" s="217"/>
      <c r="W39" s="218"/>
    </row>
    <row r="40" spans="1:23" ht="14.25" hidden="1" thickBot="1">
      <c r="A40" s="205"/>
      <c r="B40" s="206"/>
      <c r="C40" s="207"/>
      <c r="D40" s="208"/>
      <c r="E40" s="209"/>
      <c r="F40" s="210"/>
      <c r="G40" s="211"/>
      <c r="H40" s="212"/>
      <c r="I40" s="213"/>
      <c r="J40" s="214"/>
      <c r="K40" s="215"/>
      <c r="L40" s="216"/>
      <c r="M40" s="210"/>
      <c r="N40" s="211"/>
      <c r="O40" s="217"/>
      <c r="P40" s="218"/>
      <c r="Q40" s="205"/>
      <c r="R40" s="214"/>
      <c r="S40" s="215"/>
      <c r="T40" s="216"/>
      <c r="U40" s="219"/>
      <c r="V40" s="217"/>
      <c r="W40" s="218"/>
    </row>
    <row r="41" spans="1:23" ht="14.25" hidden="1" thickBot="1">
      <c r="A41" s="205"/>
      <c r="B41" s="206"/>
      <c r="C41" s="207"/>
      <c r="D41" s="208"/>
      <c r="E41" s="209"/>
      <c r="F41" s="210"/>
      <c r="G41" s="211"/>
      <c r="H41" s="212"/>
      <c r="I41" s="213"/>
      <c r="J41" s="214"/>
      <c r="K41" s="215"/>
      <c r="L41" s="216"/>
      <c r="M41" s="210"/>
      <c r="N41" s="211"/>
      <c r="O41" s="217"/>
      <c r="P41" s="218"/>
      <c r="Q41" s="205"/>
      <c r="R41" s="214"/>
      <c r="S41" s="215"/>
      <c r="T41" s="216"/>
      <c r="U41" s="219"/>
      <c r="V41" s="217"/>
      <c r="W41" s="218"/>
    </row>
    <row r="42" spans="1:23" ht="14.25" hidden="1" thickBot="1">
      <c r="A42" s="205"/>
      <c r="B42" s="206"/>
      <c r="C42" s="207"/>
      <c r="D42" s="208"/>
      <c r="E42" s="209"/>
      <c r="F42" s="210"/>
      <c r="G42" s="211"/>
      <c r="H42" s="212"/>
      <c r="I42" s="213"/>
      <c r="J42" s="214"/>
      <c r="K42" s="215"/>
      <c r="L42" s="216"/>
      <c r="M42" s="210"/>
      <c r="N42" s="211"/>
      <c r="O42" s="217"/>
      <c r="P42" s="218"/>
      <c r="Q42" s="205"/>
      <c r="R42" s="214"/>
      <c r="S42" s="215"/>
      <c r="T42" s="216"/>
      <c r="U42" s="219"/>
      <c r="V42" s="217"/>
      <c r="W42" s="218"/>
    </row>
    <row r="43" spans="1:23" ht="14.25" hidden="1" thickBot="1">
      <c r="A43" s="205"/>
      <c r="B43" s="206"/>
      <c r="C43" s="207"/>
      <c r="D43" s="208"/>
      <c r="E43" s="209"/>
      <c r="F43" s="210"/>
      <c r="G43" s="211"/>
      <c r="H43" s="212"/>
      <c r="I43" s="213"/>
      <c r="J43" s="214"/>
      <c r="K43" s="215"/>
      <c r="L43" s="216"/>
      <c r="M43" s="210"/>
      <c r="N43" s="211"/>
      <c r="O43" s="217"/>
      <c r="P43" s="218"/>
      <c r="Q43" s="205"/>
      <c r="R43" s="214"/>
      <c r="S43" s="215"/>
      <c r="T43" s="216"/>
      <c r="U43" s="219"/>
      <c r="V43" s="217"/>
      <c r="W43" s="218"/>
    </row>
    <row r="44" spans="1:23" ht="14.25" hidden="1" thickBot="1">
      <c r="A44" s="205"/>
      <c r="B44" s="206"/>
      <c r="C44" s="207"/>
      <c r="D44" s="208"/>
      <c r="E44" s="209"/>
      <c r="F44" s="210"/>
      <c r="G44" s="211"/>
      <c r="H44" s="212"/>
      <c r="I44" s="213"/>
      <c r="J44" s="214"/>
      <c r="K44" s="215"/>
      <c r="L44" s="216"/>
      <c r="M44" s="210"/>
      <c r="N44" s="211"/>
      <c r="O44" s="217"/>
      <c r="P44" s="218"/>
      <c r="Q44" s="205"/>
      <c r="R44" s="214"/>
      <c r="S44" s="215"/>
      <c r="T44" s="216"/>
      <c r="U44" s="219"/>
      <c r="V44" s="217"/>
      <c r="W44" s="218"/>
    </row>
    <row r="45" spans="1:23" ht="14.25" hidden="1" thickBot="1">
      <c r="A45" s="205"/>
      <c r="B45" s="206"/>
      <c r="C45" s="207"/>
      <c r="D45" s="208"/>
      <c r="E45" s="209"/>
      <c r="F45" s="210"/>
      <c r="G45" s="211"/>
      <c r="H45" s="212"/>
      <c r="I45" s="213"/>
      <c r="J45" s="214"/>
      <c r="K45" s="215"/>
      <c r="L45" s="216"/>
      <c r="M45" s="210"/>
      <c r="N45" s="211"/>
      <c r="O45" s="217"/>
      <c r="P45" s="218"/>
      <c r="Q45" s="205"/>
      <c r="R45" s="214"/>
      <c r="S45" s="215"/>
      <c r="T45" s="216"/>
      <c r="U45" s="219"/>
      <c r="V45" s="217"/>
      <c r="W45" s="218"/>
    </row>
    <row r="46" spans="1:23" ht="14.25" hidden="1" thickBot="1">
      <c r="A46" s="205"/>
      <c r="B46" s="206"/>
      <c r="C46" s="207"/>
      <c r="D46" s="208"/>
      <c r="E46" s="209"/>
      <c r="F46" s="210"/>
      <c r="G46" s="211"/>
      <c r="H46" s="212"/>
      <c r="I46" s="213"/>
      <c r="J46" s="214"/>
      <c r="K46" s="215"/>
      <c r="L46" s="216"/>
      <c r="M46" s="210"/>
      <c r="N46" s="211"/>
      <c r="O46" s="217"/>
      <c r="P46" s="218"/>
      <c r="Q46" s="205"/>
      <c r="R46" s="214"/>
      <c r="S46" s="215"/>
      <c r="T46" s="216"/>
      <c r="U46" s="219"/>
      <c r="V46" s="217"/>
      <c r="W46" s="218"/>
    </row>
    <row r="47" spans="1:23" ht="14.25" hidden="1" thickBot="1">
      <c r="A47" s="205"/>
      <c r="B47" s="206"/>
      <c r="C47" s="207"/>
      <c r="D47" s="208"/>
      <c r="E47" s="209"/>
      <c r="F47" s="210"/>
      <c r="G47" s="211"/>
      <c r="H47" s="212"/>
      <c r="I47" s="213"/>
      <c r="J47" s="214"/>
      <c r="K47" s="215"/>
      <c r="L47" s="216"/>
      <c r="M47" s="210"/>
      <c r="N47" s="211"/>
      <c r="O47" s="217"/>
      <c r="P47" s="218"/>
      <c r="Q47" s="205"/>
      <c r="R47" s="214"/>
      <c r="S47" s="215"/>
      <c r="T47" s="216"/>
      <c r="U47" s="219"/>
      <c r="V47" s="217"/>
      <c r="W47" s="218"/>
    </row>
    <row r="48" spans="1:23" ht="14.25" hidden="1" thickBot="1">
      <c r="A48" s="205"/>
      <c r="B48" s="206"/>
      <c r="C48" s="207"/>
      <c r="D48" s="208"/>
      <c r="E48" s="209"/>
      <c r="F48" s="210"/>
      <c r="G48" s="211"/>
      <c r="H48" s="212"/>
      <c r="I48" s="213"/>
      <c r="J48" s="214"/>
      <c r="K48" s="215"/>
      <c r="L48" s="216"/>
      <c r="M48" s="210"/>
      <c r="N48" s="211"/>
      <c r="O48" s="217"/>
      <c r="P48" s="218"/>
      <c r="Q48" s="205"/>
      <c r="R48" s="214"/>
      <c r="S48" s="215"/>
      <c r="T48" s="216"/>
      <c r="U48" s="219"/>
      <c r="V48" s="217"/>
      <c r="W48" s="218"/>
    </row>
    <row r="49" spans="1:23" ht="14.25" hidden="1" thickBot="1">
      <c r="A49" s="205"/>
      <c r="B49" s="206"/>
      <c r="C49" s="207"/>
      <c r="D49" s="208"/>
      <c r="E49" s="209"/>
      <c r="F49" s="210"/>
      <c r="G49" s="211"/>
      <c r="H49" s="212"/>
      <c r="I49" s="213"/>
      <c r="J49" s="214"/>
      <c r="K49" s="215"/>
      <c r="L49" s="216"/>
      <c r="M49" s="210"/>
      <c r="N49" s="211"/>
      <c r="O49" s="217"/>
      <c r="P49" s="218"/>
      <c r="Q49" s="205"/>
      <c r="R49" s="214"/>
      <c r="S49" s="215"/>
      <c r="T49" s="216"/>
      <c r="U49" s="219"/>
      <c r="V49" s="217"/>
      <c r="W49" s="218"/>
    </row>
    <row r="50" spans="1:23" ht="14.25" hidden="1" thickBot="1">
      <c r="A50" s="205"/>
      <c r="B50" s="206"/>
      <c r="C50" s="207"/>
      <c r="D50" s="208"/>
      <c r="E50" s="209"/>
      <c r="F50" s="210"/>
      <c r="G50" s="211"/>
      <c r="H50" s="212"/>
      <c r="I50" s="213"/>
      <c r="J50" s="214"/>
      <c r="K50" s="215"/>
      <c r="L50" s="216"/>
      <c r="M50" s="210"/>
      <c r="N50" s="211"/>
      <c r="O50" s="217"/>
      <c r="P50" s="218"/>
      <c r="Q50" s="205"/>
      <c r="R50" s="214"/>
      <c r="S50" s="215"/>
      <c r="T50" s="216"/>
      <c r="U50" s="219"/>
      <c r="V50" s="217"/>
      <c r="W50" s="218"/>
    </row>
    <row r="51" spans="1:23" ht="14.25" hidden="1" thickBot="1">
      <c r="A51" s="205"/>
      <c r="B51" s="206"/>
      <c r="C51" s="207"/>
      <c r="D51" s="208"/>
      <c r="E51" s="209"/>
      <c r="F51" s="210"/>
      <c r="G51" s="211"/>
      <c r="H51" s="212"/>
      <c r="I51" s="213"/>
      <c r="J51" s="214"/>
      <c r="K51" s="215"/>
      <c r="L51" s="216"/>
      <c r="M51" s="210"/>
      <c r="N51" s="211"/>
      <c r="O51" s="217"/>
      <c r="P51" s="218"/>
      <c r="Q51" s="205"/>
      <c r="R51" s="214"/>
      <c r="S51" s="215"/>
      <c r="T51" s="216"/>
      <c r="U51" s="219"/>
      <c r="V51" s="217"/>
      <c r="W51" s="218"/>
    </row>
    <row r="52" spans="1:23" ht="14.25" hidden="1" thickBot="1">
      <c r="A52" s="205"/>
      <c r="B52" s="206"/>
      <c r="C52" s="207"/>
      <c r="D52" s="208"/>
      <c r="E52" s="209"/>
      <c r="F52" s="210"/>
      <c r="G52" s="211"/>
      <c r="H52" s="212"/>
      <c r="I52" s="213"/>
      <c r="J52" s="214"/>
      <c r="K52" s="215"/>
      <c r="L52" s="216"/>
      <c r="M52" s="210"/>
      <c r="N52" s="211"/>
      <c r="O52" s="217"/>
      <c r="P52" s="218"/>
      <c r="Q52" s="205"/>
      <c r="R52" s="214"/>
      <c r="S52" s="215"/>
      <c r="T52" s="216"/>
      <c r="U52" s="219"/>
      <c r="V52" s="217"/>
      <c r="W52" s="218"/>
    </row>
    <row r="53" spans="1:23" ht="14.25" hidden="1" thickBot="1">
      <c r="A53" s="205"/>
      <c r="B53" s="206"/>
      <c r="C53" s="207"/>
      <c r="D53" s="208"/>
      <c r="E53" s="209"/>
      <c r="F53" s="210"/>
      <c r="G53" s="211"/>
      <c r="H53" s="212"/>
      <c r="I53" s="213"/>
      <c r="J53" s="214"/>
      <c r="K53" s="215"/>
      <c r="L53" s="216"/>
      <c r="M53" s="210"/>
      <c r="N53" s="211"/>
      <c r="O53" s="217"/>
      <c r="P53" s="218"/>
      <c r="Q53" s="205"/>
      <c r="R53" s="214"/>
      <c r="S53" s="215"/>
      <c r="T53" s="216"/>
      <c r="U53" s="219"/>
      <c r="V53" s="217"/>
      <c r="W53" s="218"/>
    </row>
    <row r="54" spans="1:23" ht="14.25" hidden="1" thickBot="1">
      <c r="A54" s="205"/>
      <c r="B54" s="206"/>
      <c r="C54" s="207"/>
      <c r="D54" s="208"/>
      <c r="E54" s="209"/>
      <c r="F54" s="210"/>
      <c r="G54" s="211"/>
      <c r="H54" s="212"/>
      <c r="I54" s="213"/>
      <c r="J54" s="214"/>
      <c r="K54" s="215"/>
      <c r="L54" s="216"/>
      <c r="M54" s="210"/>
      <c r="N54" s="211"/>
      <c r="O54" s="217"/>
      <c r="P54" s="218"/>
      <c r="Q54" s="205"/>
      <c r="R54" s="214"/>
      <c r="S54" s="215"/>
      <c r="T54" s="216"/>
      <c r="U54" s="219"/>
      <c r="V54" s="217"/>
      <c r="W54" s="218"/>
    </row>
    <row r="55" spans="1:23" ht="14.25" hidden="1" thickBot="1">
      <c r="A55" s="205"/>
      <c r="B55" s="206"/>
      <c r="C55" s="207"/>
      <c r="D55" s="208"/>
      <c r="E55" s="209"/>
      <c r="F55" s="210"/>
      <c r="G55" s="211"/>
      <c r="H55" s="212"/>
      <c r="I55" s="213"/>
      <c r="J55" s="214"/>
      <c r="K55" s="215"/>
      <c r="L55" s="216"/>
      <c r="M55" s="210"/>
      <c r="N55" s="211"/>
      <c r="O55" s="217"/>
      <c r="P55" s="218"/>
      <c r="Q55" s="205"/>
      <c r="R55" s="214"/>
      <c r="S55" s="215"/>
      <c r="T55" s="216"/>
      <c r="U55" s="219"/>
      <c r="V55" s="217"/>
      <c r="W55" s="218"/>
    </row>
    <row r="56" spans="1:23" ht="14.25" hidden="1" thickBot="1">
      <c r="A56" s="205"/>
      <c r="B56" s="206"/>
      <c r="C56" s="207"/>
      <c r="D56" s="208"/>
      <c r="E56" s="209"/>
      <c r="F56" s="210"/>
      <c r="G56" s="211"/>
      <c r="H56" s="212"/>
      <c r="I56" s="213"/>
      <c r="J56" s="214"/>
      <c r="K56" s="215"/>
      <c r="L56" s="216"/>
      <c r="M56" s="210"/>
      <c r="N56" s="211"/>
      <c r="O56" s="217"/>
      <c r="P56" s="218"/>
      <c r="Q56" s="205"/>
      <c r="R56" s="214"/>
      <c r="S56" s="215"/>
      <c r="T56" s="216"/>
      <c r="U56" s="219"/>
      <c r="V56" s="217"/>
      <c r="W56" s="218"/>
    </row>
    <row r="57" spans="1:23" ht="14.25" hidden="1" thickBot="1">
      <c r="A57" s="205"/>
      <c r="B57" s="206"/>
      <c r="C57" s="207"/>
      <c r="D57" s="208"/>
      <c r="E57" s="209"/>
      <c r="F57" s="210"/>
      <c r="G57" s="211"/>
      <c r="H57" s="212"/>
      <c r="I57" s="213"/>
      <c r="J57" s="214"/>
      <c r="K57" s="215"/>
      <c r="L57" s="216"/>
      <c r="M57" s="210"/>
      <c r="N57" s="211"/>
      <c r="O57" s="217"/>
      <c r="P57" s="218"/>
      <c r="Q57" s="205"/>
      <c r="R57" s="214"/>
      <c r="S57" s="215"/>
      <c r="T57" s="216"/>
      <c r="U57" s="219"/>
      <c r="V57" s="217"/>
      <c r="W57" s="218"/>
    </row>
    <row r="58" spans="1:23" ht="14.25" thickBot="1">
      <c r="A58" s="205"/>
      <c r="B58" s="206"/>
      <c r="C58" s="207"/>
      <c r="D58" s="208"/>
      <c r="E58" s="209"/>
      <c r="F58" s="210"/>
      <c r="G58" s="211"/>
      <c r="H58" s="212"/>
      <c r="I58" s="213"/>
      <c r="J58" s="214"/>
      <c r="K58" s="215"/>
      <c r="L58" s="216"/>
      <c r="M58" s="210"/>
      <c r="N58" s="211"/>
      <c r="O58" s="217"/>
      <c r="P58" s="218"/>
      <c r="Q58" s="205"/>
      <c r="R58" s="214"/>
      <c r="S58" s="215"/>
      <c r="T58" s="216"/>
      <c r="U58" s="219"/>
      <c r="V58" s="217"/>
      <c r="W58" s="218"/>
    </row>
    <row r="60" spans="1:23" ht="14.25" thickBot="1">
      <c r="A60" s="469">
        <v>2007</v>
      </c>
      <c r="B60" s="470"/>
      <c r="C60" s="470"/>
      <c r="D60" s="470"/>
      <c r="E60" s="470"/>
      <c r="F60" s="222">
        <f>SUM(F1:F59)</f>
        <v>658</v>
      </c>
      <c r="G60" s="223">
        <f>SUM(G1:G59)</f>
        <v>73075703.48</v>
      </c>
      <c r="H60" s="224">
        <f>SUM(H1:H59)</f>
        <v>9605641</v>
      </c>
      <c r="I60" s="398">
        <f>G60/H60</f>
        <v>7.607582198835039</v>
      </c>
      <c r="J60" s="225"/>
      <c r="K60" s="226"/>
      <c r="L60" s="227"/>
      <c r="M60" s="222"/>
      <c r="N60" s="223"/>
      <c r="O60" s="224"/>
      <c r="P60" s="228"/>
      <c r="Q60" s="221"/>
      <c r="R60" s="225">
        <f>SUM(R1:R59)</f>
        <v>40659473.09</v>
      </c>
      <c r="S60" s="226">
        <f>SUM(S1:S59)</f>
        <v>5746833</v>
      </c>
      <c r="T60" s="227">
        <f>SUM(S60/H60)</f>
        <v>0.5982768875080798</v>
      </c>
      <c r="U60" s="229"/>
      <c r="V60" s="224"/>
      <c r="W60" s="228"/>
    </row>
    <row r="61" spans="1:23" s="316" customFormat="1" ht="14.25" thickBot="1">
      <c r="A61" s="471" t="s">
        <v>285</v>
      </c>
      <c r="B61" s="472"/>
      <c r="C61" s="472"/>
      <c r="D61" s="472"/>
      <c r="E61" s="472"/>
      <c r="F61" s="307">
        <v>554</v>
      </c>
      <c r="G61" s="308">
        <v>97055812.39</v>
      </c>
      <c r="H61" s="309">
        <v>14496027</v>
      </c>
      <c r="I61" s="399">
        <f>G61/H61</f>
        <v>6.695338825596834</v>
      </c>
      <c r="J61" s="310"/>
      <c r="K61" s="311"/>
      <c r="L61" s="312"/>
      <c r="M61" s="307"/>
      <c r="N61" s="308"/>
      <c r="O61" s="309"/>
      <c r="P61" s="313"/>
      <c r="Q61" s="314"/>
      <c r="R61" s="310">
        <v>75987095.72</v>
      </c>
      <c r="S61" s="311">
        <v>11685671</v>
      </c>
      <c r="T61" s="312">
        <f>SUM(S61/H61)</f>
        <v>0.8061292242350266</v>
      </c>
      <c r="U61" s="315"/>
      <c r="V61" s="309"/>
      <c r="W61" s="313"/>
    </row>
  </sheetData>
  <mergeCells count="2">
    <mergeCell ref="A60:E60"/>
    <mergeCell ref="A61:E61"/>
  </mergeCells>
  <printOptions/>
  <pageMargins left="0.75" right="0.75" top="1" bottom="1" header="0.5" footer="0.5"/>
  <pageSetup orientation="portrait" paperSize="9"/>
  <ignoredErrors>
    <ignoredError sqref="B3 B7 B11"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cp:lastModifiedBy>
  <cp:lastPrinted>2006-11-24T17:27:54Z</cp:lastPrinted>
  <dcterms:created xsi:type="dcterms:W3CDTF">2006-03-17T12:24:26Z</dcterms:created>
  <dcterms:modified xsi:type="dcterms:W3CDTF">2007-03-19T11:53:35Z</dcterms:modified>
  <cp:category/>
  <cp:version/>
  <cp:contentType/>
  <cp:contentStatus/>
</cp:coreProperties>
</file>