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02 - 08 Mar' (WK 09)" sheetId="1" r:id="rId1"/>
    <sheet name="29 Dec' - 08 Ma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'02 - 08 Mar'' (WK 09)'!$A$1:$O$94</definedName>
    <definedName name="_xlnm.Print_Area" localSheetId="1">'29 Dec' - 08 Mar' (Annual)'!$A$1:$J$74</definedName>
  </definedNames>
  <calcPr fullCalcOnLoad="1"/>
</workbook>
</file>

<file path=xl/sharedStrings.xml><?xml version="1.0" encoding="utf-8"?>
<sst xmlns="http://schemas.openxmlformats.org/spreadsheetml/2006/main" count="1607" uniqueCount="319">
  <si>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</si>
  <si>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</si>
  <si>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</si>
  <si>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</si>
  <si>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</si>
  <si>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</si>
  <si>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</si>
  <si>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</si>
  <si>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</si>
  <si>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</si>
  <si>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</si>
  <si>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</si>
  <si>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</si>
  <si>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</si>
  <si>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</si>
  <si>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</si>
  <si>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</si>
  <si>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</si>
  <si>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</si>
  <si>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</si>
  <si>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</si>
  <si>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</si>
  <si>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</si>
  <si>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</si>
  <si>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</si>
  <si>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</si>
  <si>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</si>
  <si>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</si>
  <si>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</si>
  <si>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</si>
  <si>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</si>
  <si>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</si>
  <si>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</si>
  <si>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</si>
  <si>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</si>
  <si>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</si>
  <si>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</si>
  <si>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</si>
  <si>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</si>
  <si>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</si>
  <si>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</si>
  <si>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</si>
  <si>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</si>
  <si>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</si>
  <si>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</si>
  <si>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</si>
  <si>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</si>
  <si>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</si>
  <si>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</si>
  <si>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</si>
  <si>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</si>
  <si>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</si>
  <si>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</si>
  <si>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</si>
  <si>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</si>
  <si>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</si>
  <si>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</si>
  <si>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</si>
  <si>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</si>
  <si>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</si>
  <si>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</si>
  <si>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</si>
  <si>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</si>
  <si>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</si>
  <si>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</si>
  <si>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</si>
  <si>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</si>
  <si>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</si>
  <si>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</si>
  <si>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</si>
  <si>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</si>
  <si>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</si>
  <si>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</si>
  <si>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</si>
  <si>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</si>
  <si>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</si>
  <si>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</si>
  <si>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</si>
  <si>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</si>
  <si>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</si>
  <si>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</si>
  <si>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</si>
  <si>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</si>
  <si>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</si>
  <si>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</si>
  <si>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</si>
  <si>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</si>
  <si>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</si>
  <si>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</si>
  <si>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</si>
  <si>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</si>
  <si>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</si>
  <si>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</si>
  <si>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</si>
  <si>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</si>
  <si>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</si>
  <si>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</si>
  <si>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</si>
  <si>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</si>
  <si>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</si>
  <si>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</si>
  <si>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</si>
  <si>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</si>
  <si>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</si>
  <si>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PRESTIGE</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</si>
  <si>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</si>
  <si>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</si>
  <si>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</si>
  <si>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</si>
  <si>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</si>
  <si>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</si>
  <si>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</si>
  <si>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</si>
  <si>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</si>
  <si>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</si>
  <si>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</si>
  <si>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</si>
  <si>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</si>
  <si>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</si>
  <si>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</si>
  <si>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</si>
  <si>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</si>
  <si>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</si>
  <si>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</si>
  <si>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</si>
  <si>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</si>
  <si>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</si>
  <si>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</si>
  <si>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</si>
  <si>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</si>
  <si>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</si>
  <si>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</si>
  <si>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</si>
  <si>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</si>
  <si>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</si>
  <si>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</si>
  <si>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</si>
  <si>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</si>
  <si>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</si>
  <si>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</si>
  <si>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</si>
  <si>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</si>
  <si>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</si>
  <si>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</si>
  <si>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</si>
  <si>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</si>
  <si>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</si>
  <si>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</si>
  <si>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</si>
  <si>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</si>
  <si>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</si>
  <si>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</si>
  <si>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</si>
  <si>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</si>
  <si>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</si>
  <si>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</si>
  <si>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</si>
  <si>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</si>
  <si>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</si>
  <si>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</si>
  <si>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</si>
  <si>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</si>
  <si>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</si>
  <si>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</si>
  <si>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LITTLE CHILDREN</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</si>
  <si>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</si>
  <si>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</si>
  <si>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</si>
  <si>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</si>
  <si>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</si>
  <si>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</si>
  <si>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</si>
  <si>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</si>
  <si>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</si>
  <si>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</si>
  <si>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</si>
  <si>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</si>
  <si>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</si>
  <si>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</si>
  <si>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</si>
  <si>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</si>
  <si>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</si>
  <si>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</si>
  <si>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MASKELİ BEŞLER I.R.A.K</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</si>
  <si>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</si>
  <si>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</si>
  <si>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</si>
  <si>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</si>
  <si>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</si>
  <si>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</si>
  <si>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</si>
  <si>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</si>
  <si>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</si>
  <si>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</si>
  <si>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</si>
  <si>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</si>
  <si>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</si>
  <si>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</si>
  <si>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</si>
  <si>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</si>
  <si>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</si>
  <si>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</si>
  <si>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</si>
  <si>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</si>
  <si>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</si>
  <si>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</si>
  <si>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</si>
  <si>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</si>
  <si>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</si>
  <si>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</si>
  <si>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</si>
  <si>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</si>
  <si>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</si>
  <si>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</si>
  <si>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</si>
  <si>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</si>
  <si>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</si>
  <si>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</si>
  <si>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</si>
  <si>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</si>
  <si>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</si>
  <si>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</si>
  <si>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</si>
  <si>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</si>
  <si>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</si>
  <si>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</si>
  <si>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</si>
  <si>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</si>
  <si>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</si>
  <si>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</si>
  <si>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9</t>
  </si>
  <si>
    <t>02-08</t>
  </si>
  <si>
    <t>JOYEUX NOEL</t>
  </si>
  <si>
    <t>LES TEXTILES</t>
  </si>
  <si>
    <t>REEKER, THE</t>
  </si>
  <si>
    <t>STOLEN EYES</t>
  </si>
  <si>
    <t>YAKA FILM</t>
  </si>
  <si>
    <t>BARDA</t>
  </si>
  <si>
    <t>FILMAKAR</t>
  </si>
  <si>
    <t>55</t>
  </si>
  <si>
    <t>FILM POP</t>
  </si>
  <si>
    <t>INCONVENIENT TRUTH, AN</t>
  </si>
  <si>
    <t>MISTRESS OF SPICES</t>
  </si>
  <si>
    <t>JOSHUA THE JEW</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</si>
  <si>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</si>
  <si>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</si>
  <si>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</si>
  <si>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</si>
  <si>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</si>
  <si>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</si>
  <si>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</si>
  <si>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</si>
  <si>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</si>
  <si>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</si>
  <si>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</si>
  <si>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</si>
  <si>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</si>
  <si>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</si>
  <si>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</si>
  <si>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</si>
  <si>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</si>
  <si>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</si>
  <si>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</si>
  <si>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</si>
  <si>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ARZU - FIDA</t>
  </si>
  <si>
    <t>QUEEN, THE</t>
  </si>
  <si>
    <t>10</t>
  </si>
  <si>
    <t>GHOST RIDER</t>
  </si>
  <si>
    <t>AKSOY</t>
  </si>
  <si>
    <t>15</t>
  </si>
  <si>
    <t>Hayalet Sürücü</t>
  </si>
  <si>
    <t>23-01</t>
  </si>
  <si>
    <t>061 FILMS SHOWN</t>
  </si>
  <si>
    <t>GOMEDA</t>
  </si>
  <si>
    <t>DREAMGIRLS</t>
  </si>
  <si>
    <t>SİS VE GECE</t>
  </si>
  <si>
    <t>KARA FILM</t>
  </si>
  <si>
    <t>LETTERS FROM IWO JIMA</t>
  </si>
  <si>
    <t>5</t>
  </si>
  <si>
    <t>MILLIONS</t>
  </si>
  <si>
    <t>BEŞ VAKİT</t>
  </si>
  <si>
    <t>ATLANTIK</t>
  </si>
  <si>
    <t>PURSUIT OF HAPPYNESS</t>
  </si>
  <si>
    <t xml:space="preserve">KNALLHART </t>
  </si>
  <si>
    <t>March</t>
  </si>
  <si>
    <r>
      <t>2006 Türkiye Ex Years Releases Annual Box Office Report</t>
    </r>
    <r>
      <rPr>
        <sz val="26"/>
        <color indexed="9"/>
        <rFont val="Impact"/>
        <family val="2"/>
      </rPr>
      <t xml:space="preserve">  </t>
    </r>
    <r>
      <rPr>
        <sz val="16"/>
        <color indexed="9"/>
        <rFont val="Impact"/>
        <family val="2"/>
      </rPr>
      <t>29 Dec' 06 - 08 Mar' '07</t>
    </r>
  </si>
  <si>
    <r>
      <t xml:space="preserve">2006 Türkiye Annual Box Office Report  </t>
    </r>
    <r>
      <rPr>
        <sz val="16"/>
        <color indexed="9"/>
        <rFont val="Impact"/>
        <family val="2"/>
      </rPr>
      <t>29 Dec' '06 - 08 Mar' '07</t>
    </r>
  </si>
  <si>
    <t>*Dağıtımcı firmalardan UNP, Barbar Film ve R Film bu hafta film  dağıtmamıştır.</t>
  </si>
  <si>
    <t>065 FILMS SHOWN</t>
  </si>
  <si>
    <t>23 Numara</t>
  </si>
  <si>
    <t>SAME PERIOD IN 2006</t>
  </si>
  <si>
    <t>GENESIS</t>
  </si>
  <si>
    <t>STUDIO CANAL</t>
  </si>
  <si>
    <t>COMME T'Y ES BELLE</t>
  </si>
  <si>
    <t>EUROPA</t>
  </si>
  <si>
    <t>13 / TZAMETI</t>
  </si>
  <si>
    <t>DEPARTED, THE</t>
  </si>
  <si>
    <t>365 times</t>
  </si>
  <si>
    <t>6</t>
  </si>
  <si>
    <t>BREAKIN AND ENTERING</t>
  </si>
  <si>
    <t>NUMBER 23</t>
  </si>
  <si>
    <t>8</t>
  </si>
  <si>
    <t>ROMANTİK</t>
  </si>
  <si>
    <t xml:space="preserve">PLATO </t>
  </si>
  <si>
    <t>98</t>
  </si>
  <si>
    <t>ADEM'İN TRENLERİ</t>
  </si>
  <si>
    <t>IFR - PROMETE</t>
  </si>
  <si>
    <t>91</t>
  </si>
  <si>
    <t>UGLY DUCKLING AND ME, THE</t>
  </si>
  <si>
    <t>74</t>
  </si>
  <si>
    <t>NOTES ON A SCANDAL</t>
  </si>
  <si>
    <t>LAST KING OF SCOTLAND, THE</t>
  </si>
  <si>
    <t>99</t>
  </si>
  <si>
    <t>95</t>
  </si>
  <si>
    <t>62</t>
  </si>
  <si>
    <t>69</t>
  </si>
  <si>
    <t>23</t>
  </si>
  <si>
    <t>11</t>
  </si>
  <si>
    <t>18</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</si>
</sst>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6">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hair"/>
      <top style="medium"/>
      <bottom style="hair"/>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hair"/>
      <top>
        <color indexed="63"/>
      </top>
      <bottom style="hair"/>
    </border>
    <border>
      <left>
        <color indexed="63"/>
      </left>
      <right style="medium"/>
      <top>
        <color indexed="63"/>
      </top>
      <bottom>
        <color indexed="63"/>
      </bottom>
    </border>
    <border>
      <left style="medium"/>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9">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9" fillId="2" borderId="1" xfId="0" applyFont="1" applyFill="1" applyBorder="1" applyAlignment="1">
      <alignment vertical="center"/>
    </xf>
    <xf numFmtId="18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192" fontId="19"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9"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187" fontId="19" fillId="2" borderId="1"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9" fillId="2" borderId="2"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2" fillId="0" borderId="0" xfId="0" applyNumberFormat="1" applyFont="1" applyFill="1" applyBorder="1" applyAlignment="1" applyProtection="1">
      <alignment horizontal="right" vertical="center"/>
      <protection/>
    </xf>
    <xf numFmtId="187" fontId="18" fillId="2" borderId="1" xfId="0" applyNumberFormat="1" applyFont="1" applyFill="1" applyBorder="1" applyAlignment="1">
      <alignment horizontal="right" vertical="center"/>
    </xf>
    <xf numFmtId="187" fontId="23" fillId="0" borderId="0" xfId="0"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horizontal="right" vertical="center"/>
      <protection locked="0"/>
    </xf>
    <xf numFmtId="0" fontId="29" fillId="0" borderId="3" xfId="0" applyNumberFormat="1" applyFont="1" applyFill="1" applyBorder="1" applyAlignment="1" applyProtection="1">
      <alignment horizontal="center" vertical="center" wrapText="1"/>
      <protection/>
    </xf>
    <xf numFmtId="4" fontId="32" fillId="0" borderId="1" xfId="0" applyNumberFormat="1" applyFont="1" applyFill="1" applyBorder="1" applyAlignment="1" applyProtection="1">
      <alignment horizontal="right" vertical="center" indent="1"/>
      <protection locked="0"/>
    </xf>
    <xf numFmtId="193" fontId="34" fillId="0" borderId="1" xfId="0" applyNumberFormat="1" applyFont="1" applyFill="1" applyBorder="1" applyAlignment="1" applyProtection="1">
      <alignment horizontal="right" vertical="center" indent="1"/>
      <protection locked="0"/>
    </xf>
    <xf numFmtId="192" fontId="34" fillId="0" borderId="2" xfId="0" applyNumberFormat="1" applyFont="1" applyFill="1" applyBorder="1" applyAlignment="1" applyProtection="1">
      <alignment horizontal="center" vertical="center"/>
      <protection locked="0"/>
    </xf>
    <xf numFmtId="4" fontId="32" fillId="0" borderId="4" xfId="0" applyNumberFormat="1" applyFont="1" applyFill="1" applyBorder="1" applyAlignment="1" applyProtection="1">
      <alignment horizontal="right" vertical="center" indent="1"/>
      <protection locked="0"/>
    </xf>
    <xf numFmtId="193" fontId="34" fillId="0" borderId="4" xfId="0" applyNumberFormat="1" applyFont="1" applyFill="1" applyBorder="1" applyAlignment="1" applyProtection="1">
      <alignment horizontal="right" vertical="center" indent="1"/>
      <protection locked="0"/>
    </xf>
    <xf numFmtId="0" fontId="32"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right" vertical="center"/>
      <protection locked="0"/>
    </xf>
    <xf numFmtId="0" fontId="34" fillId="0" borderId="7" xfId="0" applyFont="1" applyFill="1" applyBorder="1" applyAlignment="1" applyProtection="1">
      <alignment horizontal="right" vertical="center"/>
      <protection locked="0"/>
    </xf>
    <xf numFmtId="1" fontId="35" fillId="0" borderId="8" xfId="0" applyNumberFormat="1" applyFont="1" applyFill="1" applyBorder="1" applyAlignment="1" applyProtection="1">
      <alignment horizontal="right" vertical="center"/>
      <protection locked="0"/>
    </xf>
    <xf numFmtId="1" fontId="35" fillId="0" borderId="9" xfId="0" applyNumberFormat="1" applyFont="1" applyFill="1" applyBorder="1" applyAlignment="1" applyProtection="1">
      <alignment horizontal="right" vertical="center"/>
      <protection/>
    </xf>
    <xf numFmtId="1" fontId="35" fillId="0" borderId="10" xfId="0" applyNumberFormat="1" applyFont="1" applyFill="1" applyBorder="1" applyAlignment="1" applyProtection="1">
      <alignment horizontal="right" vertical="center"/>
      <protection/>
    </xf>
    <xf numFmtId="1" fontId="35" fillId="0" borderId="11" xfId="0" applyNumberFormat="1" applyFont="1" applyFill="1" applyBorder="1" applyAlignment="1" applyProtection="1">
      <alignment horizontal="right" vertical="center"/>
      <protection/>
    </xf>
    <xf numFmtId="0" fontId="34" fillId="0" borderId="12" xfId="0" applyFont="1" applyFill="1" applyBorder="1" applyAlignment="1" applyProtection="1">
      <alignment horizontal="right" vertical="center"/>
      <protection locked="0"/>
    </xf>
    <xf numFmtId="4" fontId="32" fillId="0" borderId="13" xfId="0" applyNumberFormat="1" applyFont="1" applyFill="1" applyBorder="1" applyAlignment="1" applyProtection="1">
      <alignment horizontal="right" vertical="center" indent="1"/>
      <protection locked="0"/>
    </xf>
    <xf numFmtId="193" fontId="34" fillId="0" borderId="13" xfId="0" applyNumberFormat="1" applyFont="1" applyFill="1" applyBorder="1" applyAlignment="1" applyProtection="1">
      <alignment horizontal="right" vertical="center" indent="1"/>
      <protection locked="0"/>
    </xf>
    <xf numFmtId="1" fontId="35" fillId="0" borderId="14" xfId="0" applyNumberFormat="1" applyFont="1" applyFill="1" applyBorder="1" applyAlignment="1" applyProtection="1">
      <alignment horizontal="right" vertical="center"/>
      <protection locked="0"/>
    </xf>
    <xf numFmtId="0" fontId="32" fillId="0" borderId="15" xfId="0" applyFont="1" applyFill="1" applyBorder="1" applyAlignment="1" applyProtection="1">
      <alignment horizontal="center" vertical="center"/>
      <protection locked="0"/>
    </xf>
    <xf numFmtId="184" fontId="32" fillId="0" borderId="16" xfId="0" applyNumberFormat="1"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8" fillId="0" borderId="18" xfId="0" applyNumberFormat="1" applyFont="1" applyFill="1" applyBorder="1" applyAlignment="1" applyProtection="1">
      <alignment horizontal="center" vertical="center" wrapText="1"/>
      <protection/>
    </xf>
    <xf numFmtId="1" fontId="30" fillId="0" borderId="19" xfId="0" applyNumberFormat="1" applyFont="1" applyFill="1" applyBorder="1" applyAlignment="1" applyProtection="1">
      <alignment horizontal="center" vertical="center" wrapText="1"/>
      <protection/>
    </xf>
    <xf numFmtId="187" fontId="29" fillId="0" borderId="20" xfId="0" applyNumberFormat="1" applyFont="1" applyFill="1" applyBorder="1" applyAlignment="1" applyProtection="1">
      <alignment horizontal="center" vertical="center" wrapText="1"/>
      <protection/>
    </xf>
    <xf numFmtId="193" fontId="29" fillId="0" borderId="20"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193" fontId="39"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40" fillId="0" borderId="0" xfId="0" applyNumberFormat="1" applyFont="1" applyFill="1" applyBorder="1" applyAlignment="1" applyProtection="1">
      <alignment horizontal="right" vertical="center"/>
      <protection locked="0"/>
    </xf>
    <xf numFmtId="0" fontId="26" fillId="0" borderId="18" xfId="0" applyFont="1" applyFill="1" applyBorder="1" applyAlignment="1">
      <alignment horizontal="center" vertical="center"/>
    </xf>
    <xf numFmtId="0" fontId="27" fillId="0" borderId="19" xfId="0" applyFont="1" applyFill="1" applyBorder="1" applyAlignment="1">
      <alignment horizontal="center" vertical="center"/>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29" fillId="0" borderId="18" xfId="0" applyFont="1" applyFill="1" applyBorder="1" applyAlignment="1">
      <alignment horizontal="center" vertical="center"/>
    </xf>
    <xf numFmtId="0" fontId="29" fillId="0" borderId="20" xfId="0" applyNumberFormat="1" applyFont="1" applyFill="1" applyBorder="1" applyAlignment="1">
      <alignment horizontal="center" wrapText="1"/>
    </xf>
    <xf numFmtId="0" fontId="36" fillId="0" borderId="21" xfId="0" applyFont="1" applyFill="1" applyBorder="1" applyAlignment="1">
      <alignment horizontal="center" vertical="center"/>
    </xf>
    <xf numFmtId="1" fontId="26"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9" fillId="2" borderId="13" xfId="0" applyNumberFormat="1" applyFont="1" applyFill="1" applyBorder="1" applyAlignment="1">
      <alignment horizontal="center" vertical="center"/>
    </xf>
    <xf numFmtId="0" fontId="19" fillId="2" borderId="13" xfId="0" applyFont="1" applyFill="1" applyBorder="1" applyAlignment="1">
      <alignment horizontal="center" vertical="center"/>
    </xf>
    <xf numFmtId="0" fontId="19" fillId="2" borderId="13" xfId="0" applyFont="1" applyFill="1" applyBorder="1" applyAlignment="1">
      <alignment vertical="center"/>
    </xf>
    <xf numFmtId="3" fontId="19"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3" fontId="19" fillId="2" borderId="13" xfId="0" applyNumberFormat="1" applyFont="1" applyFill="1" applyBorder="1" applyAlignment="1">
      <alignment horizontal="right" vertical="center"/>
    </xf>
    <xf numFmtId="192" fontId="19" fillId="2" borderId="13" xfId="0" applyNumberFormat="1" applyFont="1" applyFill="1" applyBorder="1" applyAlignment="1">
      <alignment vertical="center"/>
    </xf>
    <xf numFmtId="187" fontId="19" fillId="2" borderId="13" xfId="0" applyNumberFormat="1" applyFont="1" applyFill="1" applyBorder="1" applyAlignment="1">
      <alignment horizontal="right" vertical="center"/>
    </xf>
    <xf numFmtId="192" fontId="19" fillId="2" borderId="23" xfId="0" applyNumberFormat="1" applyFont="1" applyFill="1" applyBorder="1" applyAlignment="1">
      <alignment horizontal="right" vertical="center"/>
    </xf>
    <xf numFmtId="0" fontId="42" fillId="0" borderId="0" xfId="0" applyFont="1" applyFill="1" applyBorder="1" applyAlignment="1" applyProtection="1">
      <alignment vertical="center"/>
      <protection locked="0"/>
    </xf>
    <xf numFmtId="184" fontId="16" fillId="0" borderId="1" xfId="0" applyNumberFormat="1" applyFont="1" applyFill="1" applyBorder="1" applyAlignment="1" applyProtection="1">
      <alignment horizontal="center" vertical="center"/>
      <protection locked="0"/>
    </xf>
    <xf numFmtId="18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84" fontId="16" fillId="0" borderId="1" xfId="0" applyNumberFormat="1" applyFont="1" applyFill="1" applyBorder="1" applyAlignment="1" applyProtection="1">
      <alignment horizontal="center" vertical="center"/>
      <protection/>
    </xf>
    <xf numFmtId="3" fontId="16" fillId="0" borderId="1" xfId="0" applyNumberFormat="1" applyFont="1" applyFill="1" applyBorder="1" applyAlignment="1">
      <alignment horizontal="center" vertical="center"/>
    </xf>
    <xf numFmtId="0" fontId="16" fillId="0" borderId="24" xfId="0" applyFont="1" applyFill="1" applyBorder="1" applyAlignment="1" applyProtection="1">
      <alignment horizontal="left" vertical="center"/>
      <protection/>
    </xf>
    <xf numFmtId="193" fontId="43" fillId="0" borderId="1"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xf>
    <xf numFmtId="0" fontId="14" fillId="0" borderId="0" xfId="0" applyFont="1" applyAlignment="1">
      <alignment vertical="center" readingOrder="1"/>
    </xf>
    <xf numFmtId="0" fontId="16" fillId="0" borderId="1" xfId="0" applyFont="1" applyFill="1" applyBorder="1" applyAlignment="1" applyProtection="1">
      <alignment horizontal="left" vertical="center"/>
      <protection locked="0"/>
    </xf>
    <xf numFmtId="18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49"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xf>
    <xf numFmtId="49" fontId="16" fillId="0" borderId="1" xfId="0" applyNumberFormat="1" applyFont="1" applyFill="1" applyBorder="1" applyAlignment="1">
      <alignment horizontal="left" vertical="center"/>
    </xf>
    <xf numFmtId="197" fontId="16" fillId="0" borderId="1"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43" fillId="0" borderId="25" xfId="0" applyFont="1" applyFill="1" applyBorder="1" applyAlignment="1" applyProtection="1">
      <alignment horizontal="right" vertical="center"/>
      <protection/>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26" xfId="0" applyFont="1" applyBorder="1" applyAlignment="1">
      <alignment vertical="center"/>
    </xf>
    <xf numFmtId="0" fontId="16" fillId="0" borderId="27" xfId="0" applyFont="1" applyBorder="1" applyAlignment="1">
      <alignment horizontal="center" vertical="center"/>
    </xf>
    <xf numFmtId="3" fontId="16" fillId="0" borderId="27" xfId="0" applyNumberFormat="1" applyFont="1" applyBorder="1" applyAlignment="1">
      <alignment horizontal="center" vertical="center"/>
    </xf>
    <xf numFmtId="187" fontId="43" fillId="0" borderId="27" xfId="0" applyNumberFormat="1" applyFont="1" applyBorder="1" applyAlignment="1">
      <alignment horizontal="right" vertical="center"/>
    </xf>
    <xf numFmtId="193" fontId="43" fillId="0" borderId="27" xfId="0" applyNumberFormat="1" applyFont="1" applyBorder="1" applyAlignment="1">
      <alignment vertical="center"/>
    </xf>
    <xf numFmtId="192" fontId="16" fillId="0" borderId="28" xfId="0" applyNumberFormat="1" applyFont="1" applyBorder="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3" fontId="16" fillId="0" borderId="1" xfId="0" applyNumberFormat="1" applyFont="1" applyBorder="1" applyAlignment="1">
      <alignment horizontal="center" vertical="center"/>
    </xf>
    <xf numFmtId="187" fontId="43" fillId="0" borderId="1" xfId="0" applyNumberFormat="1" applyFont="1" applyBorder="1" applyAlignment="1">
      <alignment horizontal="right" vertical="center"/>
    </xf>
    <xf numFmtId="193" fontId="43" fillId="0" borderId="1" xfId="0" applyNumberFormat="1" applyFont="1" applyBorder="1" applyAlignment="1">
      <alignment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87" fontId="18" fillId="2"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3"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6" fillId="0" borderId="0" xfId="0" applyNumberFormat="1" applyFont="1" applyBorder="1" applyAlignment="1">
      <alignment vertical="center"/>
    </xf>
    <xf numFmtId="193" fontId="0" fillId="0" borderId="0" xfId="0" applyNumberFormat="1" applyBorder="1" applyAlignment="1">
      <alignment vertical="center"/>
    </xf>
    <xf numFmtId="49" fontId="16" fillId="0" borderId="24" xfId="0" applyNumberFormat="1" applyFont="1" applyFill="1" applyBorder="1" applyAlignment="1" applyProtection="1">
      <alignment vertical="center"/>
      <protection locked="0"/>
    </xf>
    <xf numFmtId="0" fontId="16" fillId="0" borderId="1" xfId="0" applyFont="1" applyFill="1" applyBorder="1" applyAlignment="1">
      <alignment horizontal="left"/>
    </xf>
    <xf numFmtId="0" fontId="16" fillId="0" borderId="24" xfId="0" applyFont="1" applyFill="1" applyBorder="1" applyAlignment="1" applyProtection="1">
      <alignment vertical="center"/>
      <protection locked="0"/>
    </xf>
    <xf numFmtId="0" fontId="16" fillId="0" borderId="24" xfId="0" applyFont="1" applyFill="1" applyBorder="1" applyAlignment="1">
      <alignment horizontal="left"/>
    </xf>
    <xf numFmtId="0" fontId="16" fillId="0" borderId="24" xfId="0" applyFont="1" applyFill="1" applyBorder="1" applyAlignment="1">
      <alignment vertical="center"/>
    </xf>
    <xf numFmtId="49" fontId="16" fillId="0" borderId="24" xfId="0" applyNumberFormat="1" applyFont="1" applyFill="1" applyBorder="1" applyAlignment="1">
      <alignment vertical="center"/>
    </xf>
    <xf numFmtId="184" fontId="16" fillId="0" borderId="1" xfId="0" applyNumberFormat="1" applyFont="1" applyFill="1" applyBorder="1" applyAlignment="1">
      <alignment horizontal="center"/>
    </xf>
    <xf numFmtId="184" fontId="0" fillId="0" borderId="0" xfId="0" applyNumberFormat="1" applyAlignment="1">
      <alignment horizontal="center" vertical="center"/>
    </xf>
    <xf numFmtId="49" fontId="34" fillId="0" borderId="13"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193" fontId="43" fillId="0" borderId="2" xfId="15" applyNumberFormat="1" applyFont="1" applyFill="1" applyBorder="1" applyAlignment="1" applyProtection="1">
      <alignment horizontal="right" vertical="center"/>
      <protection locked="0"/>
    </xf>
    <xf numFmtId="193" fontId="43" fillId="0" borderId="2" xfId="0" applyNumberFormat="1" applyFont="1" applyFill="1" applyBorder="1" applyAlignment="1">
      <alignment horizontal="right"/>
    </xf>
    <xf numFmtId="193" fontId="43" fillId="0" borderId="2" xfId="15" applyNumberFormat="1" applyFont="1" applyFill="1" applyBorder="1" applyAlignment="1" applyProtection="1">
      <alignment horizontal="right" vertical="center"/>
      <protection/>
    </xf>
    <xf numFmtId="193" fontId="43" fillId="0" borderId="2" xfId="0" applyNumberFormat="1" applyFont="1" applyFill="1" applyBorder="1" applyAlignment="1">
      <alignment horizontal="right" vertical="center"/>
    </xf>
    <xf numFmtId="193" fontId="43" fillId="0" borderId="2" xfId="0" applyNumberFormat="1" applyFont="1" applyFill="1" applyBorder="1" applyAlignment="1" applyProtection="1">
      <alignment horizontal="right" vertical="center"/>
      <protection/>
    </xf>
    <xf numFmtId="193" fontId="43" fillId="0" borderId="2" xfId="0" applyNumberFormat="1" applyFont="1" applyFill="1" applyBorder="1" applyAlignment="1" applyProtection="1">
      <alignment horizontal="right" vertical="center"/>
      <protection locked="0"/>
    </xf>
    <xf numFmtId="0" fontId="43" fillId="0" borderId="24" xfId="0" applyFont="1" applyFill="1" applyBorder="1" applyAlignment="1" applyProtection="1">
      <alignment horizontal="right" vertical="center"/>
      <protection/>
    </xf>
    <xf numFmtId="192" fontId="16" fillId="0" borderId="2" xfId="0" applyNumberFormat="1" applyFont="1" applyBorder="1" applyAlignment="1">
      <alignment vertical="center"/>
    </xf>
    <xf numFmtId="192" fontId="18" fillId="2" borderId="2" xfId="0" applyNumberFormat="1" applyFont="1" applyFill="1" applyBorder="1" applyAlignment="1">
      <alignment horizontal="center" vertical="center"/>
    </xf>
    <xf numFmtId="0" fontId="43" fillId="0" borderId="24" xfId="0" applyFont="1" applyFill="1" applyBorder="1" applyAlignment="1">
      <alignment horizontal="right" vertical="center"/>
    </xf>
    <xf numFmtId="0" fontId="26" fillId="2" borderId="24" xfId="0" applyFont="1" applyFill="1" applyBorder="1" applyAlignment="1">
      <alignment horizontal="center" vertical="center"/>
    </xf>
    <xf numFmtId="0" fontId="43" fillId="3" borderId="29" xfId="0" applyFont="1" applyFill="1" applyBorder="1" applyAlignment="1">
      <alignment vertical="center"/>
    </xf>
    <xf numFmtId="0" fontId="43" fillId="3" borderId="4" xfId="0" applyFont="1" applyFill="1" applyBorder="1" applyAlignment="1">
      <alignment vertical="center"/>
    </xf>
    <xf numFmtId="187" fontId="43" fillId="3" borderId="4" xfId="0" applyNumberFormat="1" applyFont="1" applyFill="1" applyBorder="1" applyAlignment="1">
      <alignment vertical="center"/>
    </xf>
    <xf numFmtId="193" fontId="43" fillId="3" borderId="4" xfId="0" applyNumberFormat="1" applyFont="1" applyFill="1" applyBorder="1" applyAlignment="1">
      <alignment vertical="center"/>
    </xf>
    <xf numFmtId="192" fontId="43" fillId="3" borderId="30" xfId="0" applyNumberFormat="1" applyFont="1" applyFill="1" applyBorder="1" applyAlignment="1">
      <alignment vertical="center"/>
    </xf>
    <xf numFmtId="193" fontId="14" fillId="0" borderId="0" xfId="0" applyNumberFormat="1" applyFont="1" applyFill="1" applyBorder="1" applyAlignment="1">
      <alignment horizontal="right" vertical="center"/>
    </xf>
    <xf numFmtId="193"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wrapText="1"/>
    </xf>
    <xf numFmtId="193" fontId="14" fillId="0" borderId="0" xfId="0" applyNumberFormat="1" applyFont="1" applyAlignment="1">
      <alignment/>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vertical="center"/>
      <protection locked="0"/>
    </xf>
    <xf numFmtId="0" fontId="16" fillId="0" borderId="24" xfId="0" applyNumberFormat="1" applyFont="1" applyFill="1" applyBorder="1" applyAlignment="1">
      <alignment vertical="center"/>
    </xf>
    <xf numFmtId="0" fontId="16" fillId="0" borderId="24" xfId="0" applyNumberFormat="1" applyFont="1" applyFill="1" applyBorder="1" applyAlignment="1" applyProtection="1">
      <alignment vertical="center"/>
      <protection/>
    </xf>
    <xf numFmtId="184" fontId="16" fillId="0" borderId="31" xfId="0" applyNumberFormat="1" applyFont="1" applyFill="1" applyBorder="1" applyAlignment="1">
      <alignment horizontal="center" vertical="center"/>
    </xf>
    <xf numFmtId="0" fontId="27" fillId="0" borderId="21" xfId="0" applyFont="1" applyFill="1" applyBorder="1" applyAlignment="1">
      <alignment horizontal="center" vertical="center"/>
    </xf>
    <xf numFmtId="0" fontId="18" fillId="2" borderId="13" xfId="0" applyFont="1" applyFill="1" applyBorder="1" applyAlignment="1">
      <alignment horizontal="center" vertical="center"/>
    </xf>
    <xf numFmtId="3" fontId="18"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center" vertical="center"/>
    </xf>
    <xf numFmtId="193" fontId="18" fillId="2" borderId="13" xfId="0" applyNumberFormat="1" applyFont="1" applyFill="1" applyBorder="1" applyAlignment="1">
      <alignment horizontal="center" vertical="center"/>
    </xf>
    <xf numFmtId="192" fontId="18" fillId="2" borderId="23" xfId="0" applyNumberFormat="1" applyFont="1" applyFill="1" applyBorder="1" applyAlignment="1">
      <alignment horizontal="center" vertical="center"/>
    </xf>
    <xf numFmtId="0" fontId="26" fillId="0" borderId="32" xfId="0" applyFont="1" applyFill="1" applyBorder="1" applyAlignment="1" applyProtection="1">
      <alignment horizontal="right" vertical="center"/>
      <protection/>
    </xf>
    <xf numFmtId="0" fontId="43" fillId="3" borderId="4" xfId="0" applyFont="1" applyFill="1" applyBorder="1" applyAlignment="1">
      <alignment horizontal="center" vertical="center"/>
    </xf>
    <xf numFmtId="0" fontId="26" fillId="0" borderId="22" xfId="0" applyFont="1" applyFill="1" applyBorder="1" applyAlignment="1">
      <alignment horizontal="right" vertical="center"/>
    </xf>
    <xf numFmtId="0" fontId="26" fillId="0" borderId="33" xfId="0" applyFont="1" applyFill="1" applyBorder="1" applyAlignment="1" applyProtection="1">
      <alignment horizontal="right" vertical="center"/>
      <protection/>
    </xf>
    <xf numFmtId="193" fontId="43" fillId="0" borderId="34" xfId="0" applyNumberFormat="1" applyFont="1" applyFill="1" applyBorder="1" applyAlignment="1">
      <alignment vertical="center"/>
    </xf>
    <xf numFmtId="193" fontId="43" fillId="0" borderId="2" xfId="15" applyNumberFormat="1" applyFont="1" applyFill="1" applyBorder="1" applyAlignment="1" applyProtection="1">
      <alignment vertical="center"/>
      <protection locked="0"/>
    </xf>
    <xf numFmtId="193" fontId="43" fillId="0" borderId="2" xfId="0" applyNumberFormat="1" applyFont="1" applyFill="1" applyBorder="1" applyAlignment="1">
      <alignment vertical="center"/>
    </xf>
    <xf numFmtId="193" fontId="43" fillId="0" borderId="2" xfId="15"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locked="0"/>
    </xf>
    <xf numFmtId="0" fontId="16" fillId="0" borderId="29" xfId="0" applyFont="1" applyFill="1" applyBorder="1" applyAlignment="1">
      <alignment horizontal="left"/>
    </xf>
    <xf numFmtId="184" fontId="16" fillId="0" borderId="4" xfId="0" applyNumberFormat="1" applyFont="1" applyFill="1" applyBorder="1" applyAlignment="1">
      <alignment horizontal="center"/>
    </xf>
    <xf numFmtId="0" fontId="16" fillId="0" borderId="4" xfId="0" applyFont="1" applyFill="1" applyBorder="1" applyAlignment="1">
      <alignment horizontal="left" vertical="center"/>
    </xf>
    <xf numFmtId="0" fontId="16" fillId="0" borderId="4" xfId="0" applyFont="1" applyFill="1" applyBorder="1" applyAlignment="1">
      <alignment horizontal="left"/>
    </xf>
    <xf numFmtId="193" fontId="43" fillId="0" borderId="30" xfId="0" applyNumberFormat="1" applyFont="1" applyFill="1" applyBorder="1" applyAlignment="1">
      <alignment horizontal="right"/>
    </xf>
    <xf numFmtId="0" fontId="35" fillId="4" borderId="35" xfId="0" applyFont="1" applyFill="1" applyBorder="1" applyAlignment="1">
      <alignment horizontal="right"/>
    </xf>
    <xf numFmtId="49" fontId="35" fillId="4" borderId="36" xfId="0" applyNumberFormat="1" applyFont="1" applyFill="1" applyBorder="1" applyAlignment="1">
      <alignment horizontal="right"/>
    </xf>
    <xf numFmtId="0" fontId="35" fillId="4" borderId="36" xfId="0" applyFont="1" applyFill="1" applyBorder="1" applyAlignment="1">
      <alignment/>
    </xf>
    <xf numFmtId="0" fontId="35" fillId="4" borderId="36" xfId="0" applyFont="1" applyFill="1" applyBorder="1" applyAlignment="1">
      <alignment horizontal="right"/>
    </xf>
    <xf numFmtId="0" fontId="35" fillId="4" borderId="37" xfId="0" applyFont="1" applyFill="1" applyBorder="1" applyAlignment="1">
      <alignment horizontal="right"/>
    </xf>
    <xf numFmtId="0" fontId="35" fillId="5" borderId="35" xfId="0" applyFont="1" applyFill="1" applyBorder="1" applyAlignment="1">
      <alignment horizontal="right"/>
    </xf>
    <xf numFmtId="4" fontId="35" fillId="5" borderId="36" xfId="0" applyNumberFormat="1" applyFont="1" applyFill="1" applyBorder="1" applyAlignment="1">
      <alignment horizontal="right"/>
    </xf>
    <xf numFmtId="3" fontId="35" fillId="5" borderId="37" xfId="0" applyNumberFormat="1" applyFont="1" applyFill="1" applyBorder="1" applyAlignment="1">
      <alignment horizontal="right"/>
    </xf>
    <xf numFmtId="0" fontId="35" fillId="4" borderId="35" xfId="0" applyFont="1" applyFill="1" applyBorder="1" applyAlignment="1">
      <alignment/>
    </xf>
    <xf numFmtId="4" fontId="35" fillId="4" borderId="36" xfId="0" applyNumberFormat="1" applyFont="1" applyFill="1" applyBorder="1" applyAlignment="1">
      <alignment horizontal="right"/>
    </xf>
    <xf numFmtId="3" fontId="35" fillId="4" borderId="36" xfId="0" applyNumberFormat="1" applyFont="1" applyFill="1" applyBorder="1" applyAlignment="1">
      <alignment horizontal="right"/>
    </xf>
    <xf numFmtId="10" fontId="35" fillId="4" borderId="37" xfId="0" applyNumberFormat="1" applyFont="1" applyFill="1" applyBorder="1" applyAlignment="1">
      <alignment horizontal="right"/>
    </xf>
    <xf numFmtId="3" fontId="35" fillId="5" borderId="36" xfId="0" applyNumberFormat="1" applyFont="1" applyFill="1" applyBorder="1" applyAlignment="1">
      <alignment horizontal="right"/>
    </xf>
    <xf numFmtId="10" fontId="35" fillId="5" borderId="37" xfId="0" applyNumberFormat="1" applyFont="1" applyFill="1" applyBorder="1" applyAlignment="1">
      <alignment horizontal="right"/>
    </xf>
    <xf numFmtId="0" fontId="35" fillId="5" borderId="35" xfId="0" applyFont="1" applyFill="1" applyBorder="1" applyAlignment="1">
      <alignment/>
    </xf>
    <xf numFmtId="0" fontId="35" fillId="0" borderId="0" xfId="0" applyFont="1" applyFill="1" applyAlignment="1">
      <alignment/>
    </xf>
    <xf numFmtId="0" fontId="35" fillId="4" borderId="38" xfId="0" applyFont="1" applyFill="1" applyBorder="1" applyAlignment="1">
      <alignment horizontal="right"/>
    </xf>
    <xf numFmtId="0" fontId="35" fillId="4" borderId="38" xfId="0" applyFont="1" applyFill="1" applyBorder="1" applyAlignment="1">
      <alignment/>
    </xf>
    <xf numFmtId="0" fontId="35" fillId="5" borderId="38" xfId="0" applyFont="1" applyFill="1" applyBorder="1" applyAlignment="1">
      <alignment horizontal="right"/>
    </xf>
    <xf numFmtId="4" fontId="35" fillId="5" borderId="38" xfId="0" applyNumberFormat="1" applyFont="1" applyFill="1" applyBorder="1" applyAlignment="1">
      <alignment horizontal="right"/>
    </xf>
    <xf numFmtId="3" fontId="35" fillId="5" borderId="38" xfId="0" applyNumberFormat="1" applyFont="1" applyFill="1" applyBorder="1" applyAlignment="1">
      <alignment horizontal="right"/>
    </xf>
    <xf numFmtId="4" fontId="35" fillId="4" borderId="38" xfId="0" applyNumberFormat="1" applyFont="1" applyFill="1" applyBorder="1" applyAlignment="1">
      <alignment horizontal="right"/>
    </xf>
    <xf numFmtId="3" fontId="35" fillId="4" borderId="38" xfId="0" applyNumberFormat="1" applyFont="1" applyFill="1" applyBorder="1" applyAlignment="1">
      <alignment horizontal="right"/>
    </xf>
    <xf numFmtId="10" fontId="35" fillId="4" borderId="38" xfId="0" applyNumberFormat="1" applyFont="1" applyFill="1" applyBorder="1" applyAlignment="1">
      <alignment horizontal="right"/>
    </xf>
    <xf numFmtId="10" fontId="35" fillId="5" borderId="38" xfId="0" applyNumberFormat="1" applyFont="1" applyFill="1" applyBorder="1" applyAlignment="1">
      <alignment horizontal="right"/>
    </xf>
    <xf numFmtId="0" fontId="35" fillId="5" borderId="38" xfId="0" applyFont="1" applyFill="1" applyBorder="1" applyAlignment="1">
      <alignment/>
    </xf>
    <xf numFmtId="0" fontId="35" fillId="4" borderId="0" xfId="0" applyFont="1" applyFill="1" applyAlignment="1">
      <alignment horizontal="right"/>
    </xf>
    <xf numFmtId="49" fontId="35" fillId="4" borderId="0" xfId="0" applyNumberFormat="1" applyFont="1" applyFill="1" applyAlignment="1">
      <alignment horizontal="right"/>
    </xf>
    <xf numFmtId="0" fontId="35" fillId="4" borderId="0" xfId="0" applyFont="1" applyFill="1" applyAlignment="1">
      <alignment/>
    </xf>
    <xf numFmtId="0" fontId="35" fillId="5" borderId="0" xfId="0" applyFont="1" applyFill="1" applyAlignment="1">
      <alignment horizontal="right"/>
    </xf>
    <xf numFmtId="4" fontId="35" fillId="5" borderId="0" xfId="0" applyNumberFormat="1" applyFont="1" applyFill="1" applyAlignment="1">
      <alignment horizontal="right"/>
    </xf>
    <xf numFmtId="3" fontId="35" fillId="5" borderId="0" xfId="0" applyNumberFormat="1" applyFont="1" applyFill="1" applyAlignment="1">
      <alignment horizontal="right"/>
    </xf>
    <xf numFmtId="4" fontId="35" fillId="4" borderId="0" xfId="0" applyNumberFormat="1" applyFont="1" applyFill="1" applyAlignment="1">
      <alignment horizontal="right"/>
    </xf>
    <xf numFmtId="3" fontId="35" fillId="4" borderId="0" xfId="0" applyNumberFormat="1" applyFont="1" applyFill="1" applyAlignment="1">
      <alignment horizontal="right"/>
    </xf>
    <xf numFmtId="10" fontId="35" fillId="4" borderId="0" xfId="0" applyNumberFormat="1" applyFont="1" applyFill="1" applyAlignment="1">
      <alignment horizontal="right"/>
    </xf>
    <xf numFmtId="10" fontId="35" fillId="5" borderId="0" xfId="0" applyNumberFormat="1" applyFont="1" applyFill="1" applyAlignment="1">
      <alignment horizontal="right"/>
    </xf>
    <xf numFmtId="0" fontId="35" fillId="5" borderId="0" xfId="0" applyFont="1" applyFill="1" applyAlignment="1">
      <alignment/>
    </xf>
    <xf numFmtId="0" fontId="16" fillId="0" borderId="24" xfId="0" applyFont="1" applyFill="1" applyBorder="1" applyAlignment="1" applyProtection="1">
      <alignment vertical="center"/>
      <protection/>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protection locked="0"/>
    </xf>
    <xf numFmtId="192" fontId="34" fillId="0" borderId="2" xfId="0" applyNumberFormat="1" applyFont="1" applyFill="1" applyBorder="1" applyAlignment="1" applyProtection="1">
      <alignment horizontal="right" vertical="center"/>
      <protection locked="0"/>
    </xf>
    <xf numFmtId="197" fontId="16" fillId="0" borderId="31" xfId="0" applyNumberFormat="1" applyFont="1" applyFill="1" applyBorder="1" applyAlignment="1">
      <alignment horizontal="left" vertical="center"/>
    </xf>
    <xf numFmtId="49" fontId="16" fillId="0" borderId="31" xfId="0" applyNumberFormat="1" applyFont="1" applyFill="1" applyBorder="1" applyAlignment="1">
      <alignment horizontal="left" vertical="center"/>
    </xf>
    <xf numFmtId="0" fontId="16" fillId="0" borderId="24" xfId="0" applyFont="1" applyFill="1" applyBorder="1" applyAlignment="1" applyProtection="1">
      <alignment horizontal="left" vertical="center"/>
      <protection locked="0"/>
    </xf>
    <xf numFmtId="0" fontId="16" fillId="0" borderId="24" xfId="0"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4" xfId="0" applyNumberFormat="1" applyFont="1" applyFill="1" applyBorder="1" applyAlignment="1" applyProtection="1">
      <alignment horizontal="left" vertical="center"/>
      <protection locked="0"/>
    </xf>
    <xf numFmtId="200" fontId="43" fillId="0" borderId="1" xfId="0" applyNumberFormat="1" applyFont="1" applyFill="1" applyBorder="1" applyAlignment="1">
      <alignment vertical="center"/>
    </xf>
    <xf numFmtId="193" fontId="43" fillId="0" borderId="1" xfId="0" applyNumberFormat="1" applyFont="1" applyFill="1" applyBorder="1" applyAlignment="1">
      <alignment vertical="center"/>
    </xf>
    <xf numFmtId="200" fontId="43" fillId="0" borderId="1" xfId="15" applyNumberFormat="1" applyFont="1" applyFill="1" applyBorder="1" applyAlignment="1" applyProtection="1">
      <alignment vertical="center"/>
      <protection locked="0"/>
    </xf>
    <xf numFmtId="200" fontId="43" fillId="0" borderId="1" xfId="15" applyNumberFormat="1" applyFont="1" applyFill="1" applyBorder="1" applyAlignment="1" applyProtection="1">
      <alignment vertical="center"/>
      <protection/>
    </xf>
    <xf numFmtId="200" fontId="43" fillId="0" borderId="31" xfId="0" applyNumberFormat="1" applyFont="1" applyFill="1" applyBorder="1" applyAlignment="1">
      <alignment vertical="center"/>
    </xf>
    <xf numFmtId="200" fontId="43" fillId="0" borderId="1" xfId="0" applyNumberFormat="1" applyFont="1" applyFill="1" applyBorder="1" applyAlignment="1">
      <alignment horizontal="right" vertical="center"/>
    </xf>
    <xf numFmtId="200" fontId="43" fillId="0" borderId="1" xfId="15" applyNumberFormat="1" applyFont="1" applyFill="1" applyBorder="1" applyAlignment="1" applyProtection="1">
      <alignment horizontal="right" vertical="center"/>
      <protection locked="0"/>
    </xf>
    <xf numFmtId="200" fontId="43" fillId="0" borderId="1" xfId="0" applyNumberFormat="1" applyFont="1" applyFill="1" applyBorder="1" applyAlignment="1">
      <alignment horizontal="right"/>
    </xf>
    <xf numFmtId="200" fontId="43" fillId="0" borderId="1" xfId="15"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xf>
    <xf numFmtId="200" fontId="43" fillId="0" borderId="1" xfId="0"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locked="0"/>
    </xf>
    <xf numFmtId="200" fontId="43" fillId="0" borderId="1" xfId="0" applyNumberFormat="1" applyFont="1" applyFill="1" applyBorder="1" applyAlignment="1" applyProtection="1">
      <alignment horizontal="right" vertical="center"/>
      <protection locked="0"/>
    </xf>
    <xf numFmtId="200" fontId="43" fillId="0" borderId="4" xfId="0" applyNumberFormat="1" applyFont="1" applyFill="1" applyBorder="1" applyAlignment="1">
      <alignment horizontal="right"/>
    </xf>
    <xf numFmtId="200" fontId="18" fillId="2" borderId="13" xfId="0" applyNumberFormat="1" applyFont="1" applyFill="1" applyBorder="1" applyAlignment="1">
      <alignment horizontal="center" vertical="center"/>
    </xf>
    <xf numFmtId="200" fontId="14" fillId="0" borderId="0" xfId="0" applyNumberFormat="1" applyFont="1" applyFill="1" applyBorder="1" applyAlignment="1">
      <alignment horizontal="center" vertical="center"/>
    </xf>
    <xf numFmtId="200" fontId="14" fillId="0" borderId="0" xfId="0" applyNumberFormat="1" applyFont="1" applyBorder="1" applyAlignment="1">
      <alignment horizontal="center" vertical="center"/>
    </xf>
    <xf numFmtId="200" fontId="14" fillId="0" borderId="0" xfId="0" applyNumberFormat="1" applyFont="1" applyBorder="1" applyAlignment="1">
      <alignment horizontal="right" vertical="center" wrapText="1"/>
    </xf>
    <xf numFmtId="200" fontId="14" fillId="0" borderId="0" xfId="0" applyNumberFormat="1" applyFont="1" applyAlignment="1">
      <alignment/>
    </xf>
    <xf numFmtId="4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xf>
    <xf numFmtId="192" fontId="16" fillId="0" borderId="2" xfId="21" applyNumberFormat="1" applyFont="1" applyFill="1" applyBorder="1" applyAlignment="1" applyProtection="1">
      <alignment vertical="center"/>
      <protection/>
    </xf>
    <xf numFmtId="184" fontId="16" fillId="0" borderId="31"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184" fontId="16"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49" fontId="16" fillId="0" borderId="39" xfId="0" applyNumberFormat="1" applyFont="1" applyFill="1" applyBorder="1" applyAlignment="1">
      <alignment horizontal="left" vertical="center"/>
    </xf>
    <xf numFmtId="1" fontId="26" fillId="0" borderId="40" xfId="0" applyNumberFormat="1" applyFont="1" applyFill="1" applyBorder="1" applyAlignment="1" applyProtection="1">
      <alignment horizontal="right" vertical="center"/>
      <protection/>
    </xf>
    <xf numFmtId="1" fontId="26" fillId="0" borderId="41" xfId="0" applyNumberFormat="1" applyFont="1" applyFill="1" applyBorder="1" applyAlignment="1" applyProtection="1">
      <alignment horizontal="right" vertical="center"/>
      <protection/>
    </xf>
    <xf numFmtId="184" fontId="16"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1" xfId="0" applyFont="1" applyFill="1" applyBorder="1" applyAlignment="1">
      <alignment/>
    </xf>
    <xf numFmtId="49" fontId="16" fillId="0" borderId="1" xfId="0" applyNumberFormat="1" applyFont="1" applyFill="1" applyBorder="1" applyAlignment="1" applyProtection="1">
      <alignment vertical="center"/>
      <protection locked="0"/>
    </xf>
    <xf numFmtId="197" fontId="16" fillId="0" borderId="1" xfId="0" applyNumberFormat="1" applyFont="1" applyFill="1" applyBorder="1" applyAlignment="1">
      <alignment vertical="center"/>
    </xf>
    <xf numFmtId="49" fontId="16" fillId="0" borderId="1" xfId="0" applyNumberFormat="1" applyFont="1" applyFill="1" applyBorder="1" applyAlignment="1">
      <alignment vertical="center"/>
    </xf>
    <xf numFmtId="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vertical="center"/>
      <protection/>
    </xf>
    <xf numFmtId="200" fontId="29" fillId="0" borderId="20" xfId="0" applyNumberFormat="1" applyFont="1" applyFill="1" applyBorder="1" applyAlignment="1" applyProtection="1">
      <alignment horizontal="center" vertical="center" wrapText="1"/>
      <protection/>
    </xf>
    <xf numFmtId="193" fontId="29" fillId="0" borderId="42" xfId="0" applyNumberFormat="1" applyFont="1" applyFill="1" applyBorder="1" applyAlignment="1" applyProtection="1">
      <alignment horizontal="center" vertical="center" wrapText="1"/>
      <protection/>
    </xf>
    <xf numFmtId="0" fontId="16" fillId="0" borderId="1" xfId="0" applyFont="1" applyFill="1" applyBorder="1" applyAlignment="1">
      <alignment vertical="center"/>
    </xf>
    <xf numFmtId="193" fontId="43" fillId="0" borderId="1" xfId="0" applyNumberFormat="1" applyFont="1" applyFill="1" applyBorder="1" applyAlignment="1" applyProtection="1">
      <alignment vertical="center"/>
      <protection locked="0"/>
    </xf>
    <xf numFmtId="187" fontId="43" fillId="0" borderId="1" xfId="0" applyNumberFormat="1" applyFont="1" applyFill="1" applyBorder="1" applyAlignment="1">
      <alignment vertical="center"/>
    </xf>
    <xf numFmtId="187" fontId="43" fillId="0" borderId="1" xfId="15" applyNumberFormat="1" applyFont="1" applyFill="1" applyBorder="1" applyAlignment="1" applyProtection="1">
      <alignment vertical="center"/>
      <protection locked="0"/>
    </xf>
    <xf numFmtId="187" fontId="43" fillId="0" borderId="1" xfId="15" applyNumberFormat="1" applyFont="1" applyFill="1" applyBorder="1" applyAlignment="1" applyProtection="1">
      <alignment vertical="center"/>
      <protection/>
    </xf>
    <xf numFmtId="193" fontId="43" fillId="0" borderId="1" xfId="0" applyNumberFormat="1" applyFont="1" applyFill="1" applyBorder="1" applyAlignment="1">
      <alignment horizontal="right"/>
    </xf>
    <xf numFmtId="0" fontId="16" fillId="0" borderId="1" xfId="0" applyFont="1" applyFill="1" applyBorder="1" applyAlignment="1">
      <alignment horizontal="center"/>
    </xf>
    <xf numFmtId="192" fontId="16" fillId="0" borderId="2" xfId="21" applyNumberFormat="1" applyFont="1" applyFill="1" applyBorder="1" applyAlignment="1" applyProtection="1">
      <alignment horizontal="right" vertical="center"/>
      <protection/>
    </xf>
    <xf numFmtId="0" fontId="16" fillId="0" borderId="24" xfId="0" applyFont="1" applyFill="1" applyBorder="1" applyAlignment="1">
      <alignment/>
    </xf>
    <xf numFmtId="0" fontId="0" fillId="0" borderId="0" xfId="0" applyBorder="1" applyAlignment="1">
      <alignment/>
    </xf>
    <xf numFmtId="0" fontId="26" fillId="0" borderId="40" xfId="0" applyFont="1" applyFill="1" applyBorder="1" applyAlignment="1">
      <alignment horizontal="right" vertical="center"/>
    </xf>
    <xf numFmtId="184" fontId="16" fillId="0" borderId="13"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26" fillId="0" borderId="41" xfId="0" applyFont="1" applyFill="1" applyBorder="1" applyAlignment="1">
      <alignment horizontal="right" vertical="center"/>
    </xf>
    <xf numFmtId="184" fontId="16" fillId="0" borderId="16" xfId="0" applyNumberFormat="1"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29" fillId="0" borderId="3"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19" fillId="2" borderId="43" xfId="0" applyFont="1" applyFill="1" applyBorder="1" applyAlignment="1">
      <alignment horizontal="right" vertical="center"/>
    </xf>
    <xf numFmtId="0" fontId="41" fillId="0" borderId="12" xfId="0" applyFont="1" applyBorder="1" applyAlignment="1">
      <alignment horizontal="right" vertical="center"/>
    </xf>
    <xf numFmtId="0" fontId="19" fillId="2" borderId="22" xfId="0" applyFont="1" applyFill="1" applyBorder="1" applyAlignment="1">
      <alignment horizontal="right" vertical="center"/>
    </xf>
    <xf numFmtId="0" fontId="0" fillId="0" borderId="6" xfId="0" applyBorder="1" applyAlignment="1">
      <alignment horizontal="right" vertical="center"/>
    </xf>
    <xf numFmtId="184" fontId="32" fillId="0" borderId="31" xfId="0" applyNumberFormat="1" applyFont="1" applyFill="1" applyBorder="1" applyAlignment="1" applyProtection="1">
      <alignment horizontal="center" vertical="center"/>
      <protection locked="0"/>
    </xf>
    <xf numFmtId="0" fontId="33" fillId="0" borderId="31" xfId="0" applyFont="1" applyBorder="1" applyAlignment="1">
      <alignment horizontal="center"/>
    </xf>
    <xf numFmtId="0" fontId="33" fillId="0" borderId="34" xfId="0" applyFont="1" applyBorder="1" applyAlignment="1">
      <alignment horizontal="center"/>
    </xf>
    <xf numFmtId="0" fontId="21" fillId="0" borderId="0" xfId="0" applyFont="1" applyBorder="1" applyAlignment="1" applyProtection="1">
      <alignment horizontal="right" vertical="center" wrapText="1"/>
      <protection locked="0"/>
    </xf>
    <xf numFmtId="184" fontId="32"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32" fillId="0" borderId="0" xfId="0" applyFont="1" applyFill="1" applyBorder="1" applyAlignment="1" applyProtection="1">
      <alignment horizontal="center" vertical="center"/>
      <protection locked="0"/>
    </xf>
    <xf numFmtId="0" fontId="44" fillId="2" borderId="0" xfId="0" applyFont="1" applyFill="1" applyBorder="1" applyAlignment="1" applyProtection="1">
      <alignment horizontal="center" vertical="center"/>
      <protection/>
    </xf>
    <xf numFmtId="0" fontId="0" fillId="0" borderId="0" xfId="0" applyAlignment="1">
      <alignment horizontal="center"/>
    </xf>
    <xf numFmtId="181" fontId="29" fillId="0" borderId="3" xfId="0" applyNumberFormat="1" applyFont="1" applyFill="1" applyBorder="1" applyAlignment="1" applyProtection="1">
      <alignment horizontal="center" vertical="center" wrapText="1"/>
      <protection/>
    </xf>
    <xf numFmtId="181" fontId="29" fillId="0" borderId="44" xfId="0" applyNumberFormat="1" applyFont="1" applyFill="1" applyBorder="1" applyAlignment="1" applyProtection="1">
      <alignment horizontal="center" vertical="center" wrapText="1"/>
      <protection/>
    </xf>
    <xf numFmtId="43" fontId="29" fillId="0" borderId="3" xfId="15" applyFont="1" applyFill="1" applyBorder="1" applyAlignment="1" applyProtection="1">
      <alignment horizontal="center" vertical="center" wrapText="1"/>
      <protection/>
    </xf>
    <xf numFmtId="0" fontId="29" fillId="0" borderId="3" xfId="0" applyFont="1" applyFill="1" applyBorder="1" applyAlignment="1" applyProtection="1">
      <alignment horizontal="center" vertical="center" wrapText="1"/>
      <protection/>
    </xf>
    <xf numFmtId="0" fontId="29" fillId="0" borderId="45" xfId="0" applyNumberFormat="1" applyFont="1" applyFill="1" applyBorder="1" applyAlignment="1" applyProtection="1">
      <alignment horizontal="center" vertical="center" wrapText="1"/>
      <protection/>
    </xf>
    <xf numFmtId="4" fontId="29" fillId="0" borderId="3" xfId="0" applyNumberFormat="1" applyFont="1" applyFill="1" applyBorder="1" applyAlignment="1" applyProtection="1">
      <alignment horizontal="center" vertical="center" wrapText="1"/>
      <protection/>
    </xf>
    <xf numFmtId="184" fontId="29" fillId="0" borderId="3" xfId="0" applyNumberFormat="1" applyFont="1" applyFill="1" applyBorder="1" applyAlignment="1" applyProtection="1">
      <alignment horizontal="center" vertical="center" wrapText="1"/>
      <protection/>
    </xf>
    <xf numFmtId="0" fontId="13" fillId="0" borderId="0" xfId="0" applyFont="1" applyBorder="1" applyAlignment="1">
      <alignment horizontal="right" vertical="center" wrapText="1"/>
    </xf>
    <xf numFmtId="0" fontId="9" fillId="6" borderId="38" xfId="0" applyFont="1" applyFill="1" applyBorder="1" applyAlignment="1">
      <alignment horizontal="center" vertical="center" wrapText="1"/>
    </xf>
    <xf numFmtId="0" fontId="18" fillId="2" borderId="40" xfId="0" applyFont="1" applyFill="1" applyBorder="1" applyAlignment="1">
      <alignment horizontal="center" vertical="center"/>
    </xf>
    <xf numFmtId="0" fontId="18" fillId="2" borderId="12" xfId="0" applyFont="1" applyFill="1" applyBorder="1" applyAlignment="1">
      <alignment horizontal="center" vertical="center"/>
    </xf>
    <xf numFmtId="0" fontId="43" fillId="2" borderId="22" xfId="0" applyFont="1" applyFill="1" applyBorder="1" applyAlignment="1">
      <alignment horizontal="center" vertical="center"/>
    </xf>
    <xf numFmtId="0" fontId="43" fillId="2" borderId="6" xfId="0" applyFont="1" applyFill="1" applyBorder="1" applyAlignment="1">
      <alignment horizontal="center" vertical="center"/>
    </xf>
    <xf numFmtId="0" fontId="29" fillId="0" borderId="45" xfId="0" applyNumberFormat="1" applyFont="1" applyFill="1" applyBorder="1" applyAlignment="1">
      <alignment horizontal="center" vertical="center" wrapText="1"/>
    </xf>
    <xf numFmtId="0" fontId="29" fillId="0" borderId="46" xfId="0" applyNumberFormat="1" applyFont="1" applyFill="1" applyBorder="1" applyAlignment="1">
      <alignment horizontal="center" vertical="center" wrapText="1"/>
    </xf>
    <xf numFmtId="0" fontId="29" fillId="0" borderId="46" xfId="0" applyNumberFormat="1" applyFont="1" applyFill="1" applyBorder="1" applyAlignment="1" applyProtection="1">
      <alignment horizontal="center" vertical="center" wrapText="1"/>
      <protection/>
    </xf>
    <xf numFmtId="0" fontId="29" fillId="0" borderId="47" xfId="0" applyNumberFormat="1" applyFont="1" applyFill="1" applyBorder="1" applyAlignment="1" applyProtection="1">
      <alignment horizontal="center" vertical="center" wrapText="1"/>
      <protection/>
    </xf>
    <xf numFmtId="0" fontId="29" fillId="0" borderId="48" xfId="0" applyNumberFormat="1" applyFont="1" applyFill="1" applyBorder="1" applyAlignment="1" applyProtection="1">
      <alignment horizontal="center" vertical="center" wrapText="1"/>
      <protection/>
    </xf>
    <xf numFmtId="192" fontId="29" fillId="0" borderId="49" xfId="0" applyNumberFormat="1" applyFont="1" applyFill="1" applyBorder="1" applyAlignment="1" applyProtection="1">
      <alignment horizontal="center" vertical="center" wrapText="1"/>
      <protection/>
    </xf>
    <xf numFmtId="192" fontId="29" fillId="0" borderId="50" xfId="0" applyNumberFormat="1" applyFont="1" applyFill="1" applyBorder="1" applyAlignment="1" applyProtection="1">
      <alignment horizontal="center" vertical="center" wrapText="1"/>
      <protection/>
    </xf>
    <xf numFmtId="0" fontId="29" fillId="0" borderId="51" xfId="0" applyNumberFormat="1" applyFont="1" applyFill="1" applyBorder="1" applyAlignment="1" applyProtection="1">
      <alignment horizontal="center" vertical="center" wrapText="1"/>
      <protection/>
    </xf>
    <xf numFmtId="192" fontId="29" fillId="0" borderId="52" xfId="0" applyNumberFormat="1" applyFont="1" applyFill="1" applyBorder="1" applyAlignment="1" applyProtection="1">
      <alignment horizontal="center" vertical="center" wrapText="1"/>
      <protection/>
    </xf>
    <xf numFmtId="0" fontId="29" fillId="0" borderId="51" xfId="0" applyNumberFormat="1" applyFont="1" applyFill="1" applyBorder="1" applyAlignment="1">
      <alignment horizontal="center" vertical="center" wrapText="1"/>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11" fillId="6" borderId="0" xfId="0" applyFont="1" applyFill="1" applyBorder="1" applyAlignment="1">
      <alignment horizontal="center" vertical="center" wrapText="1"/>
    </xf>
    <xf numFmtId="0" fontId="37" fillId="6" borderId="0" xfId="0" applyFont="1" applyFill="1" applyAlignment="1">
      <alignment vertical="center"/>
    </xf>
    <xf numFmtId="0" fontId="29" fillId="0" borderId="3"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9" fillId="0" borderId="44" xfId="0" applyNumberFormat="1" applyFont="1" applyFill="1" applyBorder="1" applyAlignment="1" applyProtection="1">
      <alignment horizontal="center" vertical="center" wrapText="1"/>
      <protection/>
    </xf>
    <xf numFmtId="0" fontId="18" fillId="2" borderId="53" xfId="0" applyFont="1" applyFill="1" applyBorder="1" applyAlignment="1">
      <alignment horizontal="center" vertical="center"/>
    </xf>
    <xf numFmtId="0" fontId="41" fillId="0" borderId="13" xfId="0" applyFont="1" applyBorder="1" applyAlignment="1">
      <alignment horizontal="center" vertical="center"/>
    </xf>
    <xf numFmtId="0" fontId="35" fillId="4" borderId="38" xfId="0" applyNumberFormat="1" applyFont="1" applyFill="1" applyBorder="1" applyAlignment="1">
      <alignment horizontal="center" wrapText="1"/>
    </xf>
    <xf numFmtId="0" fontId="0" fillId="0" borderId="38" xfId="0" applyNumberFormat="1" applyBorder="1" applyAlignment="1">
      <alignment horizontal="center" wrapText="1"/>
    </xf>
    <xf numFmtId="0" fontId="48" fillId="4" borderId="38" xfId="0" applyNumberFormat="1" applyFont="1" applyFill="1" applyBorder="1" applyAlignment="1">
      <alignment horizontal="center" wrapText="1"/>
    </xf>
    <xf numFmtId="0" fontId="49" fillId="0" borderId="38" xfId="0" applyNumberFormat="1" applyFont="1" applyBorder="1" applyAlignment="1">
      <alignment horizontal="center" wrapText="1"/>
    </xf>
    <xf numFmtId="0" fontId="48" fillId="5" borderId="38" xfId="0" applyFont="1" applyFill="1" applyBorder="1" applyAlignment="1">
      <alignment horizontal="right"/>
    </xf>
    <xf numFmtId="4" fontId="48" fillId="5" borderId="38" xfId="0" applyNumberFormat="1" applyFont="1" applyFill="1" applyBorder="1" applyAlignment="1">
      <alignment horizontal="right"/>
    </xf>
    <xf numFmtId="3" fontId="48" fillId="5" borderId="38" xfId="0" applyNumberFormat="1" applyFont="1" applyFill="1" applyBorder="1" applyAlignment="1">
      <alignment horizontal="right"/>
    </xf>
    <xf numFmtId="0" fontId="48" fillId="4" borderId="38" xfId="0" applyFont="1" applyFill="1" applyBorder="1" applyAlignment="1">
      <alignment/>
    </xf>
    <xf numFmtId="4" fontId="48" fillId="4" borderId="38" xfId="0" applyNumberFormat="1" applyFont="1" applyFill="1" applyBorder="1" applyAlignment="1">
      <alignment horizontal="right"/>
    </xf>
    <xf numFmtId="3" fontId="48" fillId="4" borderId="38" xfId="0" applyNumberFormat="1" applyFont="1" applyFill="1" applyBorder="1" applyAlignment="1">
      <alignment horizontal="right"/>
    </xf>
    <xf numFmtId="10" fontId="48" fillId="4" borderId="38" xfId="0" applyNumberFormat="1" applyFont="1" applyFill="1" applyBorder="1" applyAlignment="1">
      <alignment horizontal="right"/>
    </xf>
    <xf numFmtId="10" fontId="48" fillId="5" borderId="38" xfId="0" applyNumberFormat="1" applyFont="1" applyFill="1" applyBorder="1" applyAlignment="1">
      <alignment horizontal="right"/>
    </xf>
    <xf numFmtId="0" fontId="48" fillId="4" borderId="38" xfId="0" applyFont="1" applyFill="1" applyBorder="1" applyAlignment="1">
      <alignment horizontal="right"/>
    </xf>
    <xf numFmtId="0" fontId="48" fillId="5" borderId="38" xfId="0" applyFont="1" applyFill="1" applyBorder="1" applyAlignment="1">
      <alignment/>
    </xf>
    <xf numFmtId="0" fontId="48" fillId="0" borderId="0" xfId="0" applyFont="1" applyFill="1" applyAlignment="1">
      <alignment/>
    </xf>
    <xf numFmtId="184" fontId="16" fillId="0" borderId="0" xfId="0" applyNumberFormat="1" applyFont="1" applyFill="1" applyBorder="1" applyAlignment="1">
      <alignment horizontal="center" vertical="center"/>
    </xf>
    <xf numFmtId="200" fontId="43" fillId="0" borderId="0" xfId="0" applyNumberFormat="1" applyFont="1" applyFill="1" applyBorder="1" applyAlignment="1">
      <alignment vertical="center"/>
    </xf>
    <xf numFmtId="0" fontId="16" fillId="0" borderId="0" xfId="0" applyFont="1" applyFill="1" applyBorder="1" applyAlignment="1">
      <alignment horizontal="left" vertical="center"/>
    </xf>
    <xf numFmtId="193" fontId="43" fillId="0" borderId="1" xfId="15" applyNumberFormat="1" applyFont="1" applyFill="1" applyBorder="1" applyAlignment="1" applyProtection="1">
      <alignment vertical="center"/>
      <protection locked="0"/>
    </xf>
    <xf numFmtId="193" fontId="43" fillId="0" borderId="1" xfId="0" applyNumberFormat="1" applyFont="1" applyFill="1" applyBorder="1" applyAlignment="1" applyProtection="1">
      <alignment vertical="center"/>
      <protection/>
    </xf>
    <xf numFmtId="193" fontId="43" fillId="0" borderId="1" xfId="15" applyNumberFormat="1" applyFont="1" applyFill="1" applyBorder="1" applyAlignment="1" applyProtection="1">
      <alignment vertical="center"/>
      <protection/>
    </xf>
    <xf numFmtId="0" fontId="16" fillId="0" borderId="21" xfId="0" applyFont="1" applyFill="1" applyBorder="1" applyAlignment="1">
      <alignment horizontal="left" vertical="center"/>
    </xf>
    <xf numFmtId="193" fontId="43" fillId="0" borderId="54" xfId="0" applyNumberFormat="1" applyFont="1" applyFill="1" applyBorder="1" applyAlignment="1">
      <alignment vertical="center"/>
    </xf>
    <xf numFmtId="192" fontId="16" fillId="0" borderId="1" xfId="15" applyNumberFormat="1" applyFont="1" applyFill="1" applyBorder="1" applyAlignment="1" applyProtection="1">
      <alignment vertical="center"/>
      <protection/>
    </xf>
    <xf numFmtId="192" fontId="16" fillId="0" borderId="1" xfId="21" applyNumberFormat="1" applyFont="1" applyFill="1" applyBorder="1" applyAlignment="1" applyProtection="1">
      <alignment vertical="center"/>
      <protection/>
    </xf>
    <xf numFmtId="0" fontId="16" fillId="0" borderId="39"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31" xfId="0" applyFont="1" applyFill="1" applyBorder="1" applyAlignment="1">
      <alignment horizontal="center" vertical="center"/>
    </xf>
    <xf numFmtId="193" fontId="43" fillId="0" borderId="31" xfId="0" applyNumberFormat="1" applyFont="1" applyFill="1" applyBorder="1" applyAlignment="1">
      <alignment vertical="center"/>
    </xf>
    <xf numFmtId="192" fontId="16" fillId="0" borderId="34" xfId="15" applyNumberFormat="1" applyFont="1" applyFill="1" applyBorder="1" applyAlignment="1" applyProtection="1">
      <alignment vertical="center"/>
      <protection/>
    </xf>
    <xf numFmtId="192" fontId="16" fillId="0" borderId="2" xfId="15" applyNumberFormat="1" applyFont="1" applyFill="1" applyBorder="1" applyAlignment="1" applyProtection="1">
      <alignment vertical="center"/>
      <protection/>
    </xf>
    <xf numFmtId="49" fontId="16" fillId="0" borderId="29" xfId="0" applyNumberFormat="1" applyFont="1" applyFill="1" applyBorder="1" applyAlignment="1">
      <alignment horizontal="left" vertical="center"/>
    </xf>
    <xf numFmtId="197" fontId="16" fillId="0" borderId="4"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200" fontId="43" fillId="0" borderId="4" xfId="0" applyNumberFormat="1" applyFont="1" applyFill="1" applyBorder="1" applyAlignment="1">
      <alignment vertical="center"/>
    </xf>
    <xf numFmtId="193" fontId="43" fillId="0" borderId="4" xfId="0" applyNumberFormat="1" applyFont="1" applyFill="1" applyBorder="1" applyAlignment="1">
      <alignment vertical="center"/>
    </xf>
    <xf numFmtId="192" fontId="16" fillId="0" borderId="30" xfId="15" applyNumberFormat="1" applyFont="1" applyFill="1" applyBorder="1" applyAlignment="1" applyProtection="1">
      <alignment vertical="center"/>
      <protection/>
    </xf>
    <xf numFmtId="0" fontId="16" fillId="0" borderId="53" xfId="0" applyFont="1" applyFill="1" applyBorder="1" applyAlignment="1" applyProtection="1">
      <alignment horizontal="left" vertical="center"/>
      <protection locked="0"/>
    </xf>
    <xf numFmtId="184" fontId="16" fillId="0" borderId="13" xfId="0" applyNumberFormat="1"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200" fontId="43" fillId="0" borderId="13" xfId="15" applyNumberFormat="1" applyFont="1" applyFill="1" applyBorder="1" applyAlignment="1" applyProtection="1">
      <alignment vertical="center"/>
      <protection locked="0"/>
    </xf>
    <xf numFmtId="193" fontId="43" fillId="0" borderId="13" xfId="15" applyNumberFormat="1" applyFont="1" applyFill="1" applyBorder="1" applyAlignment="1" applyProtection="1">
      <alignment vertical="center"/>
      <protection locked="0"/>
    </xf>
    <xf numFmtId="192" fontId="16" fillId="0" borderId="23" xfId="21" applyNumberFormat="1" applyFont="1" applyFill="1" applyBorder="1" applyAlignment="1" applyProtection="1">
      <alignment vertical="center"/>
      <protection/>
    </xf>
    <xf numFmtId="0" fontId="16" fillId="0" borderId="55" xfId="0" applyFont="1" applyFill="1" applyBorder="1" applyAlignment="1" applyProtection="1">
      <alignment horizontal="left" vertical="center"/>
      <protection locked="0"/>
    </xf>
    <xf numFmtId="184" fontId="16" fillId="0" borderId="16" xfId="0" applyNumberFormat="1"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200" fontId="43" fillId="0" borderId="16" xfId="15" applyNumberFormat="1" applyFont="1" applyFill="1" applyBorder="1" applyAlignment="1" applyProtection="1">
      <alignment vertical="center"/>
      <protection locked="0"/>
    </xf>
    <xf numFmtId="193" fontId="43" fillId="0" borderId="16" xfId="15" applyNumberFormat="1" applyFont="1" applyFill="1" applyBorder="1" applyAlignment="1" applyProtection="1">
      <alignment vertical="center"/>
      <protection locked="0"/>
    </xf>
    <xf numFmtId="192" fontId="16" fillId="0" borderId="17" xfId="15" applyNumberFormat="1" applyFont="1" applyFill="1" applyBorder="1" applyAlignment="1" applyProtection="1">
      <alignment vertical="center"/>
      <protection/>
    </xf>
    <xf numFmtId="0" fontId="31" fillId="0" borderId="20" xfId="0" applyFont="1" applyBorder="1" applyAlignment="1">
      <alignment horizontal="center" vertical="center"/>
    </xf>
    <xf numFmtId="184" fontId="31" fillId="0" borderId="20" xfId="0" applyNumberFormat="1" applyFont="1" applyBorder="1" applyAlignment="1">
      <alignment horizontal="center" vertical="center"/>
    </xf>
    <xf numFmtId="0" fontId="31" fillId="0" borderId="46" xfId="0" applyFont="1" applyBorder="1" applyAlignment="1">
      <alignment horizontal="center" vertical="center" wrapText="1"/>
    </xf>
    <xf numFmtId="187" fontId="29" fillId="0" borderId="20" xfId="0" applyNumberFormat="1" applyFont="1" applyFill="1" applyBorder="1" applyAlignment="1" applyProtection="1">
      <alignment horizontal="center" wrapText="1"/>
      <protection/>
    </xf>
    <xf numFmtId="193" fontId="29" fillId="0" borderId="20" xfId="0" applyNumberFormat="1" applyFont="1" applyFill="1" applyBorder="1" applyAlignment="1" applyProtection="1">
      <alignment horizontal="center" wrapText="1"/>
      <protection/>
    </xf>
    <xf numFmtId="192" fontId="29" fillId="0" borderId="20" xfId="0" applyNumberFormat="1" applyFont="1" applyFill="1" applyBorder="1" applyAlignment="1" applyProtection="1">
      <alignment horizontal="center" wrapText="1"/>
      <protection/>
    </xf>
    <xf numFmtId="192" fontId="29" fillId="0" borderId="42" xfId="0" applyNumberFormat="1" applyFont="1" applyFill="1" applyBorder="1" applyAlignment="1" applyProtection="1">
      <alignment horizontal="center" wrapText="1"/>
      <protection/>
    </xf>
    <xf numFmtId="193" fontId="16" fillId="0" borderId="1" xfId="15" applyNumberFormat="1" applyFont="1" applyFill="1" applyBorder="1" applyAlignment="1" applyProtection="1">
      <alignment vertical="center"/>
      <protection/>
    </xf>
    <xf numFmtId="200" fontId="16" fillId="0" borderId="1" xfId="15" applyNumberFormat="1" applyFont="1" applyFill="1" applyBorder="1" applyAlignment="1" applyProtection="1">
      <alignment vertical="center"/>
      <protection locked="0"/>
    </xf>
    <xf numFmtId="193" fontId="16" fillId="0" borderId="1" xfId="15" applyNumberFormat="1" applyFont="1" applyFill="1" applyBorder="1" applyAlignment="1" applyProtection="1">
      <alignment vertical="center"/>
      <protection locked="0"/>
    </xf>
    <xf numFmtId="193" fontId="16" fillId="0" borderId="1" xfId="21" applyNumberFormat="1" applyFont="1" applyFill="1" applyBorder="1" applyAlignment="1" applyProtection="1">
      <alignment vertical="center"/>
      <protection/>
    </xf>
    <xf numFmtId="200" fontId="16" fillId="0" borderId="1" xfId="15" applyNumberFormat="1" applyFont="1" applyFill="1" applyBorder="1" applyAlignment="1" applyProtection="1">
      <alignment vertical="center"/>
      <protection/>
    </xf>
    <xf numFmtId="193" fontId="16" fillId="0" borderId="1" xfId="0" applyNumberFormat="1" applyFont="1" applyFill="1" applyBorder="1" applyAlignment="1">
      <alignment vertical="center"/>
    </xf>
    <xf numFmtId="200" fontId="16" fillId="0" borderId="1" xfId="0" applyNumberFormat="1" applyFont="1" applyFill="1" applyBorder="1" applyAlignment="1">
      <alignment vertical="center"/>
    </xf>
    <xf numFmtId="200" fontId="16" fillId="0" borderId="1" xfId="0" applyNumberFormat="1" applyFont="1" applyFill="1" applyBorder="1" applyAlignment="1" applyProtection="1">
      <alignment vertical="center"/>
      <protection/>
    </xf>
    <xf numFmtId="193" fontId="16" fillId="0" borderId="1" xfId="0" applyNumberFormat="1" applyFont="1" applyFill="1" applyBorder="1" applyAlignment="1" applyProtection="1">
      <alignment vertical="center"/>
      <protection/>
    </xf>
    <xf numFmtId="0" fontId="16" fillId="0" borderId="39" xfId="0" applyFont="1" applyFill="1" applyBorder="1" applyAlignment="1" applyProtection="1">
      <alignment horizontal="left" vertical="center"/>
      <protection locked="0"/>
    </xf>
    <xf numFmtId="184" fontId="16" fillId="0" borderId="31" xfId="0" applyNumberFormat="1"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200" fontId="43" fillId="0" borderId="31" xfId="15" applyNumberFormat="1" applyFont="1" applyFill="1" applyBorder="1" applyAlignment="1" applyProtection="1">
      <alignment vertical="center"/>
      <protection locked="0"/>
    </xf>
    <xf numFmtId="193" fontId="43" fillId="0" borderId="31" xfId="15" applyNumberFormat="1" applyFont="1" applyFill="1" applyBorder="1" applyAlignment="1" applyProtection="1">
      <alignment vertical="center"/>
      <protection locked="0"/>
    </xf>
    <xf numFmtId="193" fontId="16" fillId="0" borderId="31" xfId="15" applyNumberFormat="1" applyFont="1" applyFill="1" applyBorder="1" applyAlignment="1" applyProtection="1">
      <alignment vertical="center"/>
      <protection/>
    </xf>
    <xf numFmtId="192" fontId="16" fillId="0" borderId="31" xfId="15" applyNumberFormat="1" applyFont="1" applyFill="1" applyBorder="1" applyAlignment="1" applyProtection="1">
      <alignment vertical="center"/>
      <protection/>
    </xf>
    <xf numFmtId="200" fontId="16" fillId="0" borderId="31" xfId="15" applyNumberFormat="1" applyFont="1" applyFill="1" applyBorder="1" applyAlignment="1" applyProtection="1">
      <alignment vertical="center"/>
      <protection locked="0"/>
    </xf>
    <xf numFmtId="193" fontId="16" fillId="0" borderId="31" xfId="15" applyNumberFormat="1" applyFont="1" applyFill="1" applyBorder="1" applyAlignment="1" applyProtection="1">
      <alignment vertical="center"/>
      <protection locked="0"/>
    </xf>
    <xf numFmtId="0" fontId="16" fillId="0" borderId="29" xfId="0" applyFont="1" applyFill="1" applyBorder="1" applyAlignment="1">
      <alignment horizontal="left" vertical="center"/>
    </xf>
    <xf numFmtId="0" fontId="16" fillId="0" borderId="4" xfId="0" applyFont="1" applyFill="1" applyBorder="1" applyAlignment="1">
      <alignment horizontal="center" vertical="center"/>
    </xf>
    <xf numFmtId="193" fontId="16" fillId="0" borderId="4" xfId="21" applyNumberFormat="1" applyFont="1" applyFill="1" applyBorder="1" applyAlignment="1" applyProtection="1">
      <alignment vertical="center"/>
      <protection/>
    </xf>
    <xf numFmtId="192" fontId="16" fillId="0" borderId="4" xfId="21" applyNumberFormat="1" applyFont="1" applyFill="1" applyBorder="1" applyAlignment="1" applyProtection="1">
      <alignment vertical="center"/>
      <protection/>
    </xf>
    <xf numFmtId="200" fontId="16" fillId="0" borderId="4" xfId="0" applyNumberFormat="1" applyFont="1" applyFill="1" applyBorder="1" applyAlignment="1">
      <alignment vertical="center"/>
    </xf>
    <xf numFmtId="193" fontId="16" fillId="0" borderId="4" xfId="0" applyNumberFormat="1" applyFont="1" applyFill="1" applyBorder="1" applyAlignment="1">
      <alignment vertical="center"/>
    </xf>
    <xf numFmtId="192" fontId="16" fillId="0" borderId="30" xfId="21" applyNumberFormat="1" applyFont="1" applyFill="1" applyBorder="1" applyAlignment="1" applyProtection="1">
      <alignment vertical="center"/>
      <protection/>
    </xf>
    <xf numFmtId="49" fontId="16" fillId="0" borderId="53" xfId="0" applyNumberFormat="1" applyFont="1" applyFill="1" applyBorder="1" applyAlignment="1" applyProtection="1">
      <alignment horizontal="left" vertical="center"/>
      <protection locked="0"/>
    </xf>
    <xf numFmtId="49" fontId="16" fillId="0" borderId="13" xfId="0" applyNumberFormat="1" applyFont="1" applyFill="1" applyBorder="1" applyAlignment="1" applyProtection="1">
      <alignment horizontal="left" vertical="center"/>
      <protection locked="0"/>
    </xf>
    <xf numFmtId="49" fontId="16" fillId="0" borderId="13" xfId="0" applyNumberFormat="1" applyFont="1" applyFill="1" applyBorder="1" applyAlignment="1" applyProtection="1">
      <alignment horizontal="center" vertical="center"/>
      <protection locked="0"/>
    </xf>
    <xf numFmtId="193" fontId="16" fillId="0" borderId="13" xfId="15" applyNumberFormat="1" applyFont="1" applyFill="1" applyBorder="1" applyAlignment="1" applyProtection="1">
      <alignment vertical="center"/>
      <protection/>
    </xf>
    <xf numFmtId="192" fontId="16" fillId="0" borderId="13" xfId="15" applyNumberFormat="1" applyFont="1" applyFill="1" applyBorder="1" applyAlignment="1" applyProtection="1">
      <alignment vertical="center"/>
      <protection/>
    </xf>
    <xf numFmtId="200" fontId="16" fillId="0" borderId="13" xfId="15" applyNumberFormat="1" applyFont="1" applyFill="1" applyBorder="1" applyAlignment="1" applyProtection="1">
      <alignment vertical="center"/>
      <protection locked="0"/>
    </xf>
    <xf numFmtId="193" fontId="16" fillId="0" borderId="13" xfId="15" applyNumberFormat="1" applyFont="1" applyFill="1" applyBorder="1" applyAlignment="1" applyProtection="1">
      <alignment vertical="center"/>
      <protection locked="0"/>
    </xf>
    <xf numFmtId="192" fontId="16" fillId="0" borderId="23" xfId="15" applyNumberFormat="1" applyFont="1" applyFill="1" applyBorder="1" applyAlignment="1" applyProtection="1">
      <alignment vertical="center"/>
      <protection/>
    </xf>
    <xf numFmtId="193" fontId="16" fillId="0" borderId="16" xfId="15" applyNumberFormat="1" applyFont="1" applyFill="1" applyBorder="1" applyAlignment="1" applyProtection="1">
      <alignment vertical="center"/>
      <protection/>
    </xf>
    <xf numFmtId="192" fontId="16" fillId="0" borderId="16" xfId="15" applyNumberFormat="1" applyFont="1" applyFill="1" applyBorder="1" applyAlignment="1" applyProtection="1">
      <alignment vertical="center"/>
      <protection/>
    </xf>
    <xf numFmtId="200" fontId="16" fillId="0" borderId="16" xfId="15" applyNumberFormat="1" applyFont="1" applyFill="1" applyBorder="1" applyAlignment="1" applyProtection="1">
      <alignment vertical="center"/>
      <protection locked="0"/>
    </xf>
    <xf numFmtId="193" fontId="16" fillId="0" borderId="16" xfId="15" applyNumberFormat="1" applyFont="1" applyFill="1" applyBorder="1" applyAlignment="1" applyProtection="1">
      <alignment vertical="center"/>
      <protection locked="0"/>
    </xf>
    <xf numFmtId="192" fontId="34" fillId="0" borderId="30" xfId="0" applyNumberFormat="1" applyFont="1" applyFill="1" applyBorder="1" applyAlignment="1" applyProtection="1">
      <alignment horizontal="right" vertical="center"/>
      <protection locked="0"/>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725400"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125075" y="466725"/>
          <a:ext cx="2533650"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09
</a:t>
          </a:r>
          <a:r>
            <a:rPr lang="en-US" cap="none" sz="1600" b="0" i="0" u="none" baseline="0">
              <a:solidFill>
                <a:srgbClr val="FFFFFF"/>
              </a:solidFill>
              <a:latin typeface="Impact"/>
              <a:ea typeface="Impact"/>
              <a:cs typeface="Impact"/>
            </a:rPr>
            <a:t>02 - 08 Mar'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57150</xdr:rowOff>
    </xdr:from>
    <xdr:to>
      <xdr:col>22</xdr:col>
      <xdr:colOff>209550</xdr:colOff>
      <xdr:row>51</xdr:row>
      <xdr:rowOff>142875</xdr:rowOff>
    </xdr:to>
    <xdr:sp>
      <xdr:nvSpPr>
        <xdr:cNvPr id="1" name="TextBox 1"/>
        <xdr:cNvSpPr txBox="1">
          <a:spLocks noChangeArrowheads="1"/>
        </xdr:cNvSpPr>
      </xdr:nvSpPr>
      <xdr:spPr>
        <a:xfrm>
          <a:off x="57150" y="1866900"/>
          <a:ext cx="99822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50" zoomScaleNormal="5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52" bestFit="1" customWidth="1"/>
    <col min="2" max="2" width="39.00390625" style="4" bestFit="1" customWidth="1"/>
    <col min="3" max="3" width="9.8515625" style="12" customWidth="1"/>
    <col min="4" max="4" width="17.8515625" style="16" bestFit="1" customWidth="1"/>
    <col min="5" max="5" width="17.57421875" style="16" bestFit="1" customWidth="1"/>
    <col min="6" max="6" width="10.421875" style="6" bestFit="1" customWidth="1"/>
    <col min="7" max="7" width="8.57421875" style="6" bestFit="1" customWidth="1"/>
    <col min="8" max="8" width="10.421875" style="6" customWidth="1"/>
    <col min="9" max="9" width="15.57421875" style="48" bestFit="1" customWidth="1"/>
    <col min="10" max="10" width="9.57421875" style="96" customWidth="1"/>
    <col min="11" max="11" width="8.7109375" style="37" customWidth="1"/>
    <col min="12" max="12" width="7.28125" style="25" customWidth="1"/>
    <col min="13" max="13" width="14.7109375" style="19" customWidth="1"/>
    <col min="14" max="14" width="11.57421875" style="37" customWidth="1"/>
    <col min="15" max="15" width="7.28125" style="44" customWidth="1"/>
    <col min="16" max="16" width="3.00390625" style="258" bestFit="1" customWidth="1"/>
    <col min="17" max="16384" width="9.140625" style="4" customWidth="1"/>
  </cols>
  <sheetData>
    <row r="1" spans="1:16" s="2" customFormat="1" ht="90.75" customHeight="1">
      <c r="A1" s="51"/>
      <c r="B1" s="1"/>
      <c r="C1" s="10"/>
      <c r="D1" s="14"/>
      <c r="E1" s="14"/>
      <c r="F1" s="5"/>
      <c r="G1" s="5"/>
      <c r="H1" s="5"/>
      <c r="I1" s="45"/>
      <c r="J1" s="94"/>
      <c r="K1" s="35"/>
      <c r="L1" s="24"/>
      <c r="M1" s="17"/>
      <c r="N1" s="20"/>
      <c r="O1" s="41"/>
      <c r="P1" s="258"/>
    </row>
    <row r="2" spans="1:16" s="9" customFormat="1" ht="30.75" customHeight="1" thickBot="1">
      <c r="A2" s="340" t="s">
        <v>72</v>
      </c>
      <c r="B2" s="341"/>
      <c r="C2" s="341"/>
      <c r="D2" s="341"/>
      <c r="E2" s="341"/>
      <c r="F2" s="341"/>
      <c r="G2" s="341"/>
      <c r="H2" s="341"/>
      <c r="I2" s="341"/>
      <c r="J2" s="341"/>
      <c r="K2" s="341"/>
      <c r="L2" s="341"/>
      <c r="M2" s="341"/>
      <c r="N2" s="341"/>
      <c r="O2" s="341"/>
      <c r="P2" s="258"/>
    </row>
    <row r="3" spans="1:16" s="38" customFormat="1" ht="16.5">
      <c r="A3" s="76"/>
      <c r="B3" s="344" t="s">
        <v>1</v>
      </c>
      <c r="C3" s="348" t="s">
        <v>2</v>
      </c>
      <c r="D3" s="345" t="s">
        <v>54</v>
      </c>
      <c r="E3" s="345" t="s">
        <v>53</v>
      </c>
      <c r="F3" s="324" t="s">
        <v>3</v>
      </c>
      <c r="G3" s="324" t="s">
        <v>10</v>
      </c>
      <c r="H3" s="346" t="s">
        <v>18</v>
      </c>
      <c r="I3" s="347" t="s">
        <v>4</v>
      </c>
      <c r="J3" s="347"/>
      <c r="K3" s="347"/>
      <c r="L3" s="347"/>
      <c r="M3" s="342" t="s">
        <v>5</v>
      </c>
      <c r="N3" s="342"/>
      <c r="O3" s="343"/>
      <c r="P3" s="259"/>
    </row>
    <row r="4" spans="1:16" s="38" customFormat="1" ht="57.75" thickBot="1">
      <c r="A4" s="77"/>
      <c r="B4" s="424"/>
      <c r="C4" s="425"/>
      <c r="D4" s="424"/>
      <c r="E4" s="424"/>
      <c r="F4" s="424"/>
      <c r="G4" s="424"/>
      <c r="H4" s="426"/>
      <c r="I4" s="427" t="s">
        <v>6</v>
      </c>
      <c r="J4" s="428" t="s">
        <v>7</v>
      </c>
      <c r="K4" s="428" t="s">
        <v>107</v>
      </c>
      <c r="L4" s="429" t="s">
        <v>8</v>
      </c>
      <c r="M4" s="427" t="s">
        <v>6</v>
      </c>
      <c r="N4" s="428" t="s">
        <v>7</v>
      </c>
      <c r="O4" s="430" t="s">
        <v>9</v>
      </c>
      <c r="P4" s="259"/>
    </row>
    <row r="5" spans="1:16" s="3" customFormat="1" ht="15">
      <c r="A5" s="296">
        <v>1</v>
      </c>
      <c r="B5" s="440" t="s">
        <v>300</v>
      </c>
      <c r="C5" s="291">
        <v>39143</v>
      </c>
      <c r="D5" s="441" t="s">
        <v>56</v>
      </c>
      <c r="E5" s="442" t="s">
        <v>71</v>
      </c>
      <c r="F5" s="292">
        <v>77</v>
      </c>
      <c r="G5" s="292">
        <v>81</v>
      </c>
      <c r="H5" s="292">
        <v>1</v>
      </c>
      <c r="I5" s="443">
        <v>846616</v>
      </c>
      <c r="J5" s="444">
        <v>102037</v>
      </c>
      <c r="K5" s="445">
        <f>J5/G5</f>
        <v>1259.716049382716</v>
      </c>
      <c r="L5" s="446">
        <f>I5/J5</f>
        <v>8.297147113302037</v>
      </c>
      <c r="M5" s="447">
        <v>846616</v>
      </c>
      <c r="N5" s="448">
        <v>102037</v>
      </c>
      <c r="O5" s="404">
        <f>+M5/N5</f>
        <v>8.297147113302037</v>
      </c>
      <c r="P5" s="258"/>
    </row>
    <row r="6" spans="1:16" s="3" customFormat="1" ht="15">
      <c r="A6" s="104">
        <v>2</v>
      </c>
      <c r="B6" s="264" t="s">
        <v>282</v>
      </c>
      <c r="C6" s="117">
        <v>39143</v>
      </c>
      <c r="D6" s="128" t="s">
        <v>56</v>
      </c>
      <c r="E6" s="127" t="s">
        <v>61</v>
      </c>
      <c r="F6" s="288">
        <v>54</v>
      </c>
      <c r="G6" s="288">
        <v>55</v>
      </c>
      <c r="H6" s="288">
        <v>1</v>
      </c>
      <c r="I6" s="270">
        <v>424606</v>
      </c>
      <c r="J6" s="393">
        <v>45441</v>
      </c>
      <c r="K6" s="431">
        <f>J6/G6</f>
        <v>826.2</v>
      </c>
      <c r="L6" s="398">
        <f>I6/J6</f>
        <v>9.344116546730925</v>
      </c>
      <c r="M6" s="432">
        <f>1045+424606</f>
        <v>425651</v>
      </c>
      <c r="N6" s="433">
        <f>101+45441</f>
        <v>45542</v>
      </c>
      <c r="O6" s="405">
        <f>+M6/N6</f>
        <v>9.346339642527777</v>
      </c>
      <c r="P6" s="258"/>
    </row>
    <row r="7" spans="1:16" s="3" customFormat="1" ht="15">
      <c r="A7" s="297">
        <v>3</v>
      </c>
      <c r="B7" s="418" t="s">
        <v>267</v>
      </c>
      <c r="C7" s="322">
        <v>39129</v>
      </c>
      <c r="D7" s="419" t="s">
        <v>56</v>
      </c>
      <c r="E7" s="420" t="s">
        <v>61</v>
      </c>
      <c r="F7" s="323">
        <v>72</v>
      </c>
      <c r="G7" s="323">
        <v>72</v>
      </c>
      <c r="H7" s="323">
        <v>3</v>
      </c>
      <c r="I7" s="421">
        <v>410193</v>
      </c>
      <c r="J7" s="422">
        <v>49212</v>
      </c>
      <c r="K7" s="464">
        <f>J7/G7</f>
        <v>683.5</v>
      </c>
      <c r="L7" s="465">
        <f>I7/J7</f>
        <v>8.335223116313095</v>
      </c>
      <c r="M7" s="466">
        <f>1024988+679541+410193</f>
        <v>2114722</v>
      </c>
      <c r="N7" s="467">
        <f>121457+81309+49212</f>
        <v>251978</v>
      </c>
      <c r="O7" s="423">
        <f>+M7/N7</f>
        <v>8.392486645659542</v>
      </c>
      <c r="P7" s="258"/>
    </row>
    <row r="8" spans="1:16" s="3" customFormat="1" ht="15">
      <c r="A8" s="296">
        <v>4</v>
      </c>
      <c r="B8" s="456" t="s">
        <v>302</v>
      </c>
      <c r="C8" s="319">
        <v>39143</v>
      </c>
      <c r="D8" s="457" t="s">
        <v>45</v>
      </c>
      <c r="E8" s="457" t="s">
        <v>303</v>
      </c>
      <c r="F8" s="458" t="s">
        <v>304</v>
      </c>
      <c r="G8" s="458" t="s">
        <v>312</v>
      </c>
      <c r="H8" s="458" t="s">
        <v>20</v>
      </c>
      <c r="I8" s="415">
        <v>400177.5</v>
      </c>
      <c r="J8" s="416">
        <v>51313</v>
      </c>
      <c r="K8" s="459">
        <f>J8/G8</f>
        <v>518.3131313131313</v>
      </c>
      <c r="L8" s="460">
        <f>I8/J8</f>
        <v>7.798754701537622</v>
      </c>
      <c r="M8" s="461">
        <v>400177.5</v>
      </c>
      <c r="N8" s="462">
        <v>51313</v>
      </c>
      <c r="O8" s="463">
        <f>+M8/N8</f>
        <v>7.798754701537622</v>
      </c>
      <c r="P8" s="258"/>
    </row>
    <row r="9" spans="1:16" s="7" customFormat="1" ht="15">
      <c r="A9" s="104">
        <v>5</v>
      </c>
      <c r="B9" s="267" t="s">
        <v>305</v>
      </c>
      <c r="C9" s="117">
        <v>39143</v>
      </c>
      <c r="D9" s="130" t="s">
        <v>45</v>
      </c>
      <c r="E9" s="130" t="s">
        <v>306</v>
      </c>
      <c r="F9" s="287" t="s">
        <v>307</v>
      </c>
      <c r="G9" s="287" t="s">
        <v>313</v>
      </c>
      <c r="H9" s="287" t="s">
        <v>20</v>
      </c>
      <c r="I9" s="270">
        <v>355752</v>
      </c>
      <c r="J9" s="393">
        <v>46475</v>
      </c>
      <c r="K9" s="431">
        <f>J9/G9</f>
        <v>489.2105263157895</v>
      </c>
      <c r="L9" s="398">
        <f>I9/J9</f>
        <v>7.654696073157612</v>
      </c>
      <c r="M9" s="432">
        <v>355752</v>
      </c>
      <c r="N9" s="433">
        <v>46475</v>
      </c>
      <c r="O9" s="405">
        <f>+M9/N9</f>
        <v>7.654696073157612</v>
      </c>
      <c r="P9" s="258"/>
    </row>
    <row r="10" spans="1:16" s="7" customFormat="1" ht="15">
      <c r="A10" s="104">
        <v>6</v>
      </c>
      <c r="B10" s="267" t="s">
        <v>308</v>
      </c>
      <c r="C10" s="117">
        <v>39143</v>
      </c>
      <c r="D10" s="130" t="s">
        <v>73</v>
      </c>
      <c r="E10" s="130" t="s">
        <v>136</v>
      </c>
      <c r="F10" s="287" t="s">
        <v>309</v>
      </c>
      <c r="G10" s="287" t="s">
        <v>309</v>
      </c>
      <c r="H10" s="287" t="s">
        <v>20</v>
      </c>
      <c r="I10" s="270">
        <v>316586</v>
      </c>
      <c r="J10" s="393">
        <v>38569</v>
      </c>
      <c r="K10" s="431">
        <f>J10/G10</f>
        <v>521.2027027027027</v>
      </c>
      <c r="L10" s="398">
        <f>I10/J10</f>
        <v>8.208302004200265</v>
      </c>
      <c r="M10" s="432">
        <v>316586</v>
      </c>
      <c r="N10" s="433">
        <v>38569</v>
      </c>
      <c r="O10" s="405">
        <f>+M10/N10</f>
        <v>8.208302004200265</v>
      </c>
      <c r="P10" s="258"/>
    </row>
    <row r="11" spans="1:16" s="7" customFormat="1" ht="15">
      <c r="A11" s="104">
        <v>7</v>
      </c>
      <c r="B11" s="264" t="s">
        <v>260</v>
      </c>
      <c r="C11" s="117">
        <v>39129</v>
      </c>
      <c r="D11" s="127" t="s">
        <v>48</v>
      </c>
      <c r="E11" s="127" t="s">
        <v>193</v>
      </c>
      <c r="F11" s="288">
        <v>113</v>
      </c>
      <c r="G11" s="288">
        <v>112</v>
      </c>
      <c r="H11" s="288">
        <v>3</v>
      </c>
      <c r="I11" s="271">
        <v>233213.5</v>
      </c>
      <c r="J11" s="395">
        <v>30566</v>
      </c>
      <c r="K11" s="434">
        <f>IF(I11&lt;&gt;0,J11/G11,"")</f>
        <v>272.9107142857143</v>
      </c>
      <c r="L11" s="399">
        <f>IF(I11&lt;&gt;0,I11/J11,"")</f>
        <v>7.629833802263954</v>
      </c>
      <c r="M11" s="435">
        <f>664515+531932.5+233213.5</f>
        <v>1429661</v>
      </c>
      <c r="N11" s="436">
        <f>85126+68647+30566</f>
        <v>184339</v>
      </c>
      <c r="O11" s="290">
        <f>IF(M11&lt;&gt;0,M11/N11,"")</f>
        <v>7.755607874622299</v>
      </c>
      <c r="P11" s="258"/>
    </row>
    <row r="12" spans="1:16" s="7" customFormat="1" ht="15">
      <c r="A12" s="104">
        <v>8</v>
      </c>
      <c r="B12" s="265" t="s">
        <v>261</v>
      </c>
      <c r="C12" s="118">
        <v>39129</v>
      </c>
      <c r="D12" s="129" t="s">
        <v>57</v>
      </c>
      <c r="E12" s="129" t="s">
        <v>65</v>
      </c>
      <c r="F12" s="119">
        <v>77</v>
      </c>
      <c r="G12" s="119">
        <v>78</v>
      </c>
      <c r="H12" s="119">
        <v>2</v>
      </c>
      <c r="I12" s="268">
        <v>232284</v>
      </c>
      <c r="J12" s="269">
        <v>29812</v>
      </c>
      <c r="K12" s="431">
        <f>J12/G12</f>
        <v>382.20512820512823</v>
      </c>
      <c r="L12" s="398">
        <f>I12/J12</f>
        <v>7.791627532537233</v>
      </c>
      <c r="M12" s="437">
        <v>1287053</v>
      </c>
      <c r="N12" s="436">
        <v>154234</v>
      </c>
      <c r="O12" s="405">
        <f>+M12/N12</f>
        <v>8.344807240945576</v>
      </c>
      <c r="P12" s="258"/>
    </row>
    <row r="13" spans="1:16" s="7" customFormat="1" ht="15">
      <c r="A13" s="104">
        <v>9</v>
      </c>
      <c r="B13" s="265" t="s">
        <v>262</v>
      </c>
      <c r="C13" s="118">
        <v>39129</v>
      </c>
      <c r="D13" s="129" t="s">
        <v>12</v>
      </c>
      <c r="E13" s="129" t="s">
        <v>66</v>
      </c>
      <c r="F13" s="119">
        <v>43</v>
      </c>
      <c r="G13" s="119">
        <v>43</v>
      </c>
      <c r="H13" s="119">
        <v>3</v>
      </c>
      <c r="I13" s="268">
        <v>212054</v>
      </c>
      <c r="J13" s="269">
        <v>24564</v>
      </c>
      <c r="K13" s="431">
        <f>J13/G13</f>
        <v>571.2558139534884</v>
      </c>
      <c r="L13" s="398">
        <f>I13/J13</f>
        <v>8.632714541605601</v>
      </c>
      <c r="M13" s="437">
        <f>384662.5+356262.5+212054</f>
        <v>952979</v>
      </c>
      <c r="N13" s="436">
        <f>44623+40340+24564</f>
        <v>109527</v>
      </c>
      <c r="O13" s="405">
        <f>+M13/N13</f>
        <v>8.700859148885662</v>
      </c>
      <c r="P13" s="258"/>
    </row>
    <row r="14" spans="1:16" s="7" customFormat="1" ht="15">
      <c r="A14" s="104">
        <v>10</v>
      </c>
      <c r="B14" s="264" t="s">
        <v>296</v>
      </c>
      <c r="C14" s="117">
        <v>39048</v>
      </c>
      <c r="D14" s="128" t="s">
        <v>56</v>
      </c>
      <c r="E14" s="127" t="s">
        <v>11</v>
      </c>
      <c r="F14" s="288">
        <v>69</v>
      </c>
      <c r="G14" s="288">
        <v>39</v>
      </c>
      <c r="H14" s="288">
        <v>11</v>
      </c>
      <c r="I14" s="270">
        <v>191667</v>
      </c>
      <c r="J14" s="393">
        <v>20779</v>
      </c>
      <c r="K14" s="431">
        <f>J14/G14</f>
        <v>532.7948717948718</v>
      </c>
      <c r="L14" s="398">
        <f>I14/J14</f>
        <v>9.224072380769046</v>
      </c>
      <c r="M14" s="432">
        <f>1784+717+847980+543938+437343+283662.5-1.5+63775-9+23989+24707+13479+875+2752+191667</f>
        <v>2436658</v>
      </c>
      <c r="N14" s="433">
        <f>159+58+95070+64015+51768+33156+9566-1+4418+4942+2620+136+553+20779</f>
        <v>287239</v>
      </c>
      <c r="O14" s="405">
        <f>+M14/N14</f>
        <v>8.483033292832797</v>
      </c>
      <c r="P14" s="258"/>
    </row>
    <row r="15" spans="1:16" s="7" customFormat="1" ht="15">
      <c r="A15" s="104">
        <v>11</v>
      </c>
      <c r="B15" s="266" t="s">
        <v>265</v>
      </c>
      <c r="C15" s="118">
        <v>39136</v>
      </c>
      <c r="D15" s="133" t="s">
        <v>23</v>
      </c>
      <c r="E15" s="132" t="s">
        <v>69</v>
      </c>
      <c r="F15" s="121">
        <v>24</v>
      </c>
      <c r="G15" s="121">
        <v>24</v>
      </c>
      <c r="H15" s="121">
        <v>2</v>
      </c>
      <c r="I15" s="268">
        <v>169425.5</v>
      </c>
      <c r="J15" s="269">
        <v>16381</v>
      </c>
      <c r="K15" s="431">
        <f>J15/G15</f>
        <v>682.5416666666666</v>
      </c>
      <c r="L15" s="398">
        <f>I15/J15</f>
        <v>10.342805689518345</v>
      </c>
      <c r="M15" s="437">
        <f>3098.5+271243.5+169425.5</f>
        <v>443767.5</v>
      </c>
      <c r="N15" s="436">
        <f>316+26059+16381</f>
        <v>42756</v>
      </c>
      <c r="O15" s="290">
        <f>IF(M15&lt;&gt;0,M15/N15,"")</f>
        <v>10.379069604266068</v>
      </c>
      <c r="P15" s="258"/>
    </row>
    <row r="16" spans="1:16" s="7" customFormat="1" ht="15">
      <c r="A16" s="104">
        <v>12</v>
      </c>
      <c r="B16" s="265" t="s">
        <v>184</v>
      </c>
      <c r="C16" s="118">
        <v>39101</v>
      </c>
      <c r="D16" s="129" t="s">
        <v>12</v>
      </c>
      <c r="E16" s="129" t="s">
        <v>58</v>
      </c>
      <c r="F16" s="119">
        <v>197</v>
      </c>
      <c r="G16" s="119">
        <v>47</v>
      </c>
      <c r="H16" s="119">
        <v>7</v>
      </c>
      <c r="I16" s="268">
        <v>144808.5</v>
      </c>
      <c r="J16" s="269">
        <v>21133</v>
      </c>
      <c r="K16" s="434">
        <f>IF(I16&lt;&gt;0,J16/G16,"")</f>
        <v>449.63829787234044</v>
      </c>
      <c r="L16" s="399">
        <f>IF(I16&lt;&gt;0,I16/J16,"")</f>
        <v>6.852245303553683</v>
      </c>
      <c r="M16" s="437">
        <f>3815016+1300103.5+871510+26.5+643328.5+285+427492+144808.5-4582.5</f>
        <v>7197987.5</v>
      </c>
      <c r="N16" s="436">
        <f>302979+231870+176034+121748+3+91906+35+60830+21133-764</f>
        <v>1005774</v>
      </c>
      <c r="O16" s="405">
        <f>+M16/N16</f>
        <v>7.156664916770567</v>
      </c>
      <c r="P16" s="258"/>
    </row>
    <row r="17" spans="1:16" s="7" customFormat="1" ht="15">
      <c r="A17" s="104">
        <v>13</v>
      </c>
      <c r="B17" s="264" t="s">
        <v>229</v>
      </c>
      <c r="C17" s="117">
        <v>39115</v>
      </c>
      <c r="D17" s="128" t="s">
        <v>56</v>
      </c>
      <c r="E17" s="127" t="s">
        <v>11</v>
      </c>
      <c r="F17" s="288">
        <v>81</v>
      </c>
      <c r="G17" s="288">
        <v>58</v>
      </c>
      <c r="H17" s="288">
        <v>5</v>
      </c>
      <c r="I17" s="270">
        <v>135358</v>
      </c>
      <c r="J17" s="393">
        <v>20318</v>
      </c>
      <c r="K17" s="431">
        <f>J17/G17</f>
        <v>350.3103448275862</v>
      </c>
      <c r="L17" s="398">
        <f>I17/J17</f>
        <v>6.661974603799586</v>
      </c>
      <c r="M17" s="432">
        <f>3091+1174032+810484+561094+347033+135358</f>
        <v>3031092</v>
      </c>
      <c r="N17" s="433">
        <f>289+128246+92369+63358+42093+20318</f>
        <v>346673</v>
      </c>
      <c r="O17" s="405">
        <f>+M17/N17</f>
        <v>8.743374880651219</v>
      </c>
      <c r="P17" s="258"/>
    </row>
    <row r="18" spans="1:16" s="7" customFormat="1" ht="15">
      <c r="A18" s="104">
        <v>14</v>
      </c>
      <c r="B18" s="265" t="s">
        <v>310</v>
      </c>
      <c r="C18" s="118">
        <v>39143</v>
      </c>
      <c r="D18" s="129" t="s">
        <v>12</v>
      </c>
      <c r="E18" s="129" t="s">
        <v>59</v>
      </c>
      <c r="F18" s="119">
        <v>20</v>
      </c>
      <c r="G18" s="119">
        <v>20</v>
      </c>
      <c r="H18" s="119">
        <v>1</v>
      </c>
      <c r="I18" s="268">
        <v>129159.5</v>
      </c>
      <c r="J18" s="269">
        <v>12733</v>
      </c>
      <c r="K18" s="431">
        <f>J18/G18</f>
        <v>636.65</v>
      </c>
      <c r="L18" s="398">
        <f>I18/J18</f>
        <v>10.14368177177413</v>
      </c>
      <c r="M18" s="437">
        <f>129159.5</f>
        <v>129159.5</v>
      </c>
      <c r="N18" s="436">
        <f>12733</f>
        <v>12733</v>
      </c>
      <c r="O18" s="405">
        <f>+M18/N18</f>
        <v>10.14368177177413</v>
      </c>
      <c r="P18" s="258"/>
    </row>
    <row r="19" spans="1:16" s="7" customFormat="1" ht="15">
      <c r="A19" s="104">
        <v>15</v>
      </c>
      <c r="B19" s="265" t="s">
        <v>275</v>
      </c>
      <c r="C19" s="118">
        <v>39136</v>
      </c>
      <c r="D19" s="129" t="s">
        <v>12</v>
      </c>
      <c r="E19" s="129" t="s">
        <v>276</v>
      </c>
      <c r="F19" s="119">
        <v>50</v>
      </c>
      <c r="G19" s="119">
        <v>50</v>
      </c>
      <c r="H19" s="119">
        <v>2</v>
      </c>
      <c r="I19" s="268">
        <v>117666.5</v>
      </c>
      <c r="J19" s="269">
        <v>15507</v>
      </c>
      <c r="K19" s="431">
        <f>J19/G19</f>
        <v>310.14</v>
      </c>
      <c r="L19" s="398">
        <f>I19/J19</f>
        <v>7.587960276004385</v>
      </c>
      <c r="M19" s="437">
        <f>176703.5+117666.5</f>
        <v>294370</v>
      </c>
      <c r="N19" s="436">
        <f>23632+15507</f>
        <v>39139</v>
      </c>
      <c r="O19" s="290">
        <f>IF(M19&lt;&gt;0,M19/N19,"")</f>
        <v>7.521142594343238</v>
      </c>
      <c r="P19" s="258"/>
    </row>
    <row r="20" spans="1:16" s="7" customFormat="1" ht="15">
      <c r="A20" s="104">
        <v>16</v>
      </c>
      <c r="B20" s="264" t="s">
        <v>245</v>
      </c>
      <c r="C20" s="117">
        <v>39108</v>
      </c>
      <c r="D20" s="128" t="s">
        <v>56</v>
      </c>
      <c r="E20" s="127" t="s">
        <v>268</v>
      </c>
      <c r="F20" s="288">
        <v>148</v>
      </c>
      <c r="G20" s="288">
        <v>58</v>
      </c>
      <c r="H20" s="288">
        <v>6</v>
      </c>
      <c r="I20" s="270">
        <v>106480</v>
      </c>
      <c r="J20" s="393">
        <v>21220</v>
      </c>
      <c r="K20" s="431">
        <f>J20/G20</f>
        <v>365.86206896551727</v>
      </c>
      <c r="L20" s="398">
        <f>I20/J20</f>
        <v>5.0179076343072575</v>
      </c>
      <c r="M20" s="432">
        <f>1992651+1728920+984064+346169+182382+106480</f>
        <v>5340666</v>
      </c>
      <c r="N20" s="433">
        <f>274655+238848+139396+51021+30073+21220</f>
        <v>755213</v>
      </c>
      <c r="O20" s="405">
        <f>+M20/N20</f>
        <v>7.071734729142639</v>
      </c>
      <c r="P20" s="258"/>
    </row>
    <row r="21" spans="1:16" s="7" customFormat="1" ht="15">
      <c r="A21" s="104">
        <v>17</v>
      </c>
      <c r="B21" s="267" t="s">
        <v>237</v>
      </c>
      <c r="C21" s="117">
        <v>39115</v>
      </c>
      <c r="D21" s="130" t="s">
        <v>45</v>
      </c>
      <c r="E21" s="130" t="s">
        <v>238</v>
      </c>
      <c r="F21" s="287" t="s">
        <v>239</v>
      </c>
      <c r="G21" s="287" t="s">
        <v>314</v>
      </c>
      <c r="H21" s="287" t="s">
        <v>278</v>
      </c>
      <c r="I21" s="270">
        <v>101386</v>
      </c>
      <c r="J21" s="393">
        <v>18566</v>
      </c>
      <c r="K21" s="434">
        <f>IF(I21&lt;&gt;0,J21/G21,"")</f>
        <v>299.4516129032258</v>
      </c>
      <c r="L21" s="399">
        <f>IF(I21&lt;&gt;0,I21/J21,"")</f>
        <v>5.460842400086179</v>
      </c>
      <c r="M21" s="432">
        <v>1555970.5</v>
      </c>
      <c r="N21" s="433">
        <v>212913</v>
      </c>
      <c r="O21" s="405">
        <f>+M21/N21</f>
        <v>7.308010783747352</v>
      </c>
      <c r="P21" s="258"/>
    </row>
    <row r="22" spans="1:16" s="7" customFormat="1" ht="15">
      <c r="A22" s="104">
        <v>18</v>
      </c>
      <c r="B22" s="265" t="s">
        <v>274</v>
      </c>
      <c r="C22" s="118">
        <v>39136</v>
      </c>
      <c r="D22" s="129" t="s">
        <v>57</v>
      </c>
      <c r="E22" s="129" t="s">
        <v>65</v>
      </c>
      <c r="F22" s="119">
        <v>34</v>
      </c>
      <c r="G22" s="119">
        <v>34</v>
      </c>
      <c r="H22" s="119">
        <v>2</v>
      </c>
      <c r="I22" s="268">
        <v>97337</v>
      </c>
      <c r="J22" s="269">
        <v>9932</v>
      </c>
      <c r="K22" s="431">
        <f>J22/G22</f>
        <v>292.11764705882354</v>
      </c>
      <c r="L22" s="398">
        <f>I22/J22</f>
        <v>9.800342327829238</v>
      </c>
      <c r="M22" s="437">
        <v>290395</v>
      </c>
      <c r="N22" s="436">
        <v>29557</v>
      </c>
      <c r="O22" s="405">
        <f>+M22/N22</f>
        <v>9.824914571844234</v>
      </c>
      <c r="P22" s="258"/>
    </row>
    <row r="23" spans="1:16" s="7" customFormat="1" ht="15">
      <c r="A23" s="104">
        <v>19</v>
      </c>
      <c r="B23" s="264" t="s">
        <v>190</v>
      </c>
      <c r="C23" s="117">
        <v>39108</v>
      </c>
      <c r="D23" s="128" t="s">
        <v>56</v>
      </c>
      <c r="E23" s="127" t="s">
        <v>11</v>
      </c>
      <c r="F23" s="288">
        <v>131</v>
      </c>
      <c r="G23" s="288">
        <v>58</v>
      </c>
      <c r="H23" s="288">
        <v>6</v>
      </c>
      <c r="I23" s="270">
        <v>76666</v>
      </c>
      <c r="J23" s="393">
        <v>14008</v>
      </c>
      <c r="K23" s="431">
        <f>J23/G23</f>
        <v>241.51724137931035</v>
      </c>
      <c r="L23" s="398">
        <f>I23/J23</f>
        <v>5.473015419760137</v>
      </c>
      <c r="M23" s="432">
        <f>3063+1388108+1182918+556749+125580+97410+76666</f>
        <v>3430494</v>
      </c>
      <c r="N23" s="433">
        <f>313+167433+145432+67053+17220+16427+14008</f>
        <v>427886</v>
      </c>
      <c r="O23" s="290">
        <f>IF(M23&lt;&gt;0,M23/N23,"")</f>
        <v>8.017308348485344</v>
      </c>
      <c r="P23" s="258"/>
    </row>
    <row r="24" spans="1:16" s="7" customFormat="1" ht="15">
      <c r="A24" s="104">
        <v>20</v>
      </c>
      <c r="B24" s="264" t="s">
        <v>277</v>
      </c>
      <c r="C24" s="117">
        <v>39136</v>
      </c>
      <c r="D24" s="128" t="s">
        <v>56</v>
      </c>
      <c r="E24" s="127" t="s">
        <v>11</v>
      </c>
      <c r="F24" s="288">
        <v>9</v>
      </c>
      <c r="G24" s="288">
        <v>9</v>
      </c>
      <c r="H24" s="288">
        <v>2</v>
      </c>
      <c r="I24" s="270">
        <v>44359</v>
      </c>
      <c r="J24" s="393">
        <v>4281</v>
      </c>
      <c r="K24" s="431">
        <f>J24/G24</f>
        <v>475.6666666666667</v>
      </c>
      <c r="L24" s="398">
        <f>I24/J24</f>
        <v>10.361831347815931</v>
      </c>
      <c r="M24" s="432">
        <f>84092+44359</f>
        <v>128451</v>
      </c>
      <c r="N24" s="433">
        <f>8135+4281</f>
        <v>12416</v>
      </c>
      <c r="O24" s="405">
        <f>+M24/N24</f>
        <v>10.345602448453608</v>
      </c>
      <c r="P24" s="258"/>
    </row>
    <row r="25" spans="1:16" s="7" customFormat="1" ht="15">
      <c r="A25" s="104">
        <v>21</v>
      </c>
      <c r="B25" s="265" t="s">
        <v>299</v>
      </c>
      <c r="C25" s="118">
        <v>39129</v>
      </c>
      <c r="D25" s="129" t="s">
        <v>57</v>
      </c>
      <c r="E25" s="129" t="s">
        <v>65</v>
      </c>
      <c r="F25" s="119">
        <v>39</v>
      </c>
      <c r="G25" s="119">
        <v>35</v>
      </c>
      <c r="H25" s="119">
        <v>2</v>
      </c>
      <c r="I25" s="268">
        <v>37697</v>
      </c>
      <c r="J25" s="269">
        <v>6593</v>
      </c>
      <c r="K25" s="431">
        <f>J25/G25</f>
        <v>188.37142857142857</v>
      </c>
      <c r="L25" s="398">
        <f>I25/J25</f>
        <v>5.717730926740482</v>
      </c>
      <c r="M25" s="437">
        <v>883651</v>
      </c>
      <c r="N25" s="436">
        <v>91971</v>
      </c>
      <c r="O25" s="405">
        <f>+M25/N25</f>
        <v>9.60793076078329</v>
      </c>
      <c r="P25" s="258"/>
    </row>
    <row r="26" spans="1:16" s="7" customFormat="1" ht="15">
      <c r="A26" s="104">
        <v>22</v>
      </c>
      <c r="B26" s="267" t="s">
        <v>273</v>
      </c>
      <c r="C26" s="117">
        <v>39136</v>
      </c>
      <c r="D26" s="130" t="s">
        <v>45</v>
      </c>
      <c r="E26" s="130" t="s">
        <v>227</v>
      </c>
      <c r="F26" s="287" t="s">
        <v>239</v>
      </c>
      <c r="G26" s="287" t="s">
        <v>315</v>
      </c>
      <c r="H26" s="287" t="s">
        <v>37</v>
      </c>
      <c r="I26" s="270">
        <v>35719</v>
      </c>
      <c r="J26" s="393">
        <v>5898</v>
      </c>
      <c r="K26" s="434">
        <f>IF(I26&lt;&gt;0,J26/G26,"")</f>
        <v>85.47826086956522</v>
      </c>
      <c r="L26" s="399">
        <f>IF(I26&lt;&gt;0,I26/J26,"")</f>
        <v>6.056120718887758</v>
      </c>
      <c r="M26" s="432">
        <v>302715</v>
      </c>
      <c r="N26" s="433">
        <v>41992</v>
      </c>
      <c r="O26" s="405">
        <f>+M26/N26</f>
        <v>7.208873118689274</v>
      </c>
      <c r="P26" s="258"/>
    </row>
    <row r="27" spans="1:16" s="7" customFormat="1" ht="15">
      <c r="A27" s="104">
        <v>23</v>
      </c>
      <c r="B27" s="265" t="s">
        <v>247</v>
      </c>
      <c r="C27" s="118">
        <v>39122</v>
      </c>
      <c r="D27" s="129" t="s">
        <v>12</v>
      </c>
      <c r="E27" s="129" t="s">
        <v>248</v>
      </c>
      <c r="F27" s="119">
        <v>62</v>
      </c>
      <c r="G27" s="119">
        <v>34</v>
      </c>
      <c r="H27" s="119">
        <v>4</v>
      </c>
      <c r="I27" s="268">
        <v>33721</v>
      </c>
      <c r="J27" s="269">
        <v>6638</v>
      </c>
      <c r="K27" s="431">
        <f>J27/G27</f>
        <v>195.23529411764707</v>
      </c>
      <c r="L27" s="398">
        <f>I27/J27</f>
        <v>5.079993974088581</v>
      </c>
      <c r="M27" s="437">
        <f>248079.5+111544+46796.5+33721</f>
        <v>440141</v>
      </c>
      <c r="N27" s="436">
        <f>36414+17429+7900+6638</f>
        <v>68381</v>
      </c>
      <c r="O27" s="290">
        <f>IF(M27&lt;&gt;0,M27/N27,"")</f>
        <v>6.436597885377517</v>
      </c>
      <c r="P27" s="258"/>
    </row>
    <row r="28" spans="1:16" s="7" customFormat="1" ht="15">
      <c r="A28" s="104">
        <v>24</v>
      </c>
      <c r="B28" s="264" t="s">
        <v>246</v>
      </c>
      <c r="C28" s="117">
        <v>39122</v>
      </c>
      <c r="D28" s="128" t="s">
        <v>56</v>
      </c>
      <c r="E28" s="127" t="s">
        <v>240</v>
      </c>
      <c r="F28" s="288">
        <v>60</v>
      </c>
      <c r="G28" s="288">
        <v>17</v>
      </c>
      <c r="H28" s="288">
        <v>4</v>
      </c>
      <c r="I28" s="270">
        <v>27739</v>
      </c>
      <c r="J28" s="393">
        <v>5045</v>
      </c>
      <c r="K28" s="431">
        <f>J28/G28</f>
        <v>296.7647058823529</v>
      </c>
      <c r="L28" s="398">
        <f>I28/J28</f>
        <v>5.498315163528246</v>
      </c>
      <c r="M28" s="432">
        <f>532455+318401+212166+27739</f>
        <v>1090761</v>
      </c>
      <c r="N28" s="433">
        <f>62334+37213+25119+5045</f>
        <v>129711</v>
      </c>
      <c r="O28" s="405">
        <f>+M28/N28</f>
        <v>8.409163447972801</v>
      </c>
      <c r="P28" s="258"/>
    </row>
    <row r="29" spans="1:16" s="7" customFormat="1" ht="15">
      <c r="A29" s="104">
        <v>25</v>
      </c>
      <c r="B29" s="265" t="s">
        <v>183</v>
      </c>
      <c r="C29" s="118">
        <v>39094</v>
      </c>
      <c r="D29" s="129" t="s">
        <v>12</v>
      </c>
      <c r="E29" s="129" t="s">
        <v>264</v>
      </c>
      <c r="F29" s="119">
        <v>226</v>
      </c>
      <c r="G29" s="119">
        <v>17</v>
      </c>
      <c r="H29" s="119">
        <v>8</v>
      </c>
      <c r="I29" s="268">
        <v>21975.5</v>
      </c>
      <c r="J29" s="269">
        <v>4196</v>
      </c>
      <c r="K29" s="431">
        <f>J29/G29</f>
        <v>246.8235294117647</v>
      </c>
      <c r="L29" s="398">
        <f>I29/J29</f>
        <v>5.237249761677789</v>
      </c>
      <c r="M29" s="437">
        <f>3142328+2138928+1454143+1085018.5-637+512497+119516+49072.5+21975.5</f>
        <v>8522841.5</v>
      </c>
      <c r="N29" s="436">
        <f>453903+300559+202455+152725+101+73889+22414+10560+4196</f>
        <v>1220802</v>
      </c>
      <c r="O29" s="405">
        <f>+M29/N29</f>
        <v>6.981346278921562</v>
      </c>
      <c r="P29" s="258"/>
    </row>
    <row r="30" spans="1:16" s="7" customFormat="1" ht="15">
      <c r="A30" s="104">
        <v>26</v>
      </c>
      <c r="B30" s="264" t="s">
        <v>263</v>
      </c>
      <c r="C30" s="117">
        <v>39129</v>
      </c>
      <c r="D30" s="128" t="s">
        <v>56</v>
      </c>
      <c r="E30" s="127" t="s">
        <v>71</v>
      </c>
      <c r="F30" s="288">
        <v>22</v>
      </c>
      <c r="G30" s="288">
        <v>10</v>
      </c>
      <c r="H30" s="288">
        <v>3</v>
      </c>
      <c r="I30" s="270">
        <v>21968</v>
      </c>
      <c r="J30" s="393">
        <v>2098</v>
      </c>
      <c r="K30" s="431">
        <f>J30/G30</f>
        <v>209.8</v>
      </c>
      <c r="L30" s="398">
        <f>I30/J30</f>
        <v>10.470924690181125</v>
      </c>
      <c r="M30" s="432">
        <f>3941+185955+159407+21968</f>
        <v>371271</v>
      </c>
      <c r="N30" s="433">
        <f>412+17684+15175+2098</f>
        <v>35369</v>
      </c>
      <c r="O30" s="405">
        <f>+M30/N30</f>
        <v>10.497073708614888</v>
      </c>
      <c r="P30" s="258"/>
    </row>
    <row r="31" spans="1:16" s="7" customFormat="1" ht="15">
      <c r="A31" s="104">
        <v>27</v>
      </c>
      <c r="B31" s="265" t="s">
        <v>35</v>
      </c>
      <c r="C31" s="118">
        <v>39031</v>
      </c>
      <c r="D31" s="129" t="s">
        <v>57</v>
      </c>
      <c r="E31" s="129" t="s">
        <v>71</v>
      </c>
      <c r="F31" s="119">
        <v>83</v>
      </c>
      <c r="G31" s="119">
        <v>17</v>
      </c>
      <c r="H31" s="119">
        <v>17</v>
      </c>
      <c r="I31" s="268">
        <v>20934</v>
      </c>
      <c r="J31" s="269">
        <v>2628</v>
      </c>
      <c r="K31" s="434">
        <f>IF(I31&lt;&gt;0,J31/G31,"")</f>
        <v>154.58823529411765</v>
      </c>
      <c r="L31" s="399">
        <f>IF(I31&lt;&gt;0,I31/J31,"")</f>
        <v>7.965753424657534</v>
      </c>
      <c r="M31" s="437">
        <v>1842544</v>
      </c>
      <c r="N31" s="436">
        <v>215640</v>
      </c>
      <c r="O31" s="290">
        <f>IF(M31&lt;&gt;0,M31/N31,"")</f>
        <v>8.544537191615655</v>
      </c>
      <c r="P31" s="258"/>
    </row>
    <row r="32" spans="1:16" s="7" customFormat="1" ht="15">
      <c r="A32" s="104">
        <v>28</v>
      </c>
      <c r="B32" s="265" t="s">
        <v>311</v>
      </c>
      <c r="C32" s="118">
        <v>39136</v>
      </c>
      <c r="D32" s="129" t="s">
        <v>12</v>
      </c>
      <c r="E32" s="129" t="s">
        <v>59</v>
      </c>
      <c r="F32" s="119">
        <v>7</v>
      </c>
      <c r="G32" s="119">
        <v>7</v>
      </c>
      <c r="H32" s="119">
        <v>2</v>
      </c>
      <c r="I32" s="268">
        <v>15905</v>
      </c>
      <c r="J32" s="269">
        <v>1725</v>
      </c>
      <c r="K32" s="431">
        <f>J32/G32</f>
        <v>246.42857142857142</v>
      </c>
      <c r="L32" s="398">
        <f>I32/J32</f>
        <v>9.220289855072464</v>
      </c>
      <c r="M32" s="437">
        <f>23106.5+15905</f>
        <v>39011.5</v>
      </c>
      <c r="N32" s="436">
        <f>2469+1725</f>
        <v>4194</v>
      </c>
      <c r="O32" s="405">
        <f>+M32/N32</f>
        <v>9.3017405817835</v>
      </c>
      <c r="P32" s="258"/>
    </row>
    <row r="33" spans="1:16" s="7" customFormat="1" ht="15">
      <c r="A33" s="104">
        <v>29</v>
      </c>
      <c r="B33" s="265" t="s">
        <v>241</v>
      </c>
      <c r="C33" s="118">
        <v>39115</v>
      </c>
      <c r="D33" s="129" t="s">
        <v>57</v>
      </c>
      <c r="E33" s="129" t="s">
        <v>60</v>
      </c>
      <c r="F33" s="119">
        <v>12</v>
      </c>
      <c r="G33" s="119">
        <v>12</v>
      </c>
      <c r="H33" s="119">
        <v>5</v>
      </c>
      <c r="I33" s="268">
        <v>15404</v>
      </c>
      <c r="J33" s="269">
        <v>2960</v>
      </c>
      <c r="K33" s="431">
        <f>J33/G33</f>
        <v>246.66666666666666</v>
      </c>
      <c r="L33" s="398">
        <f>I33/J33</f>
        <v>5.204054054054054</v>
      </c>
      <c r="M33" s="437">
        <v>229221</v>
      </c>
      <c r="N33" s="436">
        <v>35850</v>
      </c>
      <c r="O33" s="405">
        <f>+M33/N33</f>
        <v>6.3938912133891215</v>
      </c>
      <c r="P33" s="258"/>
    </row>
    <row r="34" spans="1:16" s="7" customFormat="1" ht="15">
      <c r="A34" s="104">
        <v>30</v>
      </c>
      <c r="B34" s="265" t="s">
        <v>127</v>
      </c>
      <c r="C34" s="118">
        <v>39080</v>
      </c>
      <c r="D34" s="129" t="s">
        <v>12</v>
      </c>
      <c r="E34" s="129" t="s">
        <v>59</v>
      </c>
      <c r="F34" s="119">
        <v>225</v>
      </c>
      <c r="G34" s="119">
        <v>9</v>
      </c>
      <c r="H34" s="119">
        <v>10</v>
      </c>
      <c r="I34" s="268">
        <v>13380</v>
      </c>
      <c r="J34" s="269">
        <v>2252</v>
      </c>
      <c r="K34" s="431">
        <f>J34/G34</f>
        <v>250.22222222222223</v>
      </c>
      <c r="L34" s="398">
        <f>I34/J34</f>
        <v>5.941385435168739</v>
      </c>
      <c r="M34" s="437">
        <f>443484+172504.5+77130.5+14404+4813+5794.5+20+1110+1236+15107+13128.5+13380</f>
        <v>762112</v>
      </c>
      <c r="N34" s="436">
        <f>50755+20967+9569+1855+705+1471+1+225+365+2864+2180+2252</f>
        <v>93209</v>
      </c>
      <c r="O34" s="405">
        <f>+M34/N34</f>
        <v>8.176377817592721</v>
      </c>
      <c r="P34" s="258"/>
    </row>
    <row r="35" spans="1:16" s="7" customFormat="1" ht="15">
      <c r="A35" s="104">
        <v>31</v>
      </c>
      <c r="B35" s="267" t="s">
        <v>226</v>
      </c>
      <c r="C35" s="117">
        <v>39108</v>
      </c>
      <c r="D35" s="130" t="s">
        <v>45</v>
      </c>
      <c r="E35" s="130" t="s">
        <v>227</v>
      </c>
      <c r="F35" s="287" t="s">
        <v>228</v>
      </c>
      <c r="G35" s="287" t="s">
        <v>316</v>
      </c>
      <c r="H35" s="287" t="s">
        <v>298</v>
      </c>
      <c r="I35" s="270">
        <v>13353.05</v>
      </c>
      <c r="J35" s="393">
        <v>3786</v>
      </c>
      <c r="K35" s="431">
        <f>J35/G35</f>
        <v>164.6086956521739</v>
      </c>
      <c r="L35" s="398">
        <f>I35/J35</f>
        <v>3.5269545694664552</v>
      </c>
      <c r="M35" s="432">
        <v>2813914</v>
      </c>
      <c r="N35" s="433">
        <v>376508</v>
      </c>
      <c r="O35" s="290">
        <f>IF(M35&lt;&gt;0,M35/N35,"")</f>
        <v>7.473716361936533</v>
      </c>
      <c r="P35" s="258"/>
    </row>
    <row r="36" spans="1:16" s="7" customFormat="1" ht="15">
      <c r="A36" s="104">
        <v>32</v>
      </c>
      <c r="B36" s="267" t="s">
        <v>124</v>
      </c>
      <c r="C36" s="117">
        <v>39080</v>
      </c>
      <c r="D36" s="130" t="s">
        <v>45</v>
      </c>
      <c r="E36" s="130" t="s">
        <v>97</v>
      </c>
      <c r="F36" s="287" t="s">
        <v>125</v>
      </c>
      <c r="G36" s="287" t="s">
        <v>317</v>
      </c>
      <c r="H36" s="287" t="s">
        <v>266</v>
      </c>
      <c r="I36" s="270">
        <v>12128</v>
      </c>
      <c r="J36" s="393">
        <v>2524</v>
      </c>
      <c r="K36" s="431">
        <f>J36/G36</f>
        <v>229.45454545454547</v>
      </c>
      <c r="L36" s="398">
        <f>I36/J36</f>
        <v>4.805071315372425</v>
      </c>
      <c r="M36" s="432">
        <v>2961272.5</v>
      </c>
      <c r="N36" s="433">
        <v>396280</v>
      </c>
      <c r="O36" s="405">
        <f>+M36/N36</f>
        <v>7.472677147471485</v>
      </c>
      <c r="P36" s="258"/>
    </row>
    <row r="37" spans="1:16" s="7" customFormat="1" ht="15">
      <c r="A37" s="104">
        <v>33</v>
      </c>
      <c r="B37" s="264" t="s">
        <v>119</v>
      </c>
      <c r="C37" s="117">
        <v>39080</v>
      </c>
      <c r="D37" s="128" t="s">
        <v>56</v>
      </c>
      <c r="E37" s="127" t="s">
        <v>61</v>
      </c>
      <c r="F37" s="288">
        <v>80</v>
      </c>
      <c r="G37" s="288">
        <v>6</v>
      </c>
      <c r="H37" s="288">
        <v>10</v>
      </c>
      <c r="I37" s="270">
        <v>11315</v>
      </c>
      <c r="J37" s="393">
        <v>1333</v>
      </c>
      <c r="K37" s="434">
        <f>IF(I37&lt;&gt;0,J37/G37,"")</f>
        <v>222.16666666666666</v>
      </c>
      <c r="L37" s="399">
        <f>IF(I37&lt;&gt;0,I37/J37,"")</f>
        <v>8.488372093023257</v>
      </c>
      <c r="M37" s="432">
        <f>1367+686114+384405+247619+146119+85619+63759-1+18934+11869+10791+11315</f>
        <v>1667910</v>
      </c>
      <c r="N37" s="433">
        <f>80773+116+46317+29887+17891+10484+7685+2801+1917+1334+1333</f>
        <v>200538</v>
      </c>
      <c r="O37" s="405">
        <f>+M37/N37</f>
        <v>8.317176794423002</v>
      </c>
      <c r="P37" s="258"/>
    </row>
    <row r="38" spans="1:16" s="7" customFormat="1" ht="15">
      <c r="A38" s="104">
        <v>34</v>
      </c>
      <c r="B38" s="265" t="s">
        <v>249</v>
      </c>
      <c r="C38" s="118">
        <v>39122</v>
      </c>
      <c r="D38" s="129" t="s">
        <v>12</v>
      </c>
      <c r="E38" s="129" t="s">
        <v>66</v>
      </c>
      <c r="F38" s="119">
        <v>27</v>
      </c>
      <c r="G38" s="119">
        <v>27</v>
      </c>
      <c r="H38" s="119">
        <v>4</v>
      </c>
      <c r="I38" s="268">
        <v>10562</v>
      </c>
      <c r="J38" s="269">
        <v>1977</v>
      </c>
      <c r="K38" s="431">
        <f>J38/G38</f>
        <v>73.22222222222223</v>
      </c>
      <c r="L38" s="398">
        <f>I38/J38</f>
        <v>5.34243803743045</v>
      </c>
      <c r="M38" s="437">
        <f>119870.5+70279+18401+10562</f>
        <v>219112.5</v>
      </c>
      <c r="N38" s="436">
        <f>12204+6994+1908+1977</f>
        <v>23083</v>
      </c>
      <c r="O38" s="405">
        <f>+M38/N38</f>
        <v>9.49237534116016</v>
      </c>
      <c r="P38" s="258"/>
    </row>
    <row r="39" spans="1:16" s="7" customFormat="1" ht="15">
      <c r="A39" s="104">
        <v>35</v>
      </c>
      <c r="B39" s="266" t="s">
        <v>167</v>
      </c>
      <c r="C39" s="118">
        <v>39094</v>
      </c>
      <c r="D39" s="133" t="s">
        <v>23</v>
      </c>
      <c r="E39" s="132" t="s">
        <v>69</v>
      </c>
      <c r="F39" s="121">
        <v>42</v>
      </c>
      <c r="G39" s="121">
        <v>20</v>
      </c>
      <c r="H39" s="121">
        <v>8</v>
      </c>
      <c r="I39" s="268">
        <v>9182.5</v>
      </c>
      <c r="J39" s="269">
        <v>1841</v>
      </c>
      <c r="K39" s="431">
        <f>J39/G39</f>
        <v>92.05</v>
      </c>
      <c r="L39" s="398">
        <f>I39/J39</f>
        <v>4.987778381314503</v>
      </c>
      <c r="M39" s="437">
        <f>116992.5+114120.5+59552+32990+22575.5+13689.5+13072.5+9182.5</f>
        <v>382175</v>
      </c>
      <c r="N39" s="436">
        <f>13983+14934+8576+5091+3923+2713+2832+1841</f>
        <v>53893</v>
      </c>
      <c r="O39" s="290">
        <f>IF(M39&lt;&gt;0,M39/N39,"")</f>
        <v>7.091366225669382</v>
      </c>
      <c r="P39" s="258"/>
    </row>
    <row r="40" spans="1:16" s="7" customFormat="1" ht="15">
      <c r="A40" s="104">
        <v>36</v>
      </c>
      <c r="B40" s="267" t="s">
        <v>164</v>
      </c>
      <c r="C40" s="117">
        <v>39094</v>
      </c>
      <c r="D40" s="130" t="s">
        <v>73</v>
      </c>
      <c r="E40" s="130" t="s">
        <v>136</v>
      </c>
      <c r="F40" s="287" t="s">
        <v>165</v>
      </c>
      <c r="G40" s="287" t="s">
        <v>301</v>
      </c>
      <c r="H40" s="287" t="s">
        <v>301</v>
      </c>
      <c r="I40" s="270">
        <v>5388</v>
      </c>
      <c r="J40" s="393">
        <v>834</v>
      </c>
      <c r="K40" s="431">
        <f>J40/G40</f>
        <v>104.25</v>
      </c>
      <c r="L40" s="398">
        <f>I40/J40</f>
        <v>6.460431654676259</v>
      </c>
      <c r="M40" s="432">
        <v>755006</v>
      </c>
      <c r="N40" s="433">
        <v>80087</v>
      </c>
      <c r="O40" s="405">
        <f>+M40/N40</f>
        <v>9.427322786469714</v>
      </c>
      <c r="P40" s="258"/>
    </row>
    <row r="41" spans="1:16" s="7" customFormat="1" ht="15">
      <c r="A41" s="104">
        <v>37</v>
      </c>
      <c r="B41" s="267" t="s">
        <v>291</v>
      </c>
      <c r="C41" s="117">
        <v>38464</v>
      </c>
      <c r="D41" s="130" t="s">
        <v>46</v>
      </c>
      <c r="E41" s="130" t="s">
        <v>292</v>
      </c>
      <c r="F41" s="304">
        <v>8</v>
      </c>
      <c r="G41" s="304">
        <v>3</v>
      </c>
      <c r="H41" s="304">
        <v>17</v>
      </c>
      <c r="I41" s="270">
        <v>5346</v>
      </c>
      <c r="J41" s="393">
        <v>1782</v>
      </c>
      <c r="K41" s="431">
        <f>J41/G41</f>
        <v>594</v>
      </c>
      <c r="L41" s="398">
        <f>I41/J41</f>
        <v>3</v>
      </c>
      <c r="M41" s="437">
        <v>70711.46</v>
      </c>
      <c r="N41" s="436">
        <v>11449</v>
      </c>
      <c r="O41" s="405">
        <f>+M41/N41</f>
        <v>6.1762127696742075</v>
      </c>
      <c r="P41" s="258"/>
    </row>
    <row r="42" spans="1:16" s="7" customFormat="1" ht="15">
      <c r="A42" s="104">
        <v>38</v>
      </c>
      <c r="B42" s="265" t="s">
        <v>185</v>
      </c>
      <c r="C42" s="118">
        <v>39115</v>
      </c>
      <c r="D42" s="129" t="s">
        <v>57</v>
      </c>
      <c r="E42" s="129" t="s">
        <v>65</v>
      </c>
      <c r="F42" s="119">
        <v>151</v>
      </c>
      <c r="G42" s="119">
        <v>8</v>
      </c>
      <c r="H42" s="119">
        <v>5</v>
      </c>
      <c r="I42" s="268">
        <v>5089</v>
      </c>
      <c r="J42" s="269">
        <v>1186</v>
      </c>
      <c r="K42" s="434">
        <f>IF(I42&lt;&gt;0,J42/G42,"")</f>
        <v>148.25</v>
      </c>
      <c r="L42" s="399">
        <f>IF(I42&lt;&gt;0,I42/J42,"")</f>
        <v>4.290893760539629</v>
      </c>
      <c r="M42" s="437">
        <v>1030849</v>
      </c>
      <c r="N42" s="436">
        <v>147640</v>
      </c>
      <c r="O42" s="405">
        <f>+M42/N42</f>
        <v>6.982179626117583</v>
      </c>
      <c r="P42" s="258"/>
    </row>
    <row r="43" spans="1:16" s="7" customFormat="1" ht="15">
      <c r="A43" s="104">
        <v>39</v>
      </c>
      <c r="B43" s="265" t="s">
        <v>143</v>
      </c>
      <c r="C43" s="118">
        <v>39101</v>
      </c>
      <c r="D43" s="129" t="s">
        <v>57</v>
      </c>
      <c r="E43" s="129" t="s">
        <v>186</v>
      </c>
      <c r="F43" s="119">
        <v>90</v>
      </c>
      <c r="G43" s="119">
        <v>7</v>
      </c>
      <c r="H43" s="119">
        <v>7</v>
      </c>
      <c r="I43" s="268">
        <v>4853</v>
      </c>
      <c r="J43" s="269">
        <v>882</v>
      </c>
      <c r="K43" s="431">
        <f>J43/G43</f>
        <v>126</v>
      </c>
      <c r="L43" s="398">
        <f>I43/J43</f>
        <v>5.5022675736961455</v>
      </c>
      <c r="M43" s="437">
        <v>2953746</v>
      </c>
      <c r="N43" s="436">
        <v>344645</v>
      </c>
      <c r="O43" s="290">
        <f>IF(M43&lt;&gt;0,M43/N43,"")</f>
        <v>8.570401427555892</v>
      </c>
      <c r="P43" s="258"/>
    </row>
    <row r="44" spans="1:16" s="7" customFormat="1" ht="15">
      <c r="A44" s="104">
        <v>40</v>
      </c>
      <c r="B44" s="265" t="s">
        <v>79</v>
      </c>
      <c r="C44" s="118">
        <v>39052</v>
      </c>
      <c r="D44" s="129" t="s">
        <v>12</v>
      </c>
      <c r="E44" s="129" t="s">
        <v>14</v>
      </c>
      <c r="F44" s="119">
        <v>90</v>
      </c>
      <c r="G44" s="119">
        <v>2</v>
      </c>
      <c r="H44" s="119">
        <v>14</v>
      </c>
      <c r="I44" s="268">
        <v>2782</v>
      </c>
      <c r="J44" s="269">
        <v>414</v>
      </c>
      <c r="K44" s="431">
        <f>J44/G44</f>
        <v>207</v>
      </c>
      <c r="L44" s="398">
        <f>I44/J44</f>
        <v>6.719806763285024</v>
      </c>
      <c r="M44" s="437">
        <f>806671+699007+428408.5+133320+137891.5+96374+73504+30884+17454.5+10984.5+8264+17976+5607+2782</f>
        <v>2469128</v>
      </c>
      <c r="N44" s="436">
        <f>108387+92156+56693+19301+21080+15913+13224+6184+3648+2101+1405+3081+939+414</f>
        <v>344526</v>
      </c>
      <c r="O44" s="405">
        <f>+M44/N44</f>
        <v>7.1667392301306725</v>
      </c>
      <c r="P44" s="258"/>
    </row>
    <row r="45" spans="1:16" s="7" customFormat="1" ht="15">
      <c r="A45" s="104">
        <v>41</v>
      </c>
      <c r="B45" s="264" t="s">
        <v>104</v>
      </c>
      <c r="C45" s="117">
        <v>39073</v>
      </c>
      <c r="D45" s="128" t="s">
        <v>56</v>
      </c>
      <c r="E45" s="127" t="s">
        <v>11</v>
      </c>
      <c r="F45" s="288">
        <v>60</v>
      </c>
      <c r="G45" s="288">
        <v>2</v>
      </c>
      <c r="H45" s="288">
        <v>11</v>
      </c>
      <c r="I45" s="270">
        <v>2077</v>
      </c>
      <c r="J45" s="393">
        <v>644</v>
      </c>
      <c r="K45" s="431">
        <f>J45/G45</f>
        <v>322</v>
      </c>
      <c r="L45" s="398">
        <f>I45/J45</f>
        <v>3.2251552795031055</v>
      </c>
      <c r="M45" s="432">
        <f>699081+736993+318216+148350+83269+13464+1073-2.5+3459+2218+2344+2077</f>
        <v>2010541.5</v>
      </c>
      <c r="N45" s="433">
        <f>78037+80041+36145+17661+10172+1277+200+1543+444+389+644</f>
        <v>226553</v>
      </c>
      <c r="O45" s="405">
        <f>+M45/N45</f>
        <v>8.87448632328859</v>
      </c>
      <c r="P45" s="258"/>
    </row>
    <row r="46" spans="1:16" s="7" customFormat="1" ht="15">
      <c r="A46" s="104">
        <v>42</v>
      </c>
      <c r="B46" s="266" t="s">
        <v>24</v>
      </c>
      <c r="C46" s="118">
        <v>38849</v>
      </c>
      <c r="D46" s="133" t="s">
        <v>23</v>
      </c>
      <c r="E46" s="132" t="s">
        <v>25</v>
      </c>
      <c r="F46" s="121">
        <v>4</v>
      </c>
      <c r="G46" s="121">
        <v>1</v>
      </c>
      <c r="H46" s="121">
        <v>15</v>
      </c>
      <c r="I46" s="268">
        <v>1664</v>
      </c>
      <c r="J46" s="269">
        <v>416</v>
      </c>
      <c r="K46" s="431">
        <f>J46/G46</f>
        <v>416</v>
      </c>
      <c r="L46" s="398">
        <f>I46/J46</f>
        <v>4</v>
      </c>
      <c r="M46" s="437">
        <f>12183.25+8569+5406+1833+4570+3387+1518.5+434.5+616.5+714+1068+450+27+36+75.5+1664</f>
        <v>42552.25</v>
      </c>
      <c r="N46" s="436">
        <f>1678+1149+734+247+1506+495+228+65+102+238+356+150+5+7+29+416</f>
        <v>7405</v>
      </c>
      <c r="O46" s="405">
        <f>+M46/N46</f>
        <v>5.746421336934504</v>
      </c>
      <c r="P46" s="258"/>
    </row>
    <row r="47" spans="1:16" s="7" customFormat="1" ht="15">
      <c r="A47" s="104">
        <v>43</v>
      </c>
      <c r="B47" s="122" t="s">
        <v>188</v>
      </c>
      <c r="C47" s="120">
        <v>39101</v>
      </c>
      <c r="D47" s="129" t="s">
        <v>64</v>
      </c>
      <c r="E47" s="131" t="s">
        <v>189</v>
      </c>
      <c r="F47" s="289">
        <v>14</v>
      </c>
      <c r="G47" s="289">
        <v>1</v>
      </c>
      <c r="H47" s="289">
        <v>7</v>
      </c>
      <c r="I47" s="277">
        <v>1423</v>
      </c>
      <c r="J47" s="394">
        <v>285</v>
      </c>
      <c r="K47" s="434">
        <f>IF(I47&lt;&gt;0,J47/G47,"")</f>
        <v>285</v>
      </c>
      <c r="L47" s="399">
        <f>IF(I47&lt;&gt;0,I47/J47,"")</f>
        <v>4.992982456140351</v>
      </c>
      <c r="M47" s="438">
        <v>72980</v>
      </c>
      <c r="N47" s="439">
        <v>7366</v>
      </c>
      <c r="O47" s="290">
        <f>IF(M47&lt;&gt;0,M47/N47,"")</f>
        <v>9.90768395329894</v>
      </c>
      <c r="P47" s="258"/>
    </row>
    <row r="48" spans="1:16" s="7" customFormat="1" ht="15">
      <c r="A48" s="104">
        <v>44</v>
      </c>
      <c r="B48" s="266" t="s">
        <v>168</v>
      </c>
      <c r="C48" s="118">
        <v>39094</v>
      </c>
      <c r="D48" s="133" t="s">
        <v>23</v>
      </c>
      <c r="E48" s="132" t="s">
        <v>159</v>
      </c>
      <c r="F48" s="121">
        <v>2</v>
      </c>
      <c r="G48" s="121">
        <v>1</v>
      </c>
      <c r="H48" s="121">
        <v>7</v>
      </c>
      <c r="I48" s="268">
        <v>1402</v>
      </c>
      <c r="J48" s="269">
        <v>162</v>
      </c>
      <c r="K48" s="431">
        <f>J48/G48</f>
        <v>162</v>
      </c>
      <c r="L48" s="398">
        <f>I48/J48</f>
        <v>8.654320987654321</v>
      </c>
      <c r="M48" s="437">
        <f>1685+7070+4182+870+1068+308+1896+1402</f>
        <v>18481</v>
      </c>
      <c r="N48" s="436">
        <f>480+951+563+174+267+31+416+162</f>
        <v>3044</v>
      </c>
      <c r="O48" s="405">
        <f>+M48/N48</f>
        <v>6.071287779237845</v>
      </c>
      <c r="P48" s="258"/>
    </row>
    <row r="49" spans="1:16" s="7" customFormat="1" ht="15">
      <c r="A49" s="104">
        <v>45</v>
      </c>
      <c r="B49" s="264" t="s">
        <v>122</v>
      </c>
      <c r="C49" s="117">
        <v>39073</v>
      </c>
      <c r="D49" s="127" t="s">
        <v>48</v>
      </c>
      <c r="E49" s="127" t="s">
        <v>33</v>
      </c>
      <c r="F49" s="288">
        <v>112</v>
      </c>
      <c r="G49" s="288">
        <v>3</v>
      </c>
      <c r="H49" s="288">
        <v>11</v>
      </c>
      <c r="I49" s="271">
        <v>1360</v>
      </c>
      <c r="J49" s="395">
        <v>312</v>
      </c>
      <c r="K49" s="431">
        <f>J49/G49</f>
        <v>104</v>
      </c>
      <c r="L49" s="398">
        <f>I49/J49</f>
        <v>4.358974358974359</v>
      </c>
      <c r="M49" s="435">
        <f>789768+1289903.5+386658+174047.5+53640.5+11222+13202+16336.5+19067+4695+1360</f>
        <v>2759900</v>
      </c>
      <c r="N49" s="436">
        <f>106210+169709+52723+26534+10972+2184+2814+3779+3834+945+312</f>
        <v>380016</v>
      </c>
      <c r="O49" s="405">
        <f>+M49/N49</f>
        <v>7.2625889436234266</v>
      </c>
      <c r="P49" s="258"/>
    </row>
    <row r="50" spans="1:16" s="7" customFormat="1" ht="15">
      <c r="A50" s="104">
        <v>46</v>
      </c>
      <c r="B50" s="266" t="s">
        <v>242</v>
      </c>
      <c r="C50" s="118">
        <v>39115</v>
      </c>
      <c r="D50" s="133" t="s">
        <v>23</v>
      </c>
      <c r="E50" s="132" t="s">
        <v>33</v>
      </c>
      <c r="F50" s="121">
        <v>7</v>
      </c>
      <c r="G50" s="121">
        <v>5</v>
      </c>
      <c r="H50" s="121">
        <v>5</v>
      </c>
      <c r="I50" s="268">
        <v>1301</v>
      </c>
      <c r="J50" s="269">
        <v>199</v>
      </c>
      <c r="K50" s="431">
        <f>J50/G50</f>
        <v>39.8</v>
      </c>
      <c r="L50" s="398">
        <f>I50/J50</f>
        <v>6.5376884422110555</v>
      </c>
      <c r="M50" s="437">
        <f>17653+2664+2547+3149.5+1301</f>
        <v>27314.5</v>
      </c>
      <c r="N50" s="436">
        <f>1861+315+483+453+199</f>
        <v>3311</v>
      </c>
      <c r="O50" s="405">
        <f>+M50/N50</f>
        <v>8.249622470552703</v>
      </c>
      <c r="P50" s="258"/>
    </row>
    <row r="51" spans="1:16" s="7" customFormat="1" ht="15">
      <c r="A51" s="104">
        <v>47</v>
      </c>
      <c r="B51" s="265" t="s">
        <v>112</v>
      </c>
      <c r="C51" s="118">
        <v>39073</v>
      </c>
      <c r="D51" s="129" t="s">
        <v>57</v>
      </c>
      <c r="E51" s="129" t="s">
        <v>63</v>
      </c>
      <c r="F51" s="119">
        <v>91</v>
      </c>
      <c r="G51" s="119">
        <v>3</v>
      </c>
      <c r="H51" s="119">
        <v>11</v>
      </c>
      <c r="I51" s="268">
        <v>1004</v>
      </c>
      <c r="J51" s="269">
        <v>160</v>
      </c>
      <c r="K51" s="431">
        <f>J51/G51</f>
        <v>53.333333333333336</v>
      </c>
      <c r="L51" s="398">
        <f>I51/J51</f>
        <v>6.275</v>
      </c>
      <c r="M51" s="437">
        <v>1779477</v>
      </c>
      <c r="N51" s="436">
        <v>239088</v>
      </c>
      <c r="O51" s="405">
        <f>+M51/N51</f>
        <v>7.4427700260991765</v>
      </c>
      <c r="P51" s="258"/>
    </row>
    <row r="52" spans="1:16" s="7" customFormat="1" ht="15">
      <c r="A52" s="104">
        <v>48</v>
      </c>
      <c r="B52" s="264" t="s">
        <v>41</v>
      </c>
      <c r="C52" s="117">
        <v>39038</v>
      </c>
      <c r="D52" s="128" t="s">
        <v>56</v>
      </c>
      <c r="E52" s="127" t="s">
        <v>61</v>
      </c>
      <c r="F52" s="288">
        <v>103</v>
      </c>
      <c r="G52" s="288">
        <v>2</v>
      </c>
      <c r="H52" s="288">
        <v>16</v>
      </c>
      <c r="I52" s="270">
        <v>986</v>
      </c>
      <c r="J52" s="393">
        <v>181</v>
      </c>
      <c r="K52" s="434">
        <f>IF(I52&lt;&gt;0,J52/G52,"")</f>
        <v>90.5</v>
      </c>
      <c r="L52" s="399">
        <f>IF(I52&lt;&gt;0,I52/J52,"")</f>
        <v>5.447513812154696</v>
      </c>
      <c r="M52" s="432">
        <f>936218+573053+384209+225007+43677-1.5+14817+7970-0.5+2372+1812+6458+406+362+523+237+171+986</f>
        <v>2198276</v>
      </c>
      <c r="N52" s="433">
        <f>104381+65348+45327+26825+6248+3223+1455+338+360+1814+59+51+69+32+23+181</f>
        <v>255734</v>
      </c>
      <c r="O52" s="405">
        <f>+M52/N52</f>
        <v>8.595947351544964</v>
      </c>
      <c r="P52" s="258"/>
    </row>
    <row r="53" spans="1:16" s="7" customFormat="1" ht="15">
      <c r="A53" s="104">
        <v>49</v>
      </c>
      <c r="B53" s="265" t="s">
        <v>126</v>
      </c>
      <c r="C53" s="118">
        <v>39073</v>
      </c>
      <c r="D53" s="129" t="s">
        <v>12</v>
      </c>
      <c r="E53" s="129" t="s">
        <v>58</v>
      </c>
      <c r="F53" s="119">
        <v>186</v>
      </c>
      <c r="G53" s="119">
        <v>1</v>
      </c>
      <c r="H53" s="119">
        <v>10</v>
      </c>
      <c r="I53" s="268">
        <v>848</v>
      </c>
      <c r="J53" s="269">
        <v>350</v>
      </c>
      <c r="K53" s="431">
        <f>J53/G53</f>
        <v>350</v>
      </c>
      <c r="L53" s="398">
        <f>I53/J53</f>
        <v>2.422857142857143</v>
      </c>
      <c r="M53" s="437">
        <f>585035+996891+491242.5+184490.5+17956.5+82961.5+2380+24501+8405+848</f>
        <v>2394711</v>
      </c>
      <c r="N53" s="436">
        <f>86553+140459+66355+26647+3232+11969+430+4854+1984+350</f>
        <v>342833</v>
      </c>
      <c r="O53" s="290">
        <f>IF(M53&lt;&gt;0,M53/N53,"")</f>
        <v>6.985065615037059</v>
      </c>
      <c r="P53" s="258"/>
    </row>
    <row r="54" spans="1:16" s="7" customFormat="1" ht="15">
      <c r="A54" s="104">
        <v>50</v>
      </c>
      <c r="B54" s="265" t="s">
        <v>75</v>
      </c>
      <c r="C54" s="118">
        <v>39045</v>
      </c>
      <c r="D54" s="129" t="s">
        <v>12</v>
      </c>
      <c r="E54" s="129" t="s">
        <v>76</v>
      </c>
      <c r="F54" s="119">
        <v>59</v>
      </c>
      <c r="G54" s="119">
        <v>1</v>
      </c>
      <c r="H54" s="119">
        <v>15</v>
      </c>
      <c r="I54" s="268">
        <v>836</v>
      </c>
      <c r="J54" s="269">
        <v>161</v>
      </c>
      <c r="K54" s="431">
        <f>J54/G54</f>
        <v>161</v>
      </c>
      <c r="L54" s="398">
        <f>I54/J54</f>
        <v>5.192546583850931</v>
      </c>
      <c r="M54" s="437">
        <f>923228.5+937012.5+950194+628448.5+336851+386155+185586+7528+78557+38487.5+19951.5+79+2267.5-1008+9203+2435+1210+836</f>
        <v>4507022</v>
      </c>
      <c r="N54" s="436">
        <f>117837+123027+120667+81172+47916+61261+32646+795+14471+9345+4644+35+561-336+1591+487+300+161</f>
        <v>616580</v>
      </c>
      <c r="O54" s="405">
        <f>+M54/N54</f>
        <v>7.309711635148724</v>
      </c>
      <c r="P54" s="258"/>
    </row>
    <row r="55" spans="1:16" s="7" customFormat="1" ht="15">
      <c r="A55" s="104">
        <v>51</v>
      </c>
      <c r="B55" s="265" t="s">
        <v>180</v>
      </c>
      <c r="C55" s="118">
        <v>39080</v>
      </c>
      <c r="D55" s="129" t="s">
        <v>57</v>
      </c>
      <c r="E55" s="129" t="s">
        <v>60</v>
      </c>
      <c r="F55" s="119">
        <v>56</v>
      </c>
      <c r="G55" s="119">
        <v>2</v>
      </c>
      <c r="H55" s="119">
        <v>9</v>
      </c>
      <c r="I55" s="268">
        <v>832</v>
      </c>
      <c r="J55" s="269">
        <v>173</v>
      </c>
      <c r="K55" s="431">
        <f>J55/G55</f>
        <v>86.5</v>
      </c>
      <c r="L55" s="398">
        <f>I55/J55</f>
        <v>4.809248554913295</v>
      </c>
      <c r="M55" s="437">
        <v>2095073</v>
      </c>
      <c r="N55" s="436">
        <v>231014</v>
      </c>
      <c r="O55" s="405">
        <f>+M55/N55</f>
        <v>9.069030448371095</v>
      </c>
      <c r="P55" s="258"/>
    </row>
    <row r="56" spans="1:16" s="7" customFormat="1" ht="15">
      <c r="A56" s="104">
        <v>52</v>
      </c>
      <c r="B56" s="264" t="s">
        <v>144</v>
      </c>
      <c r="C56" s="117">
        <v>39087</v>
      </c>
      <c r="D56" s="128" t="s">
        <v>56</v>
      </c>
      <c r="E56" s="127" t="s">
        <v>240</v>
      </c>
      <c r="F56" s="288">
        <v>42</v>
      </c>
      <c r="G56" s="288">
        <v>1</v>
      </c>
      <c r="H56" s="288">
        <v>8</v>
      </c>
      <c r="I56" s="270">
        <v>754</v>
      </c>
      <c r="J56" s="393">
        <v>182</v>
      </c>
      <c r="K56" s="431">
        <f>J56/G56</f>
        <v>182</v>
      </c>
      <c r="L56" s="398">
        <f>I56/J56</f>
        <v>4.142857142857143</v>
      </c>
      <c r="M56" s="432">
        <f>108159+32855+2558+200+742+210+540+754</f>
        <v>146018</v>
      </c>
      <c r="N56" s="433">
        <f>12118+3977+379+20+153+40+103+182</f>
        <v>16972</v>
      </c>
      <c r="O56" s="405">
        <f>+M56/N56</f>
        <v>8.603464529813811</v>
      </c>
      <c r="P56" s="258"/>
    </row>
    <row r="57" spans="1:16" s="7" customFormat="1" ht="15">
      <c r="A57" s="104">
        <v>53</v>
      </c>
      <c r="B57" s="266" t="s">
        <v>148</v>
      </c>
      <c r="C57" s="118">
        <v>39087</v>
      </c>
      <c r="D57" s="133" t="s">
        <v>23</v>
      </c>
      <c r="E57" s="132" t="s">
        <v>149</v>
      </c>
      <c r="F57" s="121">
        <v>1</v>
      </c>
      <c r="G57" s="121">
        <v>1</v>
      </c>
      <c r="H57" s="121">
        <v>8</v>
      </c>
      <c r="I57" s="268">
        <v>707</v>
      </c>
      <c r="J57" s="269">
        <v>89</v>
      </c>
      <c r="K57" s="434">
        <f>IF(I57&lt;&gt;0,J57/G57,"")</f>
        <v>89</v>
      </c>
      <c r="L57" s="399">
        <f>IF(I57&lt;&gt;0,I57/J57,"")</f>
        <v>7.943820224719101</v>
      </c>
      <c r="M57" s="437">
        <f>22095+9204+7326+5702+4828+3872.5+1230+1085+707</f>
        <v>56049.5</v>
      </c>
      <c r="N57" s="436">
        <f>2920+1031+821+648+551+476+146+128+89</f>
        <v>6810</v>
      </c>
      <c r="O57" s="290">
        <f>IF(M57&lt;&gt;0,M57/N57,"")</f>
        <v>8.230469897209986</v>
      </c>
      <c r="P57" s="258"/>
    </row>
    <row r="58" spans="1:16" s="7" customFormat="1" ht="15">
      <c r="A58" s="104">
        <v>54</v>
      </c>
      <c r="B58" s="266" t="s">
        <v>118</v>
      </c>
      <c r="C58" s="118">
        <v>39073</v>
      </c>
      <c r="D58" s="133" t="s">
        <v>23</v>
      </c>
      <c r="E58" s="132" t="s">
        <v>98</v>
      </c>
      <c r="F58" s="121">
        <v>5</v>
      </c>
      <c r="G58" s="121">
        <v>1</v>
      </c>
      <c r="H58" s="121">
        <v>8</v>
      </c>
      <c r="I58" s="268">
        <v>464</v>
      </c>
      <c r="J58" s="269">
        <v>63</v>
      </c>
      <c r="K58" s="431">
        <f>J58/G58</f>
        <v>63</v>
      </c>
      <c r="L58" s="398">
        <f>I58/J58</f>
        <v>7.365079365079365</v>
      </c>
      <c r="M58" s="437">
        <f>8236.5+2937+796+64+1780+1780+1015+464</f>
        <v>17072.5</v>
      </c>
      <c r="N58" s="436">
        <f>976+367+81+7+445+445+135+63</f>
        <v>2519</v>
      </c>
      <c r="O58" s="405">
        <f>+M58/N58</f>
        <v>6.777491067884081</v>
      </c>
      <c r="P58" s="258"/>
    </row>
    <row r="59" spans="1:16" s="7" customFormat="1" ht="15">
      <c r="A59" s="104">
        <v>55</v>
      </c>
      <c r="B59" s="266" t="s">
        <v>94</v>
      </c>
      <c r="C59" s="118">
        <v>39010</v>
      </c>
      <c r="D59" s="133" t="s">
        <v>23</v>
      </c>
      <c r="E59" s="132" t="s">
        <v>85</v>
      </c>
      <c r="F59" s="121">
        <v>4</v>
      </c>
      <c r="G59" s="121">
        <v>2</v>
      </c>
      <c r="H59" s="121">
        <v>20</v>
      </c>
      <c r="I59" s="268">
        <v>351</v>
      </c>
      <c r="J59" s="269">
        <v>51</v>
      </c>
      <c r="K59" s="431">
        <f>J59/G59</f>
        <v>25.5</v>
      </c>
      <c r="L59" s="398">
        <f>I59/J59</f>
        <v>6.882352941176471</v>
      </c>
      <c r="M59" s="437">
        <f>29917+16679+11125+3878+2666+4428+2241.5+1511+3063+970+820+1894+1723+1526+175+2339+1780+357.5+159+2083+351</f>
        <v>89686</v>
      </c>
      <c r="N59" s="436">
        <f>3239+2157+1429+524+500+1570+699+278+431+179+191+394+386+373+27+447+445+84+37+384+51</f>
        <v>13825</v>
      </c>
      <c r="O59" s="405">
        <f>+M59/N59</f>
        <v>6.487233273056058</v>
      </c>
      <c r="P59" s="258"/>
    </row>
    <row r="60" spans="1:16" s="7" customFormat="1" ht="15">
      <c r="A60" s="104">
        <v>56</v>
      </c>
      <c r="B60" s="264" t="s">
        <v>123</v>
      </c>
      <c r="C60" s="117">
        <v>39066</v>
      </c>
      <c r="D60" s="128" t="s">
        <v>56</v>
      </c>
      <c r="E60" s="127" t="s">
        <v>69</v>
      </c>
      <c r="F60" s="288">
        <v>183</v>
      </c>
      <c r="G60" s="288">
        <v>2</v>
      </c>
      <c r="H60" s="288">
        <v>12</v>
      </c>
      <c r="I60" s="270">
        <v>346</v>
      </c>
      <c r="J60" s="393">
        <v>65</v>
      </c>
      <c r="K60" s="431">
        <f>J60/G60</f>
        <v>32.5</v>
      </c>
      <c r="L60" s="398">
        <f>I60/J60</f>
        <v>5.323076923076923</v>
      </c>
      <c r="M60" s="432">
        <f>1182111.5+571701+1057112+222438-23+32518+14705+6718+2937-1+2526+2701+500+346</f>
        <v>3096289.5</v>
      </c>
      <c r="N60" s="433">
        <f>169230+82491+151061+33037+6240+4042+1655+674+706+740+92+65</f>
        <v>450033</v>
      </c>
      <c r="O60" s="405">
        <f>+M60/N60</f>
        <v>6.880138789822079</v>
      </c>
      <c r="P60" s="258"/>
    </row>
    <row r="61" spans="1:16" s="7" customFormat="1" ht="15">
      <c r="A61" s="104">
        <v>57</v>
      </c>
      <c r="B61" s="266" t="s">
        <v>102</v>
      </c>
      <c r="C61" s="118">
        <v>39059</v>
      </c>
      <c r="D61" s="133" t="s">
        <v>23</v>
      </c>
      <c r="E61" s="132" t="s">
        <v>103</v>
      </c>
      <c r="F61" s="121">
        <v>4</v>
      </c>
      <c r="G61" s="121">
        <v>1</v>
      </c>
      <c r="H61" s="121">
        <v>10</v>
      </c>
      <c r="I61" s="268">
        <v>340</v>
      </c>
      <c r="J61" s="269">
        <v>68</v>
      </c>
      <c r="K61" s="431">
        <f>J61/G61</f>
        <v>68</v>
      </c>
      <c r="L61" s="398">
        <f>I61/J61</f>
        <v>5</v>
      </c>
      <c r="M61" s="437">
        <f>5003+5487+2620+995+115+453+952+1068+60+117+340</f>
        <v>17210</v>
      </c>
      <c r="N61" s="436">
        <f>1000+688+315+110+14+91+238+267+24+49+68</f>
        <v>2864</v>
      </c>
      <c r="O61" s="290">
        <f>IF(M61&lt;&gt;0,M61/N61,"")</f>
        <v>6.009078212290503</v>
      </c>
      <c r="P61" s="258"/>
    </row>
    <row r="62" spans="1:16" s="7" customFormat="1" ht="15">
      <c r="A62" s="104">
        <v>58</v>
      </c>
      <c r="B62" s="265" t="s">
        <v>130</v>
      </c>
      <c r="C62" s="118">
        <v>39059</v>
      </c>
      <c r="D62" s="129" t="s">
        <v>12</v>
      </c>
      <c r="E62" s="129" t="s">
        <v>131</v>
      </c>
      <c r="F62" s="119">
        <v>50</v>
      </c>
      <c r="G62" s="119">
        <v>1</v>
      </c>
      <c r="H62" s="119">
        <v>9</v>
      </c>
      <c r="I62" s="268">
        <v>297</v>
      </c>
      <c r="J62" s="269">
        <v>64</v>
      </c>
      <c r="K62" s="434">
        <f>IF(I62&lt;&gt;0,J62/G62,"")</f>
        <v>64</v>
      </c>
      <c r="L62" s="399">
        <f>IF(I62&lt;&gt;0,I62/J62,"")</f>
        <v>4.640625</v>
      </c>
      <c r="M62" s="437">
        <f>95976+27053.5+1651.5+10528+5178+408+2645+2752.5+299+297</f>
        <v>146788.5</v>
      </c>
      <c r="N62" s="436">
        <f>13133+4039+338+2058+1187+60+552+997+67+64</f>
        <v>22495</v>
      </c>
      <c r="O62" s="405">
        <f>+M62/N62</f>
        <v>6.525383418537452</v>
      </c>
      <c r="P62" s="258"/>
    </row>
    <row r="63" spans="1:16" s="7" customFormat="1" ht="15">
      <c r="A63" s="104">
        <v>59</v>
      </c>
      <c r="B63" s="265" t="s">
        <v>134</v>
      </c>
      <c r="C63" s="118">
        <v>39031</v>
      </c>
      <c r="D63" s="129" t="s">
        <v>12</v>
      </c>
      <c r="E63" s="129" t="s">
        <v>39</v>
      </c>
      <c r="F63" s="119">
        <v>18</v>
      </c>
      <c r="G63" s="119">
        <v>1</v>
      </c>
      <c r="H63" s="119">
        <v>10</v>
      </c>
      <c r="I63" s="268">
        <v>254</v>
      </c>
      <c r="J63" s="269">
        <v>57</v>
      </c>
      <c r="K63" s="431">
        <f>J63/G63</f>
        <v>57</v>
      </c>
      <c r="L63" s="398">
        <f>I63/J63</f>
        <v>4.456140350877193</v>
      </c>
      <c r="M63" s="437">
        <f>34669.5+21005.5+6946+14460+15870+11479+2850+3590+176+254+244.5</f>
        <v>111544.5</v>
      </c>
      <c r="N63" s="436">
        <f>4283+2703+1328+2949+3207+2286+639+746+44+57+55</f>
        <v>18297</v>
      </c>
      <c r="O63" s="405">
        <f>+M63/N63</f>
        <v>6.096327266765043</v>
      </c>
      <c r="P63" s="258"/>
    </row>
    <row r="64" spans="1:16" s="7" customFormat="1" ht="15">
      <c r="A64" s="104">
        <v>60</v>
      </c>
      <c r="B64" s="265" t="s">
        <v>128</v>
      </c>
      <c r="C64" s="118">
        <v>39066</v>
      </c>
      <c r="D64" s="129" t="s">
        <v>12</v>
      </c>
      <c r="E64" s="129" t="s">
        <v>115</v>
      </c>
      <c r="F64" s="119">
        <v>42</v>
      </c>
      <c r="G64" s="119">
        <v>1</v>
      </c>
      <c r="H64" s="119">
        <v>12</v>
      </c>
      <c r="I64" s="268">
        <v>160</v>
      </c>
      <c r="J64" s="269">
        <v>32</v>
      </c>
      <c r="K64" s="431">
        <f>J64/G64</f>
        <v>32</v>
      </c>
      <c r="L64" s="398">
        <f>I64/J64</f>
        <v>5</v>
      </c>
      <c r="M64" s="437">
        <f>209701.5+109863.5+41050.5+19306.5+225+6896.5+1781+2843+2025+5538.5+533+831+160</f>
        <v>400755</v>
      </c>
      <c r="N64" s="436">
        <f>27729+14260+5261+3088+18+1472+334+581+379+1614+148+256+32</f>
        <v>55172</v>
      </c>
      <c r="O64" s="405">
        <f>+M64/N64</f>
        <v>7.2637388530413975</v>
      </c>
      <c r="P64" s="258"/>
    </row>
    <row r="65" spans="1:16" s="7" customFormat="1" ht="15">
      <c r="A65" s="104">
        <v>61</v>
      </c>
      <c r="B65" s="265" t="s">
        <v>293</v>
      </c>
      <c r="C65" s="120">
        <v>38982</v>
      </c>
      <c r="D65" s="129" t="s">
        <v>64</v>
      </c>
      <c r="E65" s="130" t="s">
        <v>294</v>
      </c>
      <c r="F65" s="119">
        <v>18</v>
      </c>
      <c r="G65" s="289">
        <v>1</v>
      </c>
      <c r="H65" s="289">
        <v>8</v>
      </c>
      <c r="I65" s="277">
        <v>156</v>
      </c>
      <c r="J65" s="394">
        <v>52</v>
      </c>
      <c r="K65" s="431">
        <f>J65/G65</f>
        <v>52</v>
      </c>
      <c r="L65" s="398">
        <f>I65/J65</f>
        <v>3</v>
      </c>
      <c r="M65" s="438">
        <v>90963</v>
      </c>
      <c r="N65" s="439">
        <v>9848</v>
      </c>
      <c r="O65" s="290">
        <f>IF(M65&lt;&gt;0,M65/N65,"")</f>
        <v>9.236697806661251</v>
      </c>
      <c r="P65" s="258"/>
    </row>
    <row r="66" spans="1:16" s="7" customFormat="1" ht="15">
      <c r="A66" s="104">
        <v>62</v>
      </c>
      <c r="B66" s="265" t="s">
        <v>15</v>
      </c>
      <c r="C66" s="118">
        <v>38947</v>
      </c>
      <c r="D66" s="129" t="s">
        <v>12</v>
      </c>
      <c r="E66" s="129" t="s">
        <v>59</v>
      </c>
      <c r="F66" s="119">
        <v>106</v>
      </c>
      <c r="G66" s="119">
        <v>1</v>
      </c>
      <c r="H66" s="119">
        <v>24</v>
      </c>
      <c r="I66" s="268">
        <v>130</v>
      </c>
      <c r="J66" s="269">
        <v>18</v>
      </c>
      <c r="K66" s="431">
        <f>J66/G66</f>
        <v>18</v>
      </c>
      <c r="L66" s="398">
        <f>I66/J66</f>
        <v>7.222222222222222</v>
      </c>
      <c r="M66" s="437">
        <f>851045+613251.5+405140+216081+124391+88721.5+33772.5+20268.5+9628+2255.5+1314.5+2611.5+726.5+537.5+1115+625.5+6606+1330.5+1386+-611+1222+4532+530+28400+130</f>
        <v>2415010.5</v>
      </c>
      <c r="N66" s="436">
        <f>116878+84823+56865+31359+21609+17621+6633+4111+1582+390+233+473+110+78+157+95+2946+355+318+132+906+105+5667+18</f>
        <v>353464</v>
      </c>
      <c r="O66" s="405">
        <f>+M66/N66</f>
        <v>6.832408675282348</v>
      </c>
      <c r="P66" s="258"/>
    </row>
    <row r="67" spans="1:16" s="7" customFormat="1" ht="15">
      <c r="A67" s="104">
        <v>63</v>
      </c>
      <c r="B67" s="266" t="s">
        <v>295</v>
      </c>
      <c r="C67" s="118">
        <v>38996</v>
      </c>
      <c r="D67" s="133" t="s">
        <v>23</v>
      </c>
      <c r="E67" s="132" t="s">
        <v>191</v>
      </c>
      <c r="F67" s="121">
        <v>3</v>
      </c>
      <c r="G67" s="121">
        <v>1</v>
      </c>
      <c r="H67" s="121">
        <v>14</v>
      </c>
      <c r="I67" s="268">
        <v>104</v>
      </c>
      <c r="J67" s="269">
        <v>40</v>
      </c>
      <c r="K67" s="431">
        <f>J67/G67</f>
        <v>40</v>
      </c>
      <c r="L67" s="398">
        <f>I67/J67</f>
        <v>2.6</v>
      </c>
      <c r="M67" s="437">
        <f>10863.75+6916+6396+452+3034+1816+1662+291+902+2590+1209+247+34+170+104</f>
        <v>36686.75</v>
      </c>
      <c r="N67" s="436">
        <f>2246+865+798+56+383+419+554+86+266+722+403+45+6+34+40</f>
        <v>6923</v>
      </c>
      <c r="O67" s="405">
        <f>+M67/N67</f>
        <v>5.299256102845587</v>
      </c>
      <c r="P67" s="258"/>
    </row>
    <row r="68" spans="1:16" s="7" customFormat="1" ht="15">
      <c r="A68" s="104">
        <v>64</v>
      </c>
      <c r="B68" s="265" t="s">
        <v>113</v>
      </c>
      <c r="C68" s="118">
        <v>39066</v>
      </c>
      <c r="D68" s="129" t="s">
        <v>12</v>
      </c>
      <c r="E68" s="129" t="s">
        <v>59</v>
      </c>
      <c r="F68" s="119">
        <v>51</v>
      </c>
      <c r="G68" s="119">
        <v>1</v>
      </c>
      <c r="H68" s="119">
        <v>12</v>
      </c>
      <c r="I68" s="268">
        <v>76</v>
      </c>
      <c r="J68" s="269">
        <v>19</v>
      </c>
      <c r="K68" s="431">
        <f>J68/G68</f>
        <v>19</v>
      </c>
      <c r="L68" s="398">
        <f>I68/J68</f>
        <v>4</v>
      </c>
      <c r="M68" s="437">
        <f>413847+223134.5+144826+34457+11124+4855+6963+1425+4250+4097-648+1477+76+648</f>
        <v>850531.5</v>
      </c>
      <c r="N68" s="436">
        <f>50367+26840+18766+4967+1852+788+1244+168+551+838-138+305+19+138</f>
        <v>106705</v>
      </c>
      <c r="O68" s="405">
        <f>+M68/N68</f>
        <v>7.97086828171126</v>
      </c>
      <c r="P68" s="258"/>
    </row>
    <row r="69" spans="1:16" s="7" customFormat="1" ht="15.75" thickBot="1">
      <c r="A69" s="104">
        <v>65</v>
      </c>
      <c r="B69" s="449" t="s">
        <v>117</v>
      </c>
      <c r="C69" s="293">
        <v>39073</v>
      </c>
      <c r="D69" s="217" t="s">
        <v>12</v>
      </c>
      <c r="E69" s="217" t="s">
        <v>66</v>
      </c>
      <c r="F69" s="450">
        <v>50</v>
      </c>
      <c r="G69" s="450">
        <v>1</v>
      </c>
      <c r="H69" s="450">
        <v>11</v>
      </c>
      <c r="I69" s="409">
        <v>30</v>
      </c>
      <c r="J69" s="410">
        <v>5</v>
      </c>
      <c r="K69" s="451">
        <f>IF(I69&lt;&gt;0,J69/G69,"")</f>
        <v>5</v>
      </c>
      <c r="L69" s="452">
        <f>IF(I69&lt;&gt;0,I69/J69,"")</f>
        <v>6</v>
      </c>
      <c r="M69" s="453">
        <f>145565+155630+55982+15271+7453.5+9440+11300.5+7141.5+2772.5+2945+30</f>
        <v>413531</v>
      </c>
      <c r="N69" s="454">
        <f>17748+18932+7628+2641+1317+1724+2010+1184+553+655+5</f>
        <v>54397</v>
      </c>
      <c r="O69" s="455">
        <f>IF(M69&lt;&gt;0,M69/N69,"")</f>
        <v>7.60209202713385</v>
      </c>
      <c r="P69" s="258"/>
    </row>
    <row r="70" spans="1:16" s="116" customFormat="1" ht="15">
      <c r="A70" s="328" t="s">
        <v>50</v>
      </c>
      <c r="B70" s="329"/>
      <c r="C70" s="106"/>
      <c r="D70" s="107" t="s">
        <v>288</v>
      </c>
      <c r="E70" s="108"/>
      <c r="F70" s="107"/>
      <c r="G70" s="109">
        <f>SUM(G5:G69)</f>
        <v>1107</v>
      </c>
      <c r="H70" s="107"/>
      <c r="I70" s="110">
        <f>SUM(I5:I69)</f>
        <v>5088138.05</v>
      </c>
      <c r="J70" s="111">
        <f>SUM(J5:J69)</f>
        <v>653287</v>
      </c>
      <c r="K70" s="112">
        <f>J70/G70</f>
        <v>590.1418247515809</v>
      </c>
      <c r="L70" s="113">
        <f>I70/J70</f>
        <v>7.7885187520951735</v>
      </c>
      <c r="M70" s="114"/>
      <c r="N70" s="112"/>
      <c r="O70" s="115"/>
      <c r="P70" s="260"/>
    </row>
    <row r="71" spans="1:16" s="13" customFormat="1" ht="15">
      <c r="A71" s="330" t="s">
        <v>49</v>
      </c>
      <c r="B71" s="331"/>
      <c r="C71" s="29"/>
      <c r="D71" s="30" t="s">
        <v>272</v>
      </c>
      <c r="E71" s="28"/>
      <c r="F71" s="30"/>
      <c r="G71" s="31">
        <v>1337</v>
      </c>
      <c r="H71" s="30"/>
      <c r="I71" s="46">
        <v>5270968</v>
      </c>
      <c r="J71" s="95">
        <v>674938</v>
      </c>
      <c r="K71" s="112">
        <f>J71/G71</f>
        <v>504.8152580403889</v>
      </c>
      <c r="L71" s="32">
        <f>I71/J71</f>
        <v>7.809558803919767</v>
      </c>
      <c r="M71" s="39"/>
      <c r="N71" s="36"/>
      <c r="O71" s="42"/>
      <c r="P71" s="258"/>
    </row>
    <row r="72" spans="1:16" s="7" customFormat="1" ht="13.5">
      <c r="A72" s="52"/>
      <c r="C72" s="11"/>
      <c r="D72" s="15"/>
      <c r="E72" s="15"/>
      <c r="F72" s="8"/>
      <c r="G72" s="8"/>
      <c r="H72" s="8"/>
      <c r="I72" s="47"/>
      <c r="J72" s="33"/>
      <c r="K72" s="34"/>
      <c r="L72" s="21"/>
      <c r="M72" s="40"/>
      <c r="N72" s="34"/>
      <c r="O72" s="43"/>
      <c r="P72" s="258"/>
    </row>
    <row r="73" spans="1:16" s="7" customFormat="1" ht="15">
      <c r="A73" s="52"/>
      <c r="B73" s="336"/>
      <c r="C73" s="336"/>
      <c r="D73" s="339"/>
      <c r="E73" s="339"/>
      <c r="F73" s="339"/>
      <c r="G73" s="22"/>
      <c r="H73" s="8"/>
      <c r="I73" s="47"/>
      <c r="J73" s="33"/>
      <c r="K73" s="337" t="s">
        <v>47</v>
      </c>
      <c r="L73" s="338"/>
      <c r="M73" s="338"/>
      <c r="N73" s="338"/>
      <c r="O73" s="338"/>
      <c r="P73" s="258"/>
    </row>
    <row r="74" spans="1:16" s="7" customFormat="1" ht="15.75" thickBot="1">
      <c r="A74" s="52"/>
      <c r="B74" s="336"/>
      <c r="C74" s="336"/>
      <c r="D74" s="190"/>
      <c r="E74" s="191"/>
      <c r="F74" s="191"/>
      <c r="G74" s="8"/>
      <c r="H74" s="23"/>
      <c r="I74" s="47"/>
      <c r="J74" s="33"/>
      <c r="K74" s="338"/>
      <c r="L74" s="338"/>
      <c r="M74" s="338"/>
      <c r="N74" s="338"/>
      <c r="O74" s="338"/>
      <c r="P74" s="258"/>
    </row>
    <row r="75" spans="1:16" s="7" customFormat="1" ht="15">
      <c r="A75" s="62"/>
      <c r="B75" s="59" t="s">
        <v>51</v>
      </c>
      <c r="C75" s="332" t="s">
        <v>88</v>
      </c>
      <c r="D75" s="333"/>
      <c r="E75" s="333"/>
      <c r="F75" s="334"/>
      <c r="G75" s="8"/>
      <c r="H75" s="23"/>
      <c r="I75" s="47"/>
      <c r="J75" s="33"/>
      <c r="K75" s="338"/>
      <c r="L75" s="338"/>
      <c r="M75" s="338"/>
      <c r="N75" s="338"/>
      <c r="O75" s="338"/>
      <c r="P75" s="258"/>
    </row>
    <row r="76" spans="1:16" s="7" customFormat="1" ht="15">
      <c r="A76" s="69"/>
      <c r="B76" s="70"/>
      <c r="C76" s="71" t="s">
        <v>89</v>
      </c>
      <c r="D76" s="72" t="s">
        <v>6</v>
      </c>
      <c r="E76" s="72" t="s">
        <v>90</v>
      </c>
      <c r="F76" s="73" t="s">
        <v>0</v>
      </c>
      <c r="G76" s="8"/>
      <c r="H76" s="23"/>
      <c r="I76" s="47"/>
      <c r="J76" s="33"/>
      <c r="K76" s="335" t="s">
        <v>287</v>
      </c>
      <c r="L76" s="335"/>
      <c r="M76" s="335"/>
      <c r="N76" s="335"/>
      <c r="O76" s="335"/>
      <c r="P76" s="258"/>
    </row>
    <row r="77" spans="1:16" s="7" customFormat="1" ht="15">
      <c r="A77" s="65">
        <v>1</v>
      </c>
      <c r="B77" s="66" t="s">
        <v>11</v>
      </c>
      <c r="C77" s="167" t="s">
        <v>269</v>
      </c>
      <c r="D77" s="67">
        <v>2301130</v>
      </c>
      <c r="E77" s="68">
        <v>286844</v>
      </c>
      <c r="F77" s="261">
        <f>D77/E77</f>
        <v>8.022235082483858</v>
      </c>
      <c r="G77" s="8"/>
      <c r="H77" s="23"/>
      <c r="I77" s="47"/>
      <c r="J77" s="33"/>
      <c r="K77" s="335"/>
      <c r="L77" s="335"/>
      <c r="M77" s="335"/>
      <c r="N77" s="335"/>
      <c r="O77" s="335"/>
      <c r="P77" s="258"/>
    </row>
    <row r="78" spans="1:16" s="7" customFormat="1" ht="15">
      <c r="A78" s="63">
        <v>2</v>
      </c>
      <c r="B78" s="60" t="s">
        <v>45</v>
      </c>
      <c r="C78" s="168" t="s">
        <v>298</v>
      </c>
      <c r="D78" s="54">
        <v>918515.55</v>
      </c>
      <c r="E78" s="55">
        <v>128562</v>
      </c>
      <c r="F78" s="261">
        <f>D78/E78</f>
        <v>7.144533765809493</v>
      </c>
      <c r="G78" s="8"/>
      <c r="H78" s="23"/>
      <c r="I78" s="47"/>
      <c r="J78" s="33"/>
      <c r="K78" s="335"/>
      <c r="L78" s="335"/>
      <c r="M78" s="335"/>
      <c r="N78" s="335"/>
      <c r="O78" s="335"/>
      <c r="P78" s="258"/>
    </row>
    <row r="79" spans="1:16" s="7" customFormat="1" ht="15">
      <c r="A79" s="63">
        <v>3</v>
      </c>
      <c r="B79" s="60" t="s">
        <v>12</v>
      </c>
      <c r="C79" s="168" t="s">
        <v>318</v>
      </c>
      <c r="D79" s="54">
        <v>704645</v>
      </c>
      <c r="E79" s="55">
        <v>91845</v>
      </c>
      <c r="F79" s="261">
        <f>D79/E79</f>
        <v>7.672110621155207</v>
      </c>
      <c r="G79" s="8"/>
      <c r="H79" s="23"/>
      <c r="I79" s="47"/>
      <c r="J79" s="33"/>
      <c r="K79" s="34"/>
      <c r="L79" s="21"/>
      <c r="M79" s="18"/>
      <c r="N79" s="34"/>
      <c r="O79" s="43"/>
      <c r="P79" s="258"/>
    </row>
    <row r="80" spans="1:16" s="7" customFormat="1" ht="15">
      <c r="A80" s="63">
        <v>4</v>
      </c>
      <c r="B80" s="60" t="s">
        <v>44</v>
      </c>
      <c r="C80" s="168" t="s">
        <v>230</v>
      </c>
      <c r="D80" s="54">
        <v>415434</v>
      </c>
      <c r="E80" s="55">
        <v>54326</v>
      </c>
      <c r="F80" s="261">
        <f>D80/E80</f>
        <v>7.647056657953835</v>
      </c>
      <c r="G80" s="8"/>
      <c r="H80" s="325" t="s">
        <v>99</v>
      </c>
      <c r="I80" s="326"/>
      <c r="J80" s="326"/>
      <c r="K80" s="326"/>
      <c r="L80" s="326"/>
      <c r="M80" s="326"/>
      <c r="N80" s="326"/>
      <c r="O80" s="326"/>
      <c r="P80" s="258"/>
    </row>
    <row r="81" spans="1:16" s="27" customFormat="1" ht="15">
      <c r="A81" s="63">
        <v>5</v>
      </c>
      <c r="B81" s="60" t="s">
        <v>73</v>
      </c>
      <c r="C81" s="168" t="s">
        <v>37</v>
      </c>
      <c r="D81" s="54">
        <v>321974</v>
      </c>
      <c r="E81" s="55">
        <v>39403</v>
      </c>
      <c r="F81" s="261">
        <f>D81/E81</f>
        <v>8.171306753292896</v>
      </c>
      <c r="G81" s="49"/>
      <c r="H81" s="326"/>
      <c r="I81" s="326"/>
      <c r="J81" s="326"/>
      <c r="K81" s="326"/>
      <c r="L81" s="326"/>
      <c r="M81" s="326"/>
      <c r="N81" s="326"/>
      <c r="O81" s="326"/>
      <c r="P81" s="258"/>
    </row>
    <row r="82" spans="1:16" s="27" customFormat="1" ht="15">
      <c r="A82" s="63">
        <v>6</v>
      </c>
      <c r="B82" s="60" t="s">
        <v>48</v>
      </c>
      <c r="C82" s="168" t="s">
        <v>37</v>
      </c>
      <c r="D82" s="54">
        <v>234573.5</v>
      </c>
      <c r="E82" s="55">
        <v>30878</v>
      </c>
      <c r="F82" s="261">
        <f>D82/E82</f>
        <v>7.5967841181423665</v>
      </c>
      <c r="G82" s="26"/>
      <c r="H82" s="326"/>
      <c r="I82" s="326"/>
      <c r="J82" s="326"/>
      <c r="K82" s="326"/>
      <c r="L82" s="326"/>
      <c r="M82" s="326"/>
      <c r="N82" s="326"/>
      <c r="O82" s="326"/>
      <c r="P82" s="258"/>
    </row>
    <row r="83" spans="1:16" s="27" customFormat="1" ht="15">
      <c r="A83" s="63">
        <v>7</v>
      </c>
      <c r="B83" s="60" t="s">
        <v>23</v>
      </c>
      <c r="C83" s="168" t="s">
        <v>317</v>
      </c>
      <c r="D83" s="54">
        <v>184941</v>
      </c>
      <c r="E83" s="55">
        <v>19310</v>
      </c>
      <c r="F83" s="261">
        <f>D83/E83</f>
        <v>9.5774728120145</v>
      </c>
      <c r="G83" s="26"/>
      <c r="H83" s="326"/>
      <c r="I83" s="326"/>
      <c r="J83" s="326"/>
      <c r="K83" s="326"/>
      <c r="L83" s="326"/>
      <c r="M83" s="326"/>
      <c r="N83" s="326"/>
      <c r="O83" s="326"/>
      <c r="P83" s="258"/>
    </row>
    <row r="84" spans="1:16" s="27" customFormat="1" ht="15">
      <c r="A84" s="63">
        <v>8</v>
      </c>
      <c r="B84" s="60" t="s">
        <v>46</v>
      </c>
      <c r="C84" s="168" t="s">
        <v>20</v>
      </c>
      <c r="D84" s="54">
        <v>5346</v>
      </c>
      <c r="E84" s="55">
        <v>1782</v>
      </c>
      <c r="F84" s="261">
        <f>D84/E84</f>
        <v>3</v>
      </c>
      <c r="G84" s="26"/>
      <c r="H84" s="326"/>
      <c r="I84" s="326"/>
      <c r="J84" s="326"/>
      <c r="K84" s="326"/>
      <c r="L84" s="326"/>
      <c r="M84" s="326"/>
      <c r="N84" s="326"/>
      <c r="O84" s="326"/>
      <c r="P84" s="258"/>
    </row>
    <row r="85" spans="1:16" s="27" customFormat="1" ht="15">
      <c r="A85" s="63">
        <v>9</v>
      </c>
      <c r="B85" s="60" t="s">
        <v>64</v>
      </c>
      <c r="C85" s="168" t="s">
        <v>37</v>
      </c>
      <c r="D85" s="54">
        <v>1579</v>
      </c>
      <c r="E85" s="55">
        <v>337</v>
      </c>
      <c r="F85" s="261">
        <f>D85/E85</f>
        <v>4.685459940652819</v>
      </c>
      <c r="G85" s="26"/>
      <c r="H85" s="326"/>
      <c r="I85" s="326"/>
      <c r="J85" s="326"/>
      <c r="K85" s="326"/>
      <c r="L85" s="326"/>
      <c r="M85" s="326"/>
      <c r="N85" s="326"/>
      <c r="O85" s="326"/>
      <c r="P85" s="258"/>
    </row>
    <row r="86" spans="1:16" s="27" customFormat="1" ht="15">
      <c r="A86" s="63">
        <v>10</v>
      </c>
      <c r="B86" s="60" t="s">
        <v>74</v>
      </c>
      <c r="C86" s="168" t="s">
        <v>86</v>
      </c>
      <c r="D86" s="54" t="s">
        <v>86</v>
      </c>
      <c r="E86" s="55" t="s">
        <v>86</v>
      </c>
      <c r="F86" s="56" t="s">
        <v>86</v>
      </c>
      <c r="G86" s="26"/>
      <c r="H86" s="327" t="s">
        <v>19</v>
      </c>
      <c r="I86" s="326"/>
      <c r="J86" s="326"/>
      <c r="K86" s="326"/>
      <c r="L86" s="326"/>
      <c r="M86" s="326"/>
      <c r="N86" s="326"/>
      <c r="O86" s="326"/>
      <c r="P86" s="258"/>
    </row>
    <row r="87" spans="1:16" s="27" customFormat="1" ht="15">
      <c r="A87" s="63">
        <v>11</v>
      </c>
      <c r="B87" s="60" t="s">
        <v>68</v>
      </c>
      <c r="C87" s="168" t="s">
        <v>86</v>
      </c>
      <c r="D87" s="54" t="s">
        <v>86</v>
      </c>
      <c r="E87" s="55" t="s">
        <v>86</v>
      </c>
      <c r="F87" s="56" t="s">
        <v>86</v>
      </c>
      <c r="G87" s="26"/>
      <c r="H87" s="326"/>
      <c r="I87" s="326"/>
      <c r="J87" s="326"/>
      <c r="K87" s="326"/>
      <c r="L87" s="326"/>
      <c r="M87" s="326"/>
      <c r="N87" s="326"/>
      <c r="O87" s="326"/>
      <c r="P87" s="258"/>
    </row>
    <row r="88" spans="1:16" s="27" customFormat="1" ht="15.75" thickBot="1">
      <c r="A88" s="64">
        <v>12</v>
      </c>
      <c r="B88" s="61" t="s">
        <v>67</v>
      </c>
      <c r="C88" s="169" t="s">
        <v>86</v>
      </c>
      <c r="D88" s="57" t="s">
        <v>86</v>
      </c>
      <c r="E88" s="58" t="s">
        <v>86</v>
      </c>
      <c r="F88" s="468" t="s">
        <v>86</v>
      </c>
      <c r="G88" s="26"/>
      <c r="H88" s="326"/>
      <c r="I88" s="326"/>
      <c r="J88" s="326"/>
      <c r="K88" s="326"/>
      <c r="L88" s="326"/>
      <c r="M88" s="326"/>
      <c r="N88" s="326"/>
      <c r="O88" s="326"/>
      <c r="P88" s="258"/>
    </row>
    <row r="89" spans="1:16" s="27" customFormat="1" ht="18">
      <c r="A89" s="52"/>
      <c r="B89" s="4"/>
      <c r="C89" s="12"/>
      <c r="D89" s="16"/>
      <c r="E89" s="16"/>
      <c r="F89" s="6"/>
      <c r="G89" s="26"/>
      <c r="H89" s="326"/>
      <c r="I89" s="326"/>
      <c r="J89" s="326"/>
      <c r="K89" s="326"/>
      <c r="L89" s="326"/>
      <c r="M89" s="326"/>
      <c r="N89" s="326"/>
      <c r="O89" s="326"/>
      <c r="P89" s="258"/>
    </row>
    <row r="90" spans="1:16" s="27" customFormat="1" ht="18">
      <c r="A90" s="52"/>
      <c r="B90" s="4"/>
      <c r="C90" s="12"/>
      <c r="D90" s="16"/>
      <c r="E90" s="16"/>
      <c r="F90" s="6"/>
      <c r="G90" s="26"/>
      <c r="H90" s="326"/>
      <c r="I90" s="326"/>
      <c r="J90" s="326"/>
      <c r="K90" s="326"/>
      <c r="L90" s="326"/>
      <c r="M90" s="326"/>
      <c r="N90" s="326"/>
      <c r="O90" s="326"/>
      <c r="P90" s="258"/>
    </row>
    <row r="91" spans="1:16" s="27" customFormat="1" ht="15">
      <c r="A91" s="52"/>
      <c r="B91" s="74"/>
      <c r="C91" s="166"/>
      <c r="D91" s="74"/>
      <c r="E91" s="74"/>
      <c r="F91" s="74"/>
      <c r="G91" s="26"/>
      <c r="H91" s="326"/>
      <c r="I91" s="326"/>
      <c r="J91" s="326"/>
      <c r="K91" s="326"/>
      <c r="L91" s="326"/>
      <c r="M91" s="326"/>
      <c r="N91" s="326"/>
      <c r="O91" s="326"/>
      <c r="P91" s="258"/>
    </row>
    <row r="92" spans="1:16" s="27" customFormat="1" ht="15">
      <c r="A92" s="52"/>
      <c r="B92" s="74"/>
      <c r="C92" s="166"/>
      <c r="D92" s="74"/>
      <c r="E92" s="74"/>
      <c r="F92" s="74"/>
      <c r="G92" s="26"/>
      <c r="H92" s="326"/>
      <c r="I92" s="326"/>
      <c r="J92" s="326"/>
      <c r="K92" s="326"/>
      <c r="L92" s="326"/>
      <c r="M92" s="326"/>
      <c r="N92" s="326"/>
      <c r="O92" s="326"/>
      <c r="P92" s="258"/>
    </row>
    <row r="93" spans="1:16" s="27" customFormat="1" ht="15">
      <c r="A93" s="52"/>
      <c r="B93" s="74"/>
      <c r="C93" s="166"/>
      <c r="D93" s="74"/>
      <c r="E93" s="74"/>
      <c r="F93" s="74"/>
      <c r="G93" s="26"/>
      <c r="H93" s="75"/>
      <c r="I93" s="125"/>
      <c r="J93" s="125"/>
      <c r="K93" s="75"/>
      <c r="L93" s="75"/>
      <c r="M93" s="75"/>
      <c r="N93" s="75"/>
      <c r="O93" s="75"/>
      <c r="P93" s="258"/>
    </row>
    <row r="94" spans="1:16" s="27" customFormat="1" ht="15">
      <c r="A94" s="52"/>
      <c r="B94" s="74"/>
      <c r="C94" s="166"/>
      <c r="D94" s="74"/>
      <c r="E94" s="74"/>
      <c r="F94" s="74"/>
      <c r="G94" s="26"/>
      <c r="H94" s="75"/>
      <c r="I94" s="125"/>
      <c r="J94" s="125"/>
      <c r="K94" s="75"/>
      <c r="L94" s="75"/>
      <c r="M94" s="75"/>
      <c r="N94" s="75"/>
      <c r="O94" s="75"/>
      <c r="P94" s="258"/>
    </row>
    <row r="95" spans="2:6" ht="18">
      <c r="B95" s="74"/>
      <c r="C95" s="166"/>
      <c r="D95" s="74"/>
      <c r="E95" s="74"/>
      <c r="F95" s="74"/>
    </row>
    <row r="96" spans="2:6" ht="18">
      <c r="B96" s="74"/>
      <c r="C96" s="166"/>
      <c r="D96" s="74"/>
      <c r="E96" s="74"/>
      <c r="F96" s="74"/>
    </row>
    <row r="97" spans="2:15" ht="18">
      <c r="B97" s="74"/>
      <c r="C97" s="166"/>
      <c r="D97" s="74"/>
      <c r="E97" s="74"/>
      <c r="F97" s="74"/>
      <c r="G97" s="74"/>
      <c r="H97" s="74"/>
      <c r="I97" s="126"/>
      <c r="J97" s="126"/>
      <c r="K97" s="74"/>
      <c r="L97" s="74"/>
      <c r="M97" s="74"/>
      <c r="N97" s="74"/>
      <c r="O97" s="74"/>
    </row>
    <row r="98" spans="2:15" ht="18">
      <c r="B98" s="74"/>
      <c r="C98" s="166"/>
      <c r="D98" s="74"/>
      <c r="E98" s="74"/>
      <c r="F98" s="74"/>
      <c r="G98" s="74"/>
      <c r="H98" s="74"/>
      <c r="I98" s="126"/>
      <c r="J98" s="126"/>
      <c r="K98" s="74"/>
      <c r="L98" s="74"/>
      <c r="M98" s="74"/>
      <c r="N98" s="74"/>
      <c r="O98" s="74"/>
    </row>
    <row r="99" spans="2:15" ht="18">
      <c r="B99" s="74"/>
      <c r="C99" s="166"/>
      <c r="D99" s="74"/>
      <c r="E99" s="74"/>
      <c r="F99" s="74"/>
      <c r="G99" s="74"/>
      <c r="H99" s="74"/>
      <c r="I99" s="126"/>
      <c r="J99" s="126"/>
      <c r="K99" s="74"/>
      <c r="L99" s="74"/>
      <c r="M99" s="74"/>
      <c r="N99" s="74"/>
      <c r="O99" s="74"/>
    </row>
    <row r="100" spans="2:15" ht="18">
      <c r="B100" s="74"/>
      <c r="C100" s="166"/>
      <c r="D100" s="74"/>
      <c r="E100" s="74"/>
      <c r="F100" s="74"/>
      <c r="G100" s="74"/>
      <c r="H100" s="74"/>
      <c r="I100" s="126"/>
      <c r="J100" s="126"/>
      <c r="K100" s="74"/>
      <c r="L100" s="74"/>
      <c r="M100" s="74"/>
      <c r="N100" s="74"/>
      <c r="O100" s="74"/>
    </row>
    <row r="101" spans="2:15" ht="18">
      <c r="B101" s="74"/>
      <c r="C101" s="166"/>
      <c r="D101" s="74"/>
      <c r="E101" s="74"/>
      <c r="F101" s="74"/>
      <c r="G101" s="74"/>
      <c r="H101" s="74"/>
      <c r="I101" s="126"/>
      <c r="J101" s="126"/>
      <c r="K101" s="74"/>
      <c r="L101" s="74"/>
      <c r="M101" s="74"/>
      <c r="N101" s="74"/>
      <c r="O101" s="74"/>
    </row>
    <row r="102" spans="2:15" ht="18">
      <c r="B102" s="74"/>
      <c r="C102" s="166"/>
      <c r="D102" s="74"/>
      <c r="E102" s="74"/>
      <c r="F102" s="74"/>
      <c r="G102" s="74"/>
      <c r="H102" s="74"/>
      <c r="I102" s="126"/>
      <c r="J102" s="126"/>
      <c r="K102" s="74"/>
      <c r="L102" s="74"/>
      <c r="M102" s="74"/>
      <c r="N102" s="74"/>
      <c r="O102" s="74"/>
    </row>
    <row r="103" spans="2:15" ht="18">
      <c r="B103" s="74"/>
      <c r="C103" s="166"/>
      <c r="D103" s="74"/>
      <c r="E103" s="74"/>
      <c r="F103" s="74"/>
      <c r="G103" s="74"/>
      <c r="H103" s="74"/>
      <c r="I103" s="126"/>
      <c r="J103" s="126"/>
      <c r="K103" s="74"/>
      <c r="L103" s="74"/>
      <c r="M103" s="74"/>
      <c r="N103" s="74"/>
      <c r="O103" s="74"/>
    </row>
    <row r="104" spans="2:15" ht="18">
      <c r="B104" s="74"/>
      <c r="C104" s="166"/>
      <c r="D104" s="74"/>
      <c r="E104" s="74"/>
      <c r="F104" s="74"/>
      <c r="G104" s="74"/>
      <c r="H104" s="74"/>
      <c r="I104" s="126"/>
      <c r="J104" s="126"/>
      <c r="K104" s="74"/>
      <c r="L104" s="74"/>
      <c r="M104" s="74"/>
      <c r="N104" s="74"/>
      <c r="O104" s="74"/>
    </row>
    <row r="105" spans="7:15" ht="18">
      <c r="G105" s="74"/>
      <c r="H105" s="74"/>
      <c r="I105" s="126"/>
      <c r="J105" s="126"/>
      <c r="K105" s="74"/>
      <c r="L105" s="74"/>
      <c r="M105" s="74"/>
      <c r="N105" s="74"/>
      <c r="O105" s="74"/>
    </row>
    <row r="106" spans="7:15" ht="18">
      <c r="G106" s="74"/>
      <c r="H106" s="74"/>
      <c r="I106" s="126"/>
      <c r="J106" s="126"/>
      <c r="K106" s="74"/>
      <c r="L106" s="74"/>
      <c r="M106" s="74"/>
      <c r="N106" s="74"/>
      <c r="O106" s="74"/>
    </row>
    <row r="107" spans="7:15" ht="18">
      <c r="G107" s="74"/>
      <c r="H107" s="74"/>
      <c r="I107" s="126"/>
      <c r="J107" s="126"/>
      <c r="K107" s="74"/>
      <c r="L107" s="74"/>
      <c r="M107" s="74"/>
      <c r="N107" s="74"/>
      <c r="O107" s="74"/>
    </row>
    <row r="108" spans="7:15" ht="18">
      <c r="G108" s="74"/>
      <c r="H108" s="74"/>
      <c r="I108" s="126"/>
      <c r="J108" s="126"/>
      <c r="K108" s="74"/>
      <c r="L108" s="74"/>
      <c r="M108" s="74"/>
      <c r="N108" s="74"/>
      <c r="O108" s="74"/>
    </row>
    <row r="109" spans="7:15" ht="18">
      <c r="G109" s="74"/>
      <c r="H109" s="74"/>
      <c r="I109" s="126"/>
      <c r="J109" s="126"/>
      <c r="K109" s="74"/>
      <c r="L109" s="74"/>
      <c r="M109" s="74"/>
      <c r="N109" s="74"/>
      <c r="O109" s="74"/>
    </row>
    <row r="110" spans="7:15" ht="18">
      <c r="G110" s="74"/>
      <c r="H110" s="74"/>
      <c r="I110" s="126"/>
      <c r="J110" s="126"/>
      <c r="K110" s="74"/>
      <c r="L110" s="74"/>
      <c r="M110" s="74"/>
      <c r="N110" s="74"/>
      <c r="O110" s="74"/>
    </row>
  </sheetData>
  <sheetProtection insertRows="0" deleteRows="0" sort="0"/>
  <mergeCells count="19">
    <mergeCell ref="A2:O2"/>
    <mergeCell ref="M3:O3"/>
    <mergeCell ref="G3:G4"/>
    <mergeCell ref="F3:F4"/>
    <mergeCell ref="B3:B4"/>
    <mergeCell ref="D3:D4"/>
    <mergeCell ref="H3:H4"/>
    <mergeCell ref="I3:L3"/>
    <mergeCell ref="C3:C4"/>
    <mergeCell ref="E3:E4"/>
    <mergeCell ref="H80:O85"/>
    <mergeCell ref="H86:O92"/>
    <mergeCell ref="A70:B70"/>
    <mergeCell ref="A71:B71"/>
    <mergeCell ref="C75:F75"/>
    <mergeCell ref="K76:O78"/>
    <mergeCell ref="B73:C74"/>
    <mergeCell ref="K73:O75"/>
    <mergeCell ref="D73:F73"/>
  </mergeCells>
  <printOptions horizontalCentered="1" verticalCentered="1"/>
  <pageMargins left="0.53" right="0.19" top="0.5905511811023623" bottom="0.5" header="0.5118110236220472" footer="0.45"/>
  <pageSetup orientation="portrait" paperSize="9" scale="45" r:id="rId2"/>
  <ignoredErrors>
    <ignoredError sqref="H19:H68 O67:O68 K8:L10 O8:O10 F8:F68 G19:G68 G8:G17 I8:J68 H8:H17 C77:E85" numberStoredAsText="1"/>
    <ignoredError sqref="M70:N71 M6:M7 N6:N7" unlockedFormula="1"/>
    <ignoredError sqref="K70:L70 K69:M69 K11:L11 K16:L38 K42:L62" formula="1"/>
    <ignoredError sqref="O11:O66 M8:M10 N8:N68 F77:F85 M11:M68" numberStoredAsText="1" formula="1"/>
    <ignoredError sqref="M8:M10 N8:N68 F77:F85" numberStoredAsText="1" unlockedFormula="1"/>
    <ignoredError sqref="M11:M68"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L74"/>
  <sheetViews>
    <sheetView zoomScale="50" zoomScaleNormal="50" workbookViewId="0" topLeftCell="A1">
      <selection activeCell="B2" sqref="B2:B3"/>
    </sheetView>
  </sheetViews>
  <sheetFormatPr defaultColWidth="9.140625" defaultRowHeight="12.75"/>
  <cols>
    <col min="1" max="1" width="3.00390625" style="93" bestFit="1" customWidth="1"/>
    <col min="2" max="2" width="39.00390625" style="88" bestFit="1" customWidth="1"/>
    <col min="3" max="3" width="10.140625" style="50" customWidth="1"/>
    <col min="4" max="4" width="13.140625" style="50" bestFit="1" customWidth="1"/>
    <col min="5" max="5" width="15.00390625" style="50" customWidth="1"/>
    <col min="6" max="6" width="6.421875" style="50" bestFit="1" customWidth="1"/>
    <col min="7" max="7" width="9.28125" style="50" customWidth="1"/>
    <col min="8" max="8" width="16.7109375" style="89" bestFit="1" customWidth="1"/>
    <col min="9" max="9" width="11.7109375" style="100" customWidth="1"/>
    <col min="10" max="10" width="7.7109375" style="90" customWidth="1"/>
    <col min="11" max="11" width="12.28125" style="88" bestFit="1" customWidth="1"/>
    <col min="12" max="12" width="10.28125" style="88" bestFit="1" customWidth="1"/>
    <col min="13" max="16384" width="9.140625" style="88" customWidth="1"/>
  </cols>
  <sheetData>
    <row r="1" spans="1:10" s="80" customFormat="1" ht="39" customHeight="1" thickBot="1">
      <c r="A1" s="350" t="s">
        <v>286</v>
      </c>
      <c r="B1" s="350"/>
      <c r="C1" s="350"/>
      <c r="D1" s="350"/>
      <c r="E1" s="350"/>
      <c r="F1" s="350"/>
      <c r="G1" s="350"/>
      <c r="H1" s="350"/>
      <c r="I1" s="350"/>
      <c r="J1" s="350"/>
    </row>
    <row r="2" spans="1:10" s="81" customFormat="1" ht="21.75" customHeight="1">
      <c r="A2" s="97"/>
      <c r="B2" s="355" t="s">
        <v>1</v>
      </c>
      <c r="C2" s="355" t="s">
        <v>108</v>
      </c>
      <c r="D2" s="355" t="s">
        <v>54</v>
      </c>
      <c r="E2" s="355" t="s">
        <v>53</v>
      </c>
      <c r="F2" s="346" t="s">
        <v>3</v>
      </c>
      <c r="G2" s="346" t="s">
        <v>109</v>
      </c>
      <c r="H2" s="358" t="s">
        <v>5</v>
      </c>
      <c r="I2" s="359"/>
      <c r="J2" s="360" t="s">
        <v>110</v>
      </c>
    </row>
    <row r="3" spans="1:10" s="81" customFormat="1" ht="21.75" customHeight="1" thickBot="1">
      <c r="A3" s="199"/>
      <c r="B3" s="356"/>
      <c r="C3" s="356"/>
      <c r="D3" s="356"/>
      <c r="E3" s="356"/>
      <c r="F3" s="357"/>
      <c r="G3" s="357"/>
      <c r="H3" s="78" t="s">
        <v>111</v>
      </c>
      <c r="I3" s="79" t="s">
        <v>90</v>
      </c>
      <c r="J3" s="361"/>
    </row>
    <row r="4" spans="1:10" s="81" customFormat="1" ht="15">
      <c r="A4" s="207">
        <v>1</v>
      </c>
      <c r="B4" s="400" t="s">
        <v>183</v>
      </c>
      <c r="C4" s="198">
        <v>39094</v>
      </c>
      <c r="D4" s="401" t="s">
        <v>12</v>
      </c>
      <c r="E4" s="401" t="s">
        <v>264</v>
      </c>
      <c r="F4" s="402">
        <v>226</v>
      </c>
      <c r="G4" s="402">
        <v>8</v>
      </c>
      <c r="H4" s="272">
        <f>3142328+2138928+1454143+1085018.5-637+512497+119516+49072.5+21975.5</f>
        <v>8522841.5</v>
      </c>
      <c r="I4" s="403">
        <f>453903+300559+202455+152725+101+73889+22414+10560+4196</f>
        <v>1220802</v>
      </c>
      <c r="J4" s="404">
        <f>+H4/I4</f>
        <v>6.981346278921562</v>
      </c>
    </row>
    <row r="5" spans="1:10" s="81" customFormat="1" ht="15">
      <c r="A5" s="207">
        <v>2</v>
      </c>
      <c r="B5" s="265" t="s">
        <v>184</v>
      </c>
      <c r="C5" s="118">
        <v>39101</v>
      </c>
      <c r="D5" s="129" t="s">
        <v>12</v>
      </c>
      <c r="E5" s="129" t="s">
        <v>58</v>
      </c>
      <c r="F5" s="119">
        <v>197</v>
      </c>
      <c r="G5" s="119">
        <v>7</v>
      </c>
      <c r="H5" s="268">
        <f>3815016+1300103.5+871510+26.5+643328.5+285+427492+144808.5-4582.5</f>
        <v>7197987.5</v>
      </c>
      <c r="I5" s="269">
        <f>302979+231870+176034+121748+3+91906+35+60830+21133-764</f>
        <v>1005774</v>
      </c>
      <c r="J5" s="405">
        <f>+H5/I5</f>
        <v>7.156664916770567</v>
      </c>
    </row>
    <row r="6" spans="1:10" s="81" customFormat="1" ht="15">
      <c r="A6" s="321">
        <v>3</v>
      </c>
      <c r="B6" s="418" t="s">
        <v>245</v>
      </c>
      <c r="C6" s="322">
        <v>39108</v>
      </c>
      <c r="D6" s="419" t="s">
        <v>56</v>
      </c>
      <c r="E6" s="420" t="s">
        <v>268</v>
      </c>
      <c r="F6" s="323">
        <v>148</v>
      </c>
      <c r="G6" s="323">
        <v>6</v>
      </c>
      <c r="H6" s="421">
        <f>1992651+1728920+984064+346169+182382+106480</f>
        <v>5340666</v>
      </c>
      <c r="I6" s="422">
        <f>274655+238848+139396+51021+30073+21220</f>
        <v>755213</v>
      </c>
      <c r="J6" s="423">
        <f>+H6/I6</f>
        <v>7.071734729142639</v>
      </c>
    </row>
    <row r="7" spans="1:10" s="81" customFormat="1" ht="15">
      <c r="A7" s="318">
        <v>4</v>
      </c>
      <c r="B7" s="412" t="s">
        <v>190</v>
      </c>
      <c r="C7" s="319">
        <v>39108</v>
      </c>
      <c r="D7" s="413" t="s">
        <v>56</v>
      </c>
      <c r="E7" s="414" t="s">
        <v>11</v>
      </c>
      <c r="F7" s="320">
        <v>131</v>
      </c>
      <c r="G7" s="320">
        <v>6</v>
      </c>
      <c r="H7" s="415">
        <f>3063+1388108+1182918+556749+125580+97410+76666</f>
        <v>3430494</v>
      </c>
      <c r="I7" s="416">
        <f>313+167433+145432+67053+17220+16427+14008</f>
        <v>427886</v>
      </c>
      <c r="J7" s="417">
        <f>IF(H7&lt;&gt;0,H7/I7,"")</f>
        <v>8.017308348485344</v>
      </c>
    </row>
    <row r="8" spans="1:10" s="81" customFormat="1" ht="15">
      <c r="A8" s="207">
        <v>5</v>
      </c>
      <c r="B8" s="264" t="s">
        <v>229</v>
      </c>
      <c r="C8" s="117">
        <v>39115</v>
      </c>
      <c r="D8" s="128" t="s">
        <v>56</v>
      </c>
      <c r="E8" s="127" t="s">
        <v>11</v>
      </c>
      <c r="F8" s="288">
        <v>81</v>
      </c>
      <c r="G8" s="288">
        <v>5</v>
      </c>
      <c r="H8" s="270">
        <f>3091+1174032+810484+561094+347033+135358</f>
        <v>3031092</v>
      </c>
      <c r="I8" s="393">
        <f>289+128246+92369+63358+42093+20318</f>
        <v>346673</v>
      </c>
      <c r="J8" s="405">
        <f>+H8/I8</f>
        <v>8.743374880651219</v>
      </c>
    </row>
    <row r="9" spans="1:10" s="81" customFormat="1" ht="15">
      <c r="A9" s="207">
        <v>6</v>
      </c>
      <c r="B9" s="267" t="s">
        <v>124</v>
      </c>
      <c r="C9" s="117">
        <v>39080</v>
      </c>
      <c r="D9" s="130" t="s">
        <v>45</v>
      </c>
      <c r="E9" s="130" t="s">
        <v>97</v>
      </c>
      <c r="F9" s="287" t="s">
        <v>125</v>
      </c>
      <c r="G9" s="287" t="s">
        <v>266</v>
      </c>
      <c r="H9" s="270">
        <v>2961272.5</v>
      </c>
      <c r="I9" s="393">
        <v>396280</v>
      </c>
      <c r="J9" s="405">
        <f>+H9/I9</f>
        <v>7.472677147471485</v>
      </c>
    </row>
    <row r="10" spans="1:10" s="81" customFormat="1" ht="15">
      <c r="A10" s="207">
        <v>7</v>
      </c>
      <c r="B10" s="265" t="s">
        <v>143</v>
      </c>
      <c r="C10" s="118">
        <v>39101</v>
      </c>
      <c r="D10" s="129" t="s">
        <v>57</v>
      </c>
      <c r="E10" s="129" t="s">
        <v>186</v>
      </c>
      <c r="F10" s="119">
        <v>90</v>
      </c>
      <c r="G10" s="119">
        <v>7</v>
      </c>
      <c r="H10" s="268">
        <v>2953746</v>
      </c>
      <c r="I10" s="269">
        <v>344645</v>
      </c>
      <c r="J10" s="290">
        <f>IF(H10&lt;&gt;0,H10/I10,"")</f>
        <v>8.570401427555892</v>
      </c>
    </row>
    <row r="11" spans="1:10" s="81" customFormat="1" ht="15">
      <c r="A11" s="207">
        <v>8</v>
      </c>
      <c r="B11" s="267" t="s">
        <v>226</v>
      </c>
      <c r="C11" s="117">
        <v>39108</v>
      </c>
      <c r="D11" s="130" t="s">
        <v>45</v>
      </c>
      <c r="E11" s="130" t="s">
        <v>227</v>
      </c>
      <c r="F11" s="287" t="s">
        <v>228</v>
      </c>
      <c r="G11" s="287" t="s">
        <v>298</v>
      </c>
      <c r="H11" s="270">
        <v>2813914</v>
      </c>
      <c r="I11" s="393">
        <v>376508</v>
      </c>
      <c r="J11" s="290">
        <f>IF(H11&lt;&gt;0,H11/I11,"")</f>
        <v>7.473716361936533</v>
      </c>
    </row>
    <row r="12" spans="1:10" s="81" customFormat="1" ht="15">
      <c r="A12" s="207">
        <v>9</v>
      </c>
      <c r="B12" s="264" t="s">
        <v>267</v>
      </c>
      <c r="C12" s="117">
        <v>39129</v>
      </c>
      <c r="D12" s="128" t="s">
        <v>56</v>
      </c>
      <c r="E12" s="127" t="s">
        <v>61</v>
      </c>
      <c r="F12" s="288">
        <v>72</v>
      </c>
      <c r="G12" s="288">
        <v>3</v>
      </c>
      <c r="H12" s="270">
        <f>1024988+679541+410193</f>
        <v>2114722</v>
      </c>
      <c r="I12" s="393">
        <f>121457+81309+49212</f>
        <v>251978</v>
      </c>
      <c r="J12" s="405">
        <f>+H12/I12</f>
        <v>8.392486645659542</v>
      </c>
    </row>
    <row r="13" spans="1:10" s="81" customFormat="1" ht="15">
      <c r="A13" s="207">
        <v>10</v>
      </c>
      <c r="B13" s="265" t="s">
        <v>180</v>
      </c>
      <c r="C13" s="118">
        <v>39080</v>
      </c>
      <c r="D13" s="129" t="s">
        <v>57</v>
      </c>
      <c r="E13" s="129" t="s">
        <v>60</v>
      </c>
      <c r="F13" s="119">
        <v>56</v>
      </c>
      <c r="G13" s="119">
        <v>9</v>
      </c>
      <c r="H13" s="268">
        <v>2095073</v>
      </c>
      <c r="I13" s="269">
        <v>231014</v>
      </c>
      <c r="J13" s="405">
        <f>+H13/I13</f>
        <v>9.069030448371095</v>
      </c>
    </row>
    <row r="14" spans="1:10" s="81" customFormat="1" ht="15">
      <c r="A14" s="207">
        <v>11</v>
      </c>
      <c r="B14" s="264" t="s">
        <v>119</v>
      </c>
      <c r="C14" s="117">
        <v>39080</v>
      </c>
      <c r="D14" s="128" t="s">
        <v>56</v>
      </c>
      <c r="E14" s="127" t="s">
        <v>61</v>
      </c>
      <c r="F14" s="288">
        <v>80</v>
      </c>
      <c r="G14" s="288">
        <v>10</v>
      </c>
      <c r="H14" s="270">
        <f>1367+686114+384405+247619+146119+85619+63759-1+18934+11869+10791+11315</f>
        <v>1667910</v>
      </c>
      <c r="I14" s="393">
        <f>80773+116+46317+29887+17891+10484+7685+2801+1917+1334+1333</f>
        <v>200538</v>
      </c>
      <c r="J14" s="405">
        <f>+H14/I14</f>
        <v>8.317176794423002</v>
      </c>
    </row>
    <row r="15" spans="1:10" s="81" customFormat="1" ht="15">
      <c r="A15" s="207">
        <v>12</v>
      </c>
      <c r="B15" s="267" t="s">
        <v>237</v>
      </c>
      <c r="C15" s="117">
        <v>39115</v>
      </c>
      <c r="D15" s="130" t="s">
        <v>45</v>
      </c>
      <c r="E15" s="130" t="s">
        <v>238</v>
      </c>
      <c r="F15" s="287" t="s">
        <v>239</v>
      </c>
      <c r="G15" s="287" t="s">
        <v>278</v>
      </c>
      <c r="H15" s="270">
        <v>1555970.5</v>
      </c>
      <c r="I15" s="393">
        <v>212913</v>
      </c>
      <c r="J15" s="405">
        <f>+H15/I15</f>
        <v>7.308010783747352</v>
      </c>
    </row>
    <row r="16" spans="1:10" s="81" customFormat="1" ht="15">
      <c r="A16" s="207">
        <v>13</v>
      </c>
      <c r="B16" s="264" t="s">
        <v>260</v>
      </c>
      <c r="C16" s="117">
        <v>39129</v>
      </c>
      <c r="D16" s="127" t="s">
        <v>48</v>
      </c>
      <c r="E16" s="127" t="s">
        <v>193</v>
      </c>
      <c r="F16" s="288">
        <v>113</v>
      </c>
      <c r="G16" s="288">
        <v>3</v>
      </c>
      <c r="H16" s="271">
        <f>664515+531932.5+233213.5</f>
        <v>1429661</v>
      </c>
      <c r="I16" s="269">
        <f>85126+68647+30566</f>
        <v>184339</v>
      </c>
      <c r="J16" s="290">
        <f>IF(H16&lt;&gt;0,H16/I16,"")</f>
        <v>7.755607874622299</v>
      </c>
    </row>
    <row r="17" spans="1:10" s="81" customFormat="1" ht="15">
      <c r="A17" s="207">
        <v>14</v>
      </c>
      <c r="B17" s="265" t="s">
        <v>261</v>
      </c>
      <c r="C17" s="118">
        <v>39129</v>
      </c>
      <c r="D17" s="129" t="s">
        <v>57</v>
      </c>
      <c r="E17" s="129" t="s">
        <v>65</v>
      </c>
      <c r="F17" s="119">
        <v>77</v>
      </c>
      <c r="G17" s="119">
        <v>2</v>
      </c>
      <c r="H17" s="268">
        <v>1287053</v>
      </c>
      <c r="I17" s="269">
        <v>154234</v>
      </c>
      <c r="J17" s="405">
        <f>+H17/I17</f>
        <v>8.344807240945576</v>
      </c>
    </row>
    <row r="18" spans="1:10" s="81" customFormat="1" ht="15">
      <c r="A18" s="207">
        <v>15</v>
      </c>
      <c r="B18" s="264" t="s">
        <v>246</v>
      </c>
      <c r="C18" s="117">
        <v>39122</v>
      </c>
      <c r="D18" s="128" t="s">
        <v>56</v>
      </c>
      <c r="E18" s="127" t="s">
        <v>240</v>
      </c>
      <c r="F18" s="288">
        <v>60</v>
      </c>
      <c r="G18" s="288">
        <v>4</v>
      </c>
      <c r="H18" s="270">
        <f>532455+318401+212166+27739</f>
        <v>1090761</v>
      </c>
      <c r="I18" s="393">
        <f>62334+37213+25119+5045</f>
        <v>129711</v>
      </c>
      <c r="J18" s="405">
        <f>+H18/I18</f>
        <v>8.409163447972801</v>
      </c>
    </row>
    <row r="19" spans="1:10" s="81" customFormat="1" ht="15">
      <c r="A19" s="207">
        <v>16</v>
      </c>
      <c r="B19" s="265" t="s">
        <v>185</v>
      </c>
      <c r="C19" s="118">
        <v>39115</v>
      </c>
      <c r="D19" s="129" t="s">
        <v>57</v>
      </c>
      <c r="E19" s="129" t="s">
        <v>65</v>
      </c>
      <c r="F19" s="119">
        <v>151</v>
      </c>
      <c r="G19" s="119">
        <v>5</v>
      </c>
      <c r="H19" s="268">
        <v>1030849</v>
      </c>
      <c r="I19" s="269">
        <v>147640</v>
      </c>
      <c r="J19" s="405">
        <f>+H19/I19</f>
        <v>6.982179626117583</v>
      </c>
    </row>
    <row r="20" spans="1:10" s="81" customFormat="1" ht="15">
      <c r="A20" s="207">
        <v>17</v>
      </c>
      <c r="B20" s="265" t="s">
        <v>262</v>
      </c>
      <c r="C20" s="118">
        <v>39129</v>
      </c>
      <c r="D20" s="129" t="s">
        <v>12</v>
      </c>
      <c r="E20" s="129" t="s">
        <v>66</v>
      </c>
      <c r="F20" s="119">
        <v>43</v>
      </c>
      <c r="G20" s="119">
        <v>3</v>
      </c>
      <c r="H20" s="268">
        <f>384662.5+356262.5+212054</f>
        <v>952979</v>
      </c>
      <c r="I20" s="269">
        <f>44623+40340+24564</f>
        <v>109527</v>
      </c>
      <c r="J20" s="405">
        <f>+H20/I20</f>
        <v>8.700859148885662</v>
      </c>
    </row>
    <row r="21" spans="1:10" s="81" customFormat="1" ht="15">
      <c r="A21" s="207">
        <v>18</v>
      </c>
      <c r="B21" s="265" t="s">
        <v>299</v>
      </c>
      <c r="C21" s="118">
        <v>39129</v>
      </c>
      <c r="D21" s="129" t="s">
        <v>57</v>
      </c>
      <c r="E21" s="129" t="s">
        <v>65</v>
      </c>
      <c r="F21" s="119">
        <v>39</v>
      </c>
      <c r="G21" s="119">
        <v>2</v>
      </c>
      <c r="H21" s="268">
        <v>883651</v>
      </c>
      <c r="I21" s="269">
        <v>91971</v>
      </c>
      <c r="J21" s="405">
        <f>+H21/I21</f>
        <v>9.60793076078329</v>
      </c>
    </row>
    <row r="22" spans="1:10" s="81" customFormat="1" ht="15">
      <c r="A22" s="207">
        <v>19</v>
      </c>
      <c r="B22" s="264" t="s">
        <v>300</v>
      </c>
      <c r="C22" s="117">
        <v>39143</v>
      </c>
      <c r="D22" s="128" t="s">
        <v>56</v>
      </c>
      <c r="E22" s="127" t="s">
        <v>71</v>
      </c>
      <c r="F22" s="288">
        <v>77</v>
      </c>
      <c r="G22" s="288">
        <v>1</v>
      </c>
      <c r="H22" s="270">
        <v>846616</v>
      </c>
      <c r="I22" s="393">
        <v>102037</v>
      </c>
      <c r="J22" s="405">
        <f>+H22/I22</f>
        <v>8.297147113302037</v>
      </c>
    </row>
    <row r="23" spans="1:10" s="81" customFormat="1" ht="15">
      <c r="A23" s="207">
        <v>20</v>
      </c>
      <c r="B23" s="265" t="s">
        <v>127</v>
      </c>
      <c r="C23" s="118">
        <v>39080</v>
      </c>
      <c r="D23" s="129" t="s">
        <v>12</v>
      </c>
      <c r="E23" s="129" t="s">
        <v>59</v>
      </c>
      <c r="F23" s="119">
        <v>225</v>
      </c>
      <c r="G23" s="119">
        <v>10</v>
      </c>
      <c r="H23" s="268">
        <f>443484+172504.5+77130.5+14404+4813+5794.5+20+1110+1236+15107+13128.5+13380</f>
        <v>762112</v>
      </c>
      <c r="I23" s="269">
        <f>50755+20967+9569+1855+705+1471+1+225+365+2864+2180+2252</f>
        <v>93209</v>
      </c>
      <c r="J23" s="405">
        <f>+H23/I23</f>
        <v>8.176377817592721</v>
      </c>
    </row>
    <row r="24" spans="1:10" s="81" customFormat="1" ht="15">
      <c r="A24" s="207">
        <v>21</v>
      </c>
      <c r="B24" s="267" t="s">
        <v>164</v>
      </c>
      <c r="C24" s="117">
        <v>39094</v>
      </c>
      <c r="D24" s="130" t="s">
        <v>73</v>
      </c>
      <c r="E24" s="130" t="s">
        <v>136</v>
      </c>
      <c r="F24" s="287" t="s">
        <v>165</v>
      </c>
      <c r="G24" s="287" t="s">
        <v>301</v>
      </c>
      <c r="H24" s="270">
        <v>755006</v>
      </c>
      <c r="I24" s="393">
        <v>80087</v>
      </c>
      <c r="J24" s="405">
        <f>+H24/I24</f>
        <v>9.427322786469714</v>
      </c>
    </row>
    <row r="25" spans="1:10" s="81" customFormat="1" ht="15">
      <c r="A25" s="207">
        <v>22</v>
      </c>
      <c r="B25" s="266" t="s">
        <v>265</v>
      </c>
      <c r="C25" s="118">
        <v>39136</v>
      </c>
      <c r="D25" s="133" t="s">
        <v>23</v>
      </c>
      <c r="E25" s="132" t="s">
        <v>69</v>
      </c>
      <c r="F25" s="121">
        <v>24</v>
      </c>
      <c r="G25" s="121">
        <v>2</v>
      </c>
      <c r="H25" s="268">
        <f>3098.5+271243.5+169425.5</f>
        <v>443767.5</v>
      </c>
      <c r="I25" s="269">
        <f>316+26059+16381</f>
        <v>42756</v>
      </c>
      <c r="J25" s="290">
        <f>IF(H25&lt;&gt;0,H25/I25,"")</f>
        <v>10.379069604266068</v>
      </c>
    </row>
    <row r="26" spans="1:10" s="81" customFormat="1" ht="15">
      <c r="A26" s="207">
        <v>23</v>
      </c>
      <c r="B26" s="265" t="s">
        <v>247</v>
      </c>
      <c r="C26" s="118">
        <v>39122</v>
      </c>
      <c r="D26" s="129" t="s">
        <v>12</v>
      </c>
      <c r="E26" s="129" t="s">
        <v>248</v>
      </c>
      <c r="F26" s="119">
        <v>62</v>
      </c>
      <c r="G26" s="119">
        <v>4</v>
      </c>
      <c r="H26" s="268">
        <f>248079.5+111544+46796.5+33721</f>
        <v>440141</v>
      </c>
      <c r="I26" s="269">
        <f>36414+17429+7900+6638</f>
        <v>68381</v>
      </c>
      <c r="J26" s="290">
        <f>IF(H26&lt;&gt;0,H26/I26,"")</f>
        <v>6.436597885377517</v>
      </c>
    </row>
    <row r="27" spans="1:10" s="81" customFormat="1" ht="15">
      <c r="A27" s="207">
        <v>24</v>
      </c>
      <c r="B27" s="264" t="s">
        <v>282</v>
      </c>
      <c r="C27" s="117">
        <v>39143</v>
      </c>
      <c r="D27" s="128" t="s">
        <v>56</v>
      </c>
      <c r="E27" s="127" t="s">
        <v>61</v>
      </c>
      <c r="F27" s="288">
        <v>54</v>
      </c>
      <c r="G27" s="288">
        <v>1</v>
      </c>
      <c r="H27" s="270">
        <f>1045+424606</f>
        <v>425651</v>
      </c>
      <c r="I27" s="393">
        <f>101+45441</f>
        <v>45542</v>
      </c>
      <c r="J27" s="405">
        <f>+H27/I27</f>
        <v>9.346339642527777</v>
      </c>
    </row>
    <row r="28" spans="1:10" s="81" customFormat="1" ht="15">
      <c r="A28" s="207">
        <v>25</v>
      </c>
      <c r="B28" s="267" t="s">
        <v>302</v>
      </c>
      <c r="C28" s="117">
        <v>39143</v>
      </c>
      <c r="D28" s="130" t="s">
        <v>45</v>
      </c>
      <c r="E28" s="130" t="s">
        <v>303</v>
      </c>
      <c r="F28" s="287" t="s">
        <v>304</v>
      </c>
      <c r="G28" s="287" t="s">
        <v>20</v>
      </c>
      <c r="H28" s="270">
        <v>400177.5</v>
      </c>
      <c r="I28" s="393">
        <v>51313</v>
      </c>
      <c r="J28" s="405">
        <f>+H28/I28</f>
        <v>7.798754701537622</v>
      </c>
    </row>
    <row r="29" spans="1:10" s="81" customFormat="1" ht="15">
      <c r="A29" s="207">
        <v>26</v>
      </c>
      <c r="B29" s="266" t="s">
        <v>167</v>
      </c>
      <c r="C29" s="118">
        <v>39094</v>
      </c>
      <c r="D29" s="133" t="s">
        <v>23</v>
      </c>
      <c r="E29" s="132" t="s">
        <v>69</v>
      </c>
      <c r="F29" s="121">
        <v>42</v>
      </c>
      <c r="G29" s="121">
        <v>8</v>
      </c>
      <c r="H29" s="268">
        <f>116992.5+114120.5+59552+32990+22575.5+13689.5+13072.5+9182.5</f>
        <v>382175</v>
      </c>
      <c r="I29" s="269">
        <f>13983+14934+8576+5091+3923+2713+2832+1841</f>
        <v>53893</v>
      </c>
      <c r="J29" s="290">
        <f>IF(H29&lt;&gt;0,H29/I29,"")</f>
        <v>7.091366225669382</v>
      </c>
    </row>
    <row r="30" spans="1:10" s="81" customFormat="1" ht="15">
      <c r="A30" s="207">
        <v>27</v>
      </c>
      <c r="B30" s="264" t="s">
        <v>263</v>
      </c>
      <c r="C30" s="117">
        <v>39129</v>
      </c>
      <c r="D30" s="128" t="s">
        <v>56</v>
      </c>
      <c r="E30" s="127" t="s">
        <v>71</v>
      </c>
      <c r="F30" s="288">
        <v>22</v>
      </c>
      <c r="G30" s="288">
        <v>3</v>
      </c>
      <c r="H30" s="270">
        <f>3941+185955+159407+21968</f>
        <v>371271</v>
      </c>
      <c r="I30" s="393">
        <f>412+17684+15175+2098</f>
        <v>35369</v>
      </c>
      <c r="J30" s="405">
        <f>+H30/I30</f>
        <v>10.497073708614888</v>
      </c>
    </row>
    <row r="31" spans="1:10" s="81" customFormat="1" ht="15">
      <c r="A31" s="207">
        <v>28</v>
      </c>
      <c r="B31" s="267" t="s">
        <v>305</v>
      </c>
      <c r="C31" s="117">
        <v>39143</v>
      </c>
      <c r="D31" s="130" t="s">
        <v>45</v>
      </c>
      <c r="E31" s="130" t="s">
        <v>306</v>
      </c>
      <c r="F31" s="287" t="s">
        <v>307</v>
      </c>
      <c r="G31" s="287" t="s">
        <v>20</v>
      </c>
      <c r="H31" s="270">
        <v>355752</v>
      </c>
      <c r="I31" s="393">
        <v>46475</v>
      </c>
      <c r="J31" s="405">
        <f>+H31/I31</f>
        <v>7.654696073157612</v>
      </c>
    </row>
    <row r="32" spans="1:10" s="81" customFormat="1" ht="15">
      <c r="A32" s="207">
        <v>29</v>
      </c>
      <c r="B32" s="267" t="s">
        <v>308</v>
      </c>
      <c r="C32" s="117">
        <v>39143</v>
      </c>
      <c r="D32" s="130" t="s">
        <v>73</v>
      </c>
      <c r="E32" s="130" t="s">
        <v>136</v>
      </c>
      <c r="F32" s="287" t="s">
        <v>309</v>
      </c>
      <c r="G32" s="287" t="s">
        <v>20</v>
      </c>
      <c r="H32" s="270">
        <v>316586</v>
      </c>
      <c r="I32" s="393">
        <v>38569</v>
      </c>
      <c r="J32" s="405">
        <f>+H32/I32</f>
        <v>8.208302004200265</v>
      </c>
    </row>
    <row r="33" spans="1:10" s="81" customFormat="1" ht="15">
      <c r="A33" s="207">
        <v>30</v>
      </c>
      <c r="B33" s="267" t="s">
        <v>273</v>
      </c>
      <c r="C33" s="117">
        <v>39136</v>
      </c>
      <c r="D33" s="130" t="s">
        <v>45</v>
      </c>
      <c r="E33" s="130" t="s">
        <v>227</v>
      </c>
      <c r="F33" s="287" t="s">
        <v>239</v>
      </c>
      <c r="G33" s="287" t="s">
        <v>37</v>
      </c>
      <c r="H33" s="270">
        <v>302715</v>
      </c>
      <c r="I33" s="393">
        <v>41992</v>
      </c>
      <c r="J33" s="405">
        <f>+H33/I33</f>
        <v>7.208873118689274</v>
      </c>
    </row>
    <row r="34" spans="1:10" s="81" customFormat="1" ht="15">
      <c r="A34" s="207">
        <v>31</v>
      </c>
      <c r="B34" s="265" t="s">
        <v>275</v>
      </c>
      <c r="C34" s="118">
        <v>39136</v>
      </c>
      <c r="D34" s="129" t="s">
        <v>12</v>
      </c>
      <c r="E34" s="129" t="s">
        <v>276</v>
      </c>
      <c r="F34" s="119">
        <v>50</v>
      </c>
      <c r="G34" s="119">
        <v>2</v>
      </c>
      <c r="H34" s="268">
        <f>176703.5+117666.5</f>
        <v>294370</v>
      </c>
      <c r="I34" s="269">
        <f>23632+15507</f>
        <v>39139</v>
      </c>
      <c r="J34" s="290">
        <f>IF(H34&lt;&gt;0,H34/I34,"")</f>
        <v>7.521142594343238</v>
      </c>
    </row>
    <row r="35" spans="1:10" s="81" customFormat="1" ht="15">
      <c r="A35" s="207">
        <v>32</v>
      </c>
      <c r="B35" s="265" t="s">
        <v>274</v>
      </c>
      <c r="C35" s="118">
        <v>39136</v>
      </c>
      <c r="D35" s="129" t="s">
        <v>57</v>
      </c>
      <c r="E35" s="129" t="s">
        <v>65</v>
      </c>
      <c r="F35" s="119">
        <v>34</v>
      </c>
      <c r="G35" s="119">
        <v>2</v>
      </c>
      <c r="H35" s="268">
        <v>290395</v>
      </c>
      <c r="I35" s="269">
        <v>29557</v>
      </c>
      <c r="J35" s="405">
        <f>+H35/I35</f>
        <v>9.824914571844234</v>
      </c>
    </row>
    <row r="36" spans="1:10" s="81" customFormat="1" ht="15">
      <c r="A36" s="207">
        <v>33</v>
      </c>
      <c r="B36" s="163" t="s">
        <v>166</v>
      </c>
      <c r="C36" s="118">
        <v>39094</v>
      </c>
      <c r="D36" s="308" t="s">
        <v>55</v>
      </c>
      <c r="E36" s="308" t="s">
        <v>63</v>
      </c>
      <c r="F36" s="119">
        <v>30</v>
      </c>
      <c r="G36" s="119">
        <v>5</v>
      </c>
      <c r="H36" s="273">
        <v>242926</v>
      </c>
      <c r="I36" s="123">
        <v>24058</v>
      </c>
      <c r="J36" s="315">
        <f>IF(H36&lt;&gt;0,H36/I36,"")</f>
        <v>10.097514340344167</v>
      </c>
    </row>
    <row r="37" spans="1:10" s="81" customFormat="1" ht="15">
      <c r="A37" s="207">
        <v>34</v>
      </c>
      <c r="B37" s="265" t="s">
        <v>241</v>
      </c>
      <c r="C37" s="118">
        <v>39115</v>
      </c>
      <c r="D37" s="129" t="s">
        <v>57</v>
      </c>
      <c r="E37" s="129" t="s">
        <v>60</v>
      </c>
      <c r="F37" s="119">
        <v>12</v>
      </c>
      <c r="G37" s="119">
        <v>5</v>
      </c>
      <c r="H37" s="268">
        <v>229221</v>
      </c>
      <c r="I37" s="269">
        <v>35850</v>
      </c>
      <c r="J37" s="405">
        <f>+H37/I37</f>
        <v>6.3938912133891215</v>
      </c>
    </row>
    <row r="38" spans="1:10" s="81" customFormat="1" ht="15">
      <c r="A38" s="207">
        <v>35</v>
      </c>
      <c r="B38" s="265" t="s">
        <v>249</v>
      </c>
      <c r="C38" s="118">
        <v>39122</v>
      </c>
      <c r="D38" s="129" t="s">
        <v>12</v>
      </c>
      <c r="E38" s="129" t="s">
        <v>66</v>
      </c>
      <c r="F38" s="119">
        <v>27</v>
      </c>
      <c r="G38" s="119">
        <v>4</v>
      </c>
      <c r="H38" s="268">
        <f>119870.5+70279+18401+10562</f>
        <v>219112.5</v>
      </c>
      <c r="I38" s="269">
        <f>12204+6994+1908+1977</f>
        <v>23083</v>
      </c>
      <c r="J38" s="405">
        <f>+H38/I38</f>
        <v>9.49237534116016</v>
      </c>
    </row>
    <row r="39" spans="1:10" s="81" customFormat="1" ht="15">
      <c r="A39" s="207">
        <v>36</v>
      </c>
      <c r="B39" s="264" t="s">
        <v>144</v>
      </c>
      <c r="C39" s="117">
        <v>39087</v>
      </c>
      <c r="D39" s="128" t="s">
        <v>56</v>
      </c>
      <c r="E39" s="127" t="s">
        <v>240</v>
      </c>
      <c r="F39" s="288">
        <v>42</v>
      </c>
      <c r="G39" s="288">
        <v>8</v>
      </c>
      <c r="H39" s="270">
        <f>108159+32855+2558+200+742+210+540+754</f>
        <v>146018</v>
      </c>
      <c r="I39" s="393">
        <f>12118+3977+379+20+153+40+103+182</f>
        <v>16972</v>
      </c>
      <c r="J39" s="405">
        <f>+H39/I39</f>
        <v>8.603464529813811</v>
      </c>
    </row>
    <row r="40" spans="1:10" s="81" customFormat="1" ht="15">
      <c r="A40" s="207">
        <v>37</v>
      </c>
      <c r="B40" s="265" t="s">
        <v>310</v>
      </c>
      <c r="C40" s="118">
        <v>39143</v>
      </c>
      <c r="D40" s="129" t="s">
        <v>12</v>
      </c>
      <c r="E40" s="129" t="s">
        <v>59</v>
      </c>
      <c r="F40" s="119">
        <v>20</v>
      </c>
      <c r="G40" s="119">
        <v>1</v>
      </c>
      <c r="H40" s="268">
        <f>129159.5</f>
        <v>129159.5</v>
      </c>
      <c r="I40" s="269">
        <f>12733</f>
        <v>12733</v>
      </c>
      <c r="J40" s="405">
        <f>+H40/I40</f>
        <v>10.14368177177413</v>
      </c>
    </row>
    <row r="41" spans="1:10" s="81" customFormat="1" ht="15">
      <c r="A41" s="207">
        <v>38</v>
      </c>
      <c r="B41" s="264" t="s">
        <v>277</v>
      </c>
      <c r="C41" s="117">
        <v>39136</v>
      </c>
      <c r="D41" s="128" t="s">
        <v>56</v>
      </c>
      <c r="E41" s="127" t="s">
        <v>11</v>
      </c>
      <c r="F41" s="288">
        <v>9</v>
      </c>
      <c r="G41" s="288">
        <v>2</v>
      </c>
      <c r="H41" s="270">
        <f>84092+44359</f>
        <v>128451</v>
      </c>
      <c r="I41" s="393">
        <f>8135+4281</f>
        <v>12416</v>
      </c>
      <c r="J41" s="405">
        <f>+H41/I41</f>
        <v>10.345602448453608</v>
      </c>
    </row>
    <row r="42" spans="1:10" s="81" customFormat="1" ht="15">
      <c r="A42" s="207">
        <v>39</v>
      </c>
      <c r="B42" s="161" t="s">
        <v>146</v>
      </c>
      <c r="C42" s="117">
        <v>39087</v>
      </c>
      <c r="D42" s="127" t="s">
        <v>187</v>
      </c>
      <c r="E42" s="127" t="s">
        <v>187</v>
      </c>
      <c r="F42" s="304">
        <v>11</v>
      </c>
      <c r="G42" s="304">
        <v>7</v>
      </c>
      <c r="H42" s="279">
        <v>103564.29</v>
      </c>
      <c r="I42" s="309">
        <v>10165</v>
      </c>
      <c r="J42" s="290">
        <f>IF(H42&lt;&gt;0,H42/I42,"")</f>
        <v>10.188321692080669</v>
      </c>
    </row>
    <row r="43" spans="1:10" s="81" customFormat="1" ht="15">
      <c r="A43" s="207">
        <v>40</v>
      </c>
      <c r="B43" s="122" t="s">
        <v>188</v>
      </c>
      <c r="C43" s="120">
        <v>39101</v>
      </c>
      <c r="D43" s="129" t="s">
        <v>64</v>
      </c>
      <c r="E43" s="131" t="s">
        <v>189</v>
      </c>
      <c r="F43" s="289">
        <v>14</v>
      </c>
      <c r="G43" s="289">
        <v>7</v>
      </c>
      <c r="H43" s="277">
        <v>72980</v>
      </c>
      <c r="I43" s="394">
        <v>7366</v>
      </c>
      <c r="J43" s="290">
        <f>IF(H43&lt;&gt;0,H43/I43,"")</f>
        <v>9.90768395329894</v>
      </c>
    </row>
    <row r="44" spans="1:10" s="81" customFormat="1" ht="15">
      <c r="A44" s="207">
        <v>41</v>
      </c>
      <c r="B44" s="266" t="s">
        <v>148</v>
      </c>
      <c r="C44" s="118">
        <v>39087</v>
      </c>
      <c r="D44" s="133" t="s">
        <v>23</v>
      </c>
      <c r="E44" s="132" t="s">
        <v>149</v>
      </c>
      <c r="F44" s="121">
        <v>1</v>
      </c>
      <c r="G44" s="121">
        <v>8</v>
      </c>
      <c r="H44" s="268">
        <f>22095+9204+7326+5702+4828+3872.5+1230+1085+707</f>
        <v>56049.5</v>
      </c>
      <c r="I44" s="269">
        <f>2920+1031+821+648+551+476+146+128+89</f>
        <v>6810</v>
      </c>
      <c r="J44" s="290">
        <f>IF(H44&lt;&gt;0,H44/I44,"")</f>
        <v>8.230469897209986</v>
      </c>
    </row>
    <row r="45" spans="1:10" s="81" customFormat="1" ht="15">
      <c r="A45" s="207">
        <v>42</v>
      </c>
      <c r="B45" s="265" t="s">
        <v>311</v>
      </c>
      <c r="C45" s="118">
        <v>39136</v>
      </c>
      <c r="D45" s="129" t="s">
        <v>12</v>
      </c>
      <c r="E45" s="129" t="s">
        <v>59</v>
      </c>
      <c r="F45" s="119">
        <v>7</v>
      </c>
      <c r="G45" s="119">
        <v>2</v>
      </c>
      <c r="H45" s="268">
        <f>23106.5+15905</f>
        <v>39011.5</v>
      </c>
      <c r="I45" s="269">
        <f>2469+1725</f>
        <v>4194</v>
      </c>
      <c r="J45" s="405">
        <f>+H45/I45</f>
        <v>9.3017405817835</v>
      </c>
    </row>
    <row r="46" spans="1:10" s="81" customFormat="1" ht="15">
      <c r="A46" s="207">
        <v>43</v>
      </c>
      <c r="B46" s="266" t="s">
        <v>242</v>
      </c>
      <c r="C46" s="118">
        <v>39115</v>
      </c>
      <c r="D46" s="133" t="s">
        <v>23</v>
      </c>
      <c r="E46" s="132" t="s">
        <v>33</v>
      </c>
      <c r="F46" s="121">
        <v>7</v>
      </c>
      <c r="G46" s="121">
        <v>5</v>
      </c>
      <c r="H46" s="268">
        <f>17653+2664+2547+3149.5+1301</f>
        <v>27314.5</v>
      </c>
      <c r="I46" s="269">
        <f>1861+315+483+453+199</f>
        <v>3311</v>
      </c>
      <c r="J46" s="405">
        <f>+H46/I46</f>
        <v>8.249622470552703</v>
      </c>
    </row>
    <row r="47" spans="1:10" s="81" customFormat="1" ht="15">
      <c r="A47" s="207">
        <v>44</v>
      </c>
      <c r="B47" s="316" t="s">
        <v>243</v>
      </c>
      <c r="C47" s="165">
        <v>39115</v>
      </c>
      <c r="D47" s="300" t="s">
        <v>58</v>
      </c>
      <c r="E47" s="300" t="s">
        <v>38</v>
      </c>
      <c r="F47" s="314">
        <v>10</v>
      </c>
      <c r="G47" s="314">
        <v>4</v>
      </c>
      <c r="H47" s="275">
        <f>17496+3884+1469+240</f>
        <v>23089</v>
      </c>
      <c r="I47" s="313">
        <f>1763+417+239+30</f>
        <v>2449</v>
      </c>
      <c r="J47" s="315">
        <f>IF(H47&lt;&gt;0,H47/I47,"")</f>
        <v>9.427929767251939</v>
      </c>
    </row>
    <row r="48" spans="1:10" s="82" customFormat="1" ht="15.75" thickBot="1">
      <c r="A48" s="207">
        <v>45</v>
      </c>
      <c r="B48" s="406" t="s">
        <v>168</v>
      </c>
      <c r="C48" s="293">
        <v>39094</v>
      </c>
      <c r="D48" s="407" t="s">
        <v>23</v>
      </c>
      <c r="E48" s="408" t="s">
        <v>159</v>
      </c>
      <c r="F48" s="294">
        <v>2</v>
      </c>
      <c r="G48" s="294">
        <v>7</v>
      </c>
      <c r="H48" s="409">
        <f>1685+7070+4182+870+1068+308+1896+1402</f>
        <v>18481</v>
      </c>
      <c r="I48" s="410">
        <f>480+951+563+174+267+31+416+162</f>
        <v>3044</v>
      </c>
      <c r="J48" s="411">
        <f>+H48/I48</f>
        <v>6.071287779237845</v>
      </c>
    </row>
    <row r="49" spans="1:10" s="134" customFormat="1" ht="15">
      <c r="A49" s="351" t="s">
        <v>50</v>
      </c>
      <c r="B49" s="352"/>
      <c r="C49" s="200"/>
      <c r="D49" s="200"/>
      <c r="E49" s="200"/>
      <c r="F49" s="201"/>
      <c r="G49" s="200"/>
      <c r="H49" s="202">
        <f>SUM(H4:H48)</f>
        <v>58182755.79</v>
      </c>
      <c r="I49" s="203">
        <f>SUM(I4:I48)</f>
        <v>7518416</v>
      </c>
      <c r="J49" s="204">
        <f>H49/I49</f>
        <v>7.738698655408267</v>
      </c>
    </row>
    <row r="50" spans="1:10" s="83" customFormat="1" ht="13.5" thickBot="1">
      <c r="A50" s="92"/>
      <c r="B50" s="84"/>
      <c r="C50" s="85"/>
      <c r="D50" s="85"/>
      <c r="E50" s="85"/>
      <c r="F50" s="85"/>
      <c r="G50" s="85"/>
      <c r="H50" s="86"/>
      <c r="I50" s="99"/>
      <c r="J50" s="87"/>
    </row>
    <row r="51" spans="1:10" s="81" customFormat="1" ht="19.5" customHeight="1">
      <c r="A51" s="101"/>
      <c r="B51" s="355" t="s">
        <v>1</v>
      </c>
      <c r="C51" s="355"/>
      <c r="D51" s="346" t="s">
        <v>28</v>
      </c>
      <c r="E51" s="53"/>
      <c r="F51" s="346"/>
      <c r="G51" s="346"/>
      <c r="H51" s="358" t="s">
        <v>5</v>
      </c>
      <c r="I51" s="359"/>
      <c r="J51" s="360" t="s">
        <v>110</v>
      </c>
    </row>
    <row r="52" spans="1:10" s="81" customFormat="1" ht="27" customHeight="1" thickBot="1">
      <c r="A52" s="103"/>
      <c r="B52" s="364"/>
      <c r="C52" s="364"/>
      <c r="D52" s="362"/>
      <c r="E52" s="102"/>
      <c r="F52" s="362"/>
      <c r="G52" s="362"/>
      <c r="H52" s="78" t="s">
        <v>111</v>
      </c>
      <c r="I52" s="79" t="s">
        <v>90</v>
      </c>
      <c r="J52" s="363"/>
    </row>
    <row r="53" spans="1:10" s="136" customFormat="1" ht="15">
      <c r="A53" s="135">
        <v>1</v>
      </c>
      <c r="B53" s="139" t="s">
        <v>29</v>
      </c>
      <c r="C53" s="140"/>
      <c r="D53" s="140">
        <v>13</v>
      </c>
      <c r="E53" s="140"/>
      <c r="F53" s="141"/>
      <c r="G53" s="140"/>
      <c r="H53" s="142">
        <v>32646317.5</v>
      </c>
      <c r="I53" s="143">
        <v>4546769</v>
      </c>
      <c r="J53" s="144">
        <f>H53/I53</f>
        <v>7.180113504776688</v>
      </c>
    </row>
    <row r="54" spans="1:10" s="136" customFormat="1" ht="15">
      <c r="A54" s="176">
        <v>2</v>
      </c>
      <c r="B54" s="145" t="s">
        <v>30</v>
      </c>
      <c r="C54" s="146"/>
      <c r="D54" s="146">
        <v>32</v>
      </c>
      <c r="E54" s="146"/>
      <c r="F54" s="147"/>
      <c r="G54" s="146"/>
      <c r="H54" s="148">
        <f>H49-H53</f>
        <v>25536438.29</v>
      </c>
      <c r="I54" s="149">
        <f>I49-I53</f>
        <v>2971647</v>
      </c>
      <c r="J54" s="177">
        <f>H54/I54</f>
        <v>8.59336196055588</v>
      </c>
    </row>
    <row r="55" spans="1:10" s="137" customFormat="1" ht="15">
      <c r="A55" s="353"/>
      <c r="B55" s="354"/>
      <c r="C55" s="150"/>
      <c r="D55" s="150">
        <f>SUM(D53:D54)</f>
        <v>45</v>
      </c>
      <c r="E55" s="150"/>
      <c r="F55" s="151"/>
      <c r="G55" s="150"/>
      <c r="H55" s="152">
        <f>SUM(H53:H54)</f>
        <v>58182755.79</v>
      </c>
      <c r="I55" s="95">
        <f>SUM(I53:I54)</f>
        <v>7518416</v>
      </c>
      <c r="J55" s="178"/>
    </row>
    <row r="56" spans="1:10" s="138" customFormat="1" ht="15">
      <c r="A56" s="179">
        <v>1</v>
      </c>
      <c r="B56" s="129" t="s">
        <v>120</v>
      </c>
      <c r="C56" s="153"/>
      <c r="D56" s="119"/>
      <c r="E56" s="119"/>
      <c r="F56" s="121"/>
      <c r="G56" s="119"/>
      <c r="H56" s="155">
        <v>6558813.1</v>
      </c>
      <c r="I56" s="123">
        <v>653287</v>
      </c>
      <c r="J56" s="177">
        <f>H56/I56</f>
        <v>10.039711642815485</v>
      </c>
    </row>
    <row r="57" spans="1:10" s="138" customFormat="1" ht="15">
      <c r="A57" s="179">
        <v>2</v>
      </c>
      <c r="B57" s="129" t="s">
        <v>121</v>
      </c>
      <c r="C57" s="153"/>
      <c r="D57" s="119"/>
      <c r="E57" s="119"/>
      <c r="F57" s="121"/>
      <c r="G57" s="119"/>
      <c r="H57" s="155">
        <v>3364071.6</v>
      </c>
      <c r="I57" s="123">
        <v>795051</v>
      </c>
      <c r="J57" s="177">
        <f>H57/I57</f>
        <v>4.231265164121547</v>
      </c>
    </row>
    <row r="58" spans="1:11" s="50" customFormat="1" ht="15">
      <c r="A58" s="180"/>
      <c r="B58" s="154"/>
      <c r="C58" s="150"/>
      <c r="D58" s="150" t="s">
        <v>297</v>
      </c>
      <c r="E58" s="150"/>
      <c r="F58" s="151"/>
      <c r="G58" s="150"/>
      <c r="H58" s="46">
        <f>SUM(H56:H57)</f>
        <v>9922884.7</v>
      </c>
      <c r="I58" s="95">
        <f>SUM(I56:I57)</f>
        <v>1448338</v>
      </c>
      <c r="J58" s="178"/>
      <c r="K58" s="156"/>
    </row>
    <row r="59" spans="1:11" s="136" customFormat="1" ht="15.75" thickBot="1">
      <c r="A59" s="181"/>
      <c r="B59" s="182" t="s">
        <v>135</v>
      </c>
      <c r="C59" s="206"/>
      <c r="D59" s="182"/>
      <c r="E59" s="182"/>
      <c r="F59" s="182"/>
      <c r="G59" s="182"/>
      <c r="H59" s="183">
        <f>H55+H58</f>
        <v>68105640.49</v>
      </c>
      <c r="I59" s="184">
        <f>I55+I58</f>
        <v>8966754</v>
      </c>
      <c r="J59" s="185"/>
      <c r="K59" s="157"/>
    </row>
    <row r="61" spans="3:10" ht="12.75" customHeight="1">
      <c r="C61" s="325" t="s">
        <v>31</v>
      </c>
      <c r="D61" s="325"/>
      <c r="E61" s="325"/>
      <c r="F61" s="325"/>
      <c r="G61" s="325"/>
      <c r="H61" s="325"/>
      <c r="I61" s="325"/>
      <c r="J61" s="325"/>
    </row>
    <row r="62" spans="3:10" ht="12.75">
      <c r="C62" s="325"/>
      <c r="D62" s="325"/>
      <c r="E62" s="325"/>
      <c r="F62" s="325"/>
      <c r="G62" s="325"/>
      <c r="H62" s="325"/>
      <c r="I62" s="325"/>
      <c r="J62" s="325"/>
    </row>
    <row r="63" spans="3:10" ht="12.75">
      <c r="C63" s="325"/>
      <c r="D63" s="325"/>
      <c r="E63" s="325"/>
      <c r="F63" s="325"/>
      <c r="G63" s="325"/>
      <c r="H63" s="325"/>
      <c r="I63" s="325"/>
      <c r="J63" s="325"/>
    </row>
    <row r="64" spans="3:10" ht="27" customHeight="1">
      <c r="C64" s="325"/>
      <c r="D64" s="325"/>
      <c r="E64" s="325"/>
      <c r="F64" s="325"/>
      <c r="G64" s="325"/>
      <c r="H64" s="325"/>
      <c r="I64" s="325"/>
      <c r="J64" s="325"/>
    </row>
    <row r="65" spans="3:12" ht="12.75">
      <c r="C65" s="325"/>
      <c r="D65" s="325"/>
      <c r="E65" s="325"/>
      <c r="F65" s="325"/>
      <c r="G65" s="325"/>
      <c r="H65" s="325"/>
      <c r="I65" s="325"/>
      <c r="J65" s="325"/>
      <c r="L65" s="158"/>
    </row>
    <row r="66" spans="3:10" ht="12.75">
      <c r="C66" s="325"/>
      <c r="D66" s="325"/>
      <c r="E66" s="325"/>
      <c r="F66" s="325"/>
      <c r="G66" s="325"/>
      <c r="H66" s="325"/>
      <c r="I66" s="325"/>
      <c r="J66" s="325"/>
    </row>
    <row r="67" spans="3:10" ht="12.75">
      <c r="C67" s="105"/>
      <c r="D67" s="91"/>
      <c r="E67" s="91"/>
      <c r="F67" s="91"/>
      <c r="G67" s="91"/>
      <c r="H67" s="124"/>
      <c r="I67" s="124"/>
      <c r="J67" s="91"/>
    </row>
    <row r="68" spans="3:10" ht="12.75" customHeight="1">
      <c r="C68" s="349" t="s">
        <v>19</v>
      </c>
      <c r="D68" s="349"/>
      <c r="E68" s="349"/>
      <c r="F68" s="349"/>
      <c r="G68" s="349"/>
      <c r="H68" s="349"/>
      <c r="I68" s="349"/>
      <c r="J68" s="349"/>
    </row>
    <row r="69" spans="3:10" ht="12.75">
      <c r="C69" s="349"/>
      <c r="D69" s="349"/>
      <c r="E69" s="349"/>
      <c r="F69" s="349"/>
      <c r="G69" s="349"/>
      <c r="H69" s="349"/>
      <c r="I69" s="349"/>
      <c r="J69" s="349"/>
    </row>
    <row r="70" spans="3:10" ht="12.75">
      <c r="C70" s="349"/>
      <c r="D70" s="349"/>
      <c r="E70" s="349"/>
      <c r="F70" s="349"/>
      <c r="G70" s="349"/>
      <c r="H70" s="349"/>
      <c r="I70" s="349"/>
      <c r="J70" s="349"/>
    </row>
    <row r="71" spans="3:10" ht="12.75">
      <c r="C71" s="349"/>
      <c r="D71" s="349"/>
      <c r="E71" s="349"/>
      <c r="F71" s="349"/>
      <c r="G71" s="349"/>
      <c r="H71" s="349"/>
      <c r="I71" s="349"/>
      <c r="J71" s="349"/>
    </row>
    <row r="72" spans="3:10" ht="12.75">
      <c r="C72" s="349"/>
      <c r="D72" s="349"/>
      <c r="E72" s="349"/>
      <c r="F72" s="349"/>
      <c r="G72" s="349"/>
      <c r="H72" s="349"/>
      <c r="I72" s="349"/>
      <c r="J72" s="349"/>
    </row>
    <row r="73" spans="3:10" ht="12.75">
      <c r="C73" s="349"/>
      <c r="D73" s="349"/>
      <c r="E73" s="349"/>
      <c r="F73" s="349"/>
      <c r="G73" s="349"/>
      <c r="H73" s="349"/>
      <c r="I73" s="349"/>
      <c r="J73" s="349"/>
    </row>
    <row r="74" spans="3:10" ht="12.75">
      <c r="C74" s="349"/>
      <c r="D74" s="349"/>
      <c r="E74" s="349"/>
      <c r="F74" s="349"/>
      <c r="G74" s="349"/>
      <c r="H74" s="349"/>
      <c r="I74" s="349"/>
      <c r="J74" s="349"/>
    </row>
  </sheetData>
  <mergeCells count="20">
    <mergeCell ref="B51:B52"/>
    <mergeCell ref="C51:C52"/>
    <mergeCell ref="D51:D52"/>
    <mergeCell ref="F51:F52"/>
    <mergeCell ref="G2:G3"/>
    <mergeCell ref="H2:I2"/>
    <mergeCell ref="J2:J3"/>
    <mergeCell ref="G51:G52"/>
    <mergeCell ref="H51:I51"/>
    <mergeCell ref="J51:J52"/>
    <mergeCell ref="C61:J66"/>
    <mergeCell ref="C68:J74"/>
    <mergeCell ref="A1:J1"/>
    <mergeCell ref="A49:B49"/>
    <mergeCell ref="A55:B55"/>
    <mergeCell ref="B2:B3"/>
    <mergeCell ref="C2:C3"/>
    <mergeCell ref="D2:D3"/>
    <mergeCell ref="E2:E3"/>
    <mergeCell ref="F2:F3"/>
  </mergeCells>
  <printOptions/>
  <pageMargins left="0.87" right="0.58" top="1.24" bottom="1.29" header="0.11811023622047245" footer="0.4330708661417323"/>
  <pageSetup orientation="portrait" paperSize="9" scale="50" r:id="rId1"/>
  <ignoredErrors>
    <ignoredError sqref="F9:G34" numberStoredAsText="1"/>
    <ignoredError sqref="H6:I47 J6" unlockedFormula="1"/>
    <ignoredError sqref="J7:J47" formula="1" unlockedFormula="1"/>
  </ignoredErrors>
</worksheet>
</file>

<file path=xl/worksheets/sheet3.xml><?xml version="1.0" encoding="utf-8"?>
<worksheet xmlns="http://schemas.openxmlformats.org/spreadsheetml/2006/main" xmlns:r="http://schemas.openxmlformats.org/officeDocument/2006/relationships">
  <dimension ref="A1:I387"/>
  <sheetViews>
    <sheetView zoomScale="50" zoomScaleNormal="50" workbookViewId="0" topLeftCell="A336">
      <selection activeCell="R300" sqref="R300:W300"/>
    </sheetView>
  </sheetViews>
  <sheetFormatPr defaultColWidth="9.140625" defaultRowHeight="12.75"/>
  <cols>
    <col min="1" max="1" width="3.57421875" style="0" customWidth="1"/>
    <col min="2" max="2" width="41.57421875" style="0" bestFit="1" customWidth="1"/>
    <col min="3" max="3" width="10.8515625" style="0" customWidth="1"/>
    <col min="4" max="4" width="13.140625" style="0" bestFit="1" customWidth="1"/>
    <col min="5" max="5" width="17.8515625" style="0" bestFit="1" customWidth="1"/>
    <col min="6" max="6" width="14.7109375" style="286" bestFit="1" customWidth="1"/>
    <col min="7" max="7" width="11.7109375" style="189" customWidth="1"/>
    <col min="8" max="13" width="7.57421875" style="0" customWidth="1"/>
  </cols>
  <sheetData>
    <row r="1" spans="1:7" ht="33.75" thickBot="1">
      <c r="A1" s="368" t="s">
        <v>285</v>
      </c>
      <c r="B1" s="369"/>
      <c r="C1" s="369"/>
      <c r="D1" s="369"/>
      <c r="E1" s="369"/>
      <c r="F1" s="369"/>
      <c r="G1" s="369"/>
    </row>
    <row r="2" spans="1:7" ht="14.25" customHeight="1">
      <c r="A2" s="97"/>
      <c r="B2" s="370" t="s">
        <v>1</v>
      </c>
      <c r="C2" s="370" t="s">
        <v>108</v>
      </c>
      <c r="D2" s="370" t="s">
        <v>54</v>
      </c>
      <c r="E2" s="370" t="s">
        <v>53</v>
      </c>
      <c r="F2" s="324" t="s">
        <v>211</v>
      </c>
      <c r="G2" s="372"/>
    </row>
    <row r="3" spans="1:7" ht="15" thickBot="1">
      <c r="A3" s="98"/>
      <c r="B3" s="371"/>
      <c r="C3" s="371"/>
      <c r="D3" s="371"/>
      <c r="E3" s="371"/>
      <c r="F3" s="306" t="s">
        <v>111</v>
      </c>
      <c r="G3" s="307" t="s">
        <v>90</v>
      </c>
    </row>
    <row r="4" spans="1:7" ht="15">
      <c r="A4" s="208">
        <v>1</v>
      </c>
      <c r="B4" s="295" t="s">
        <v>225</v>
      </c>
      <c r="C4" s="198">
        <v>38996</v>
      </c>
      <c r="D4" s="262" t="s">
        <v>23</v>
      </c>
      <c r="E4" s="263" t="s">
        <v>191</v>
      </c>
      <c r="F4" s="272">
        <v>247</v>
      </c>
      <c r="G4" s="209">
        <v>45</v>
      </c>
    </row>
    <row r="5" spans="1:7" ht="15">
      <c r="A5" s="205">
        <v>2</v>
      </c>
      <c r="B5" s="266" t="s">
        <v>225</v>
      </c>
      <c r="C5" s="118">
        <v>38996</v>
      </c>
      <c r="D5" s="133" t="s">
        <v>23</v>
      </c>
      <c r="E5" s="132" t="s">
        <v>191</v>
      </c>
      <c r="F5" s="273">
        <v>170</v>
      </c>
      <c r="G5" s="211">
        <v>34</v>
      </c>
    </row>
    <row r="6" spans="1:7" ht="15">
      <c r="A6" s="208">
        <v>3</v>
      </c>
      <c r="B6" s="164" t="s">
        <v>225</v>
      </c>
      <c r="C6" s="118">
        <v>38996</v>
      </c>
      <c r="D6" s="133" t="s">
        <v>23</v>
      </c>
      <c r="E6" s="132" t="s">
        <v>191</v>
      </c>
      <c r="F6" s="268">
        <v>34</v>
      </c>
      <c r="G6" s="211">
        <v>6</v>
      </c>
    </row>
    <row r="7" spans="1:7" ht="15">
      <c r="A7" s="205">
        <v>4</v>
      </c>
      <c r="B7" s="164" t="s">
        <v>225</v>
      </c>
      <c r="C7" s="118">
        <v>38996</v>
      </c>
      <c r="D7" s="133" t="s">
        <v>23</v>
      </c>
      <c r="E7" s="132" t="s">
        <v>191</v>
      </c>
      <c r="F7" s="268">
        <v>104</v>
      </c>
      <c r="G7" s="211">
        <v>40</v>
      </c>
    </row>
    <row r="8" spans="1:7" ht="15">
      <c r="A8" s="208">
        <v>5</v>
      </c>
      <c r="B8" s="266" t="s">
        <v>24</v>
      </c>
      <c r="C8" s="118">
        <v>38849</v>
      </c>
      <c r="D8" s="133" t="s">
        <v>23</v>
      </c>
      <c r="E8" s="132" t="s">
        <v>25</v>
      </c>
      <c r="F8" s="268">
        <v>1664</v>
      </c>
      <c r="G8" s="211">
        <v>416</v>
      </c>
    </row>
    <row r="9" spans="1:7" ht="15">
      <c r="A9" s="205">
        <v>6</v>
      </c>
      <c r="B9" s="164" t="s">
        <v>24</v>
      </c>
      <c r="C9" s="118">
        <v>38849</v>
      </c>
      <c r="D9" s="302" t="s">
        <v>23</v>
      </c>
      <c r="E9" s="303" t="s">
        <v>25</v>
      </c>
      <c r="F9" s="273">
        <v>75.5</v>
      </c>
      <c r="G9" s="173">
        <v>29</v>
      </c>
    </row>
    <row r="10" spans="1:7" ht="15">
      <c r="A10" s="208">
        <v>7</v>
      </c>
      <c r="B10" s="196" t="s">
        <v>24</v>
      </c>
      <c r="C10" s="118">
        <v>38849</v>
      </c>
      <c r="D10" s="192" t="s">
        <v>23</v>
      </c>
      <c r="E10" s="192" t="s">
        <v>25</v>
      </c>
      <c r="F10" s="268">
        <v>36</v>
      </c>
      <c r="G10" s="211">
        <v>7</v>
      </c>
    </row>
    <row r="11" spans="1:7" ht="15">
      <c r="A11" s="205">
        <v>8</v>
      </c>
      <c r="B11" s="164" t="s">
        <v>24</v>
      </c>
      <c r="C11" s="118">
        <v>38849</v>
      </c>
      <c r="D11" s="133" t="s">
        <v>23</v>
      </c>
      <c r="E11" s="132" t="s">
        <v>25</v>
      </c>
      <c r="F11" s="273">
        <v>27</v>
      </c>
      <c r="G11" s="173">
        <v>5</v>
      </c>
    </row>
    <row r="12" spans="1:7" ht="15">
      <c r="A12" s="208">
        <v>9</v>
      </c>
      <c r="B12" s="161" t="s">
        <v>105</v>
      </c>
      <c r="C12" s="117">
        <v>38968</v>
      </c>
      <c r="D12" s="128" t="s">
        <v>56</v>
      </c>
      <c r="E12" s="127" t="s">
        <v>11</v>
      </c>
      <c r="F12" s="270">
        <v>1950</v>
      </c>
      <c r="G12" s="210">
        <v>531</v>
      </c>
    </row>
    <row r="13" spans="1:7" ht="15">
      <c r="A13" s="205">
        <v>10</v>
      </c>
      <c r="B13" s="264" t="s">
        <v>105</v>
      </c>
      <c r="C13" s="117">
        <v>38968</v>
      </c>
      <c r="D13" s="128" t="s">
        <v>56</v>
      </c>
      <c r="E13" s="127" t="s">
        <v>11</v>
      </c>
      <c r="F13" s="270">
        <v>1946</v>
      </c>
      <c r="G13" s="210">
        <v>529</v>
      </c>
    </row>
    <row r="14" spans="1:7" ht="15">
      <c r="A14" s="208">
        <v>11</v>
      </c>
      <c r="B14" s="161" t="s">
        <v>105</v>
      </c>
      <c r="C14" s="117">
        <v>38968</v>
      </c>
      <c r="D14" s="128" t="s">
        <v>56</v>
      </c>
      <c r="E14" s="127" t="s">
        <v>11</v>
      </c>
      <c r="F14" s="274">
        <v>1728</v>
      </c>
      <c r="G14" s="170">
        <v>313</v>
      </c>
    </row>
    <row r="15" spans="1:7" ht="15">
      <c r="A15" s="205">
        <v>12</v>
      </c>
      <c r="B15" s="195" t="s">
        <v>105</v>
      </c>
      <c r="C15" s="117">
        <v>38968</v>
      </c>
      <c r="D15" s="193" t="s">
        <v>56</v>
      </c>
      <c r="E15" s="193" t="s">
        <v>11</v>
      </c>
      <c r="F15" s="270">
        <v>1727</v>
      </c>
      <c r="G15" s="210">
        <v>487</v>
      </c>
    </row>
    <row r="16" spans="1:7" ht="15">
      <c r="A16" s="208">
        <v>13</v>
      </c>
      <c r="B16" s="161" t="s">
        <v>105</v>
      </c>
      <c r="C16" s="117">
        <v>38968</v>
      </c>
      <c r="D16" s="128" t="s">
        <v>56</v>
      </c>
      <c r="E16" s="127" t="s">
        <v>11</v>
      </c>
      <c r="F16" s="270">
        <v>1662</v>
      </c>
      <c r="G16" s="210">
        <v>474</v>
      </c>
    </row>
    <row r="17" spans="1:7" ht="15">
      <c r="A17" s="205">
        <v>14</v>
      </c>
      <c r="B17" s="164" t="s">
        <v>22</v>
      </c>
      <c r="C17" s="118">
        <v>38996</v>
      </c>
      <c r="D17" s="133" t="s">
        <v>23</v>
      </c>
      <c r="E17" s="132" t="s">
        <v>93</v>
      </c>
      <c r="F17" s="273">
        <v>209.6</v>
      </c>
      <c r="G17" s="173">
        <v>131</v>
      </c>
    </row>
    <row r="18" spans="1:7" ht="15">
      <c r="A18" s="208">
        <v>15</v>
      </c>
      <c r="B18" s="162" t="s">
        <v>117</v>
      </c>
      <c r="C18" s="165">
        <v>39073</v>
      </c>
      <c r="D18" s="160" t="s">
        <v>66</v>
      </c>
      <c r="E18" s="160" t="s">
        <v>66</v>
      </c>
      <c r="F18" s="275">
        <v>155630</v>
      </c>
      <c r="G18" s="171">
        <v>18932</v>
      </c>
    </row>
    <row r="19" spans="1:7" ht="15">
      <c r="A19" s="205">
        <v>16</v>
      </c>
      <c r="B19" s="196" t="s">
        <v>117</v>
      </c>
      <c r="C19" s="118">
        <v>39073</v>
      </c>
      <c r="D19" s="192" t="s">
        <v>66</v>
      </c>
      <c r="E19" s="192" t="s">
        <v>66</v>
      </c>
      <c r="F19" s="268">
        <v>55982</v>
      </c>
      <c r="G19" s="211">
        <v>7628</v>
      </c>
    </row>
    <row r="20" spans="1:7" ht="15">
      <c r="A20" s="208">
        <v>17</v>
      </c>
      <c r="B20" s="163" t="s">
        <v>117</v>
      </c>
      <c r="C20" s="118">
        <v>39073</v>
      </c>
      <c r="D20" s="160" t="s">
        <v>66</v>
      </c>
      <c r="E20" s="192" t="s">
        <v>66</v>
      </c>
      <c r="F20" s="268">
        <v>15271</v>
      </c>
      <c r="G20" s="211">
        <v>2641</v>
      </c>
    </row>
    <row r="21" spans="1:7" ht="15">
      <c r="A21" s="205">
        <v>18</v>
      </c>
      <c r="B21" s="265" t="s">
        <v>117</v>
      </c>
      <c r="C21" s="118">
        <v>39073</v>
      </c>
      <c r="D21" s="129" t="s">
        <v>58</v>
      </c>
      <c r="E21" s="129" t="s">
        <v>66</v>
      </c>
      <c r="F21" s="273">
        <v>11300.5</v>
      </c>
      <c r="G21" s="211">
        <v>2010</v>
      </c>
    </row>
    <row r="22" spans="1:7" ht="15">
      <c r="A22" s="208">
        <v>19</v>
      </c>
      <c r="B22" s="163" t="s">
        <v>117</v>
      </c>
      <c r="C22" s="118">
        <v>39073</v>
      </c>
      <c r="D22" s="129" t="s">
        <v>66</v>
      </c>
      <c r="E22" s="129" t="s">
        <v>66</v>
      </c>
      <c r="F22" s="268">
        <v>9440</v>
      </c>
      <c r="G22" s="211">
        <v>1724</v>
      </c>
    </row>
    <row r="23" spans="1:7" ht="15">
      <c r="A23" s="205">
        <v>20</v>
      </c>
      <c r="B23" s="265" t="s">
        <v>117</v>
      </c>
      <c r="C23" s="118">
        <v>39073</v>
      </c>
      <c r="D23" s="129" t="s">
        <v>66</v>
      </c>
      <c r="E23" s="129" t="s">
        <v>66</v>
      </c>
      <c r="F23" s="268">
        <v>7453.5</v>
      </c>
      <c r="G23" s="211">
        <v>1317</v>
      </c>
    </row>
    <row r="24" spans="1:7" ht="15">
      <c r="A24" s="208">
        <v>21</v>
      </c>
      <c r="B24" s="162" t="s">
        <v>117</v>
      </c>
      <c r="C24" s="165">
        <v>39073</v>
      </c>
      <c r="D24" s="300" t="s">
        <v>66</v>
      </c>
      <c r="E24" s="299" t="s">
        <v>66</v>
      </c>
      <c r="F24" s="275">
        <v>7141.5</v>
      </c>
      <c r="G24" s="171">
        <v>1184</v>
      </c>
    </row>
    <row r="25" spans="1:7" ht="15">
      <c r="A25" s="205">
        <v>22</v>
      </c>
      <c r="B25" s="316" t="s">
        <v>117</v>
      </c>
      <c r="C25" s="165">
        <v>39073</v>
      </c>
      <c r="D25" s="300" t="s">
        <v>66</v>
      </c>
      <c r="E25" s="300" t="s">
        <v>66</v>
      </c>
      <c r="F25" s="275">
        <v>2945</v>
      </c>
      <c r="G25" s="171">
        <v>655</v>
      </c>
    </row>
    <row r="26" spans="1:7" ht="15">
      <c r="A26" s="208">
        <v>23</v>
      </c>
      <c r="B26" s="163" t="s">
        <v>117</v>
      </c>
      <c r="C26" s="118">
        <v>39073</v>
      </c>
      <c r="D26" s="308" t="s">
        <v>58</v>
      </c>
      <c r="E26" s="308" t="s">
        <v>66</v>
      </c>
      <c r="F26" s="310">
        <v>2772.5</v>
      </c>
      <c r="G26" s="211">
        <v>553</v>
      </c>
    </row>
    <row r="27" spans="1:7" ht="15">
      <c r="A27" s="205">
        <v>24</v>
      </c>
      <c r="B27" s="265" t="s">
        <v>117</v>
      </c>
      <c r="C27" s="118">
        <v>39073</v>
      </c>
      <c r="D27" s="129" t="s">
        <v>12</v>
      </c>
      <c r="E27" s="129" t="s">
        <v>66</v>
      </c>
      <c r="F27" s="268">
        <v>30</v>
      </c>
      <c r="G27" s="211">
        <v>5</v>
      </c>
    </row>
    <row r="28" spans="1:7" ht="15">
      <c r="A28" s="208">
        <v>25</v>
      </c>
      <c r="B28" s="163" t="s">
        <v>254</v>
      </c>
      <c r="C28" s="118">
        <v>38674</v>
      </c>
      <c r="D28" s="308" t="s">
        <v>58</v>
      </c>
      <c r="E28" s="308" t="s">
        <v>255</v>
      </c>
      <c r="F28" s="310">
        <v>493</v>
      </c>
      <c r="G28" s="211">
        <v>96</v>
      </c>
    </row>
    <row r="29" spans="1:7" ht="15">
      <c r="A29" s="205">
        <v>26</v>
      </c>
      <c r="B29" s="163" t="s">
        <v>35</v>
      </c>
      <c r="C29" s="165">
        <v>39031</v>
      </c>
      <c r="D29" s="300" t="s">
        <v>57</v>
      </c>
      <c r="E29" s="300" t="s">
        <v>71</v>
      </c>
      <c r="F29" s="275">
        <v>175616</v>
      </c>
      <c r="G29" s="171">
        <v>19998</v>
      </c>
    </row>
    <row r="30" spans="1:7" ht="15">
      <c r="A30" s="208">
        <v>27</v>
      </c>
      <c r="B30" s="396" t="s">
        <v>35</v>
      </c>
      <c r="C30" s="390">
        <v>39031</v>
      </c>
      <c r="D30" s="392" t="s">
        <v>57</v>
      </c>
      <c r="E30" s="392" t="s">
        <v>71</v>
      </c>
      <c r="F30" s="391">
        <v>20934</v>
      </c>
      <c r="G30" s="397">
        <v>2628</v>
      </c>
    </row>
    <row r="31" spans="1:7" ht="15">
      <c r="A31" s="205">
        <v>28</v>
      </c>
      <c r="B31" s="162" t="s">
        <v>35</v>
      </c>
      <c r="C31" s="165">
        <v>39031</v>
      </c>
      <c r="D31" s="129" t="s">
        <v>57</v>
      </c>
      <c r="E31" s="160" t="s">
        <v>71</v>
      </c>
      <c r="F31" s="275">
        <v>2367</v>
      </c>
      <c r="G31" s="171">
        <v>702</v>
      </c>
    </row>
    <row r="32" spans="1:7" ht="15">
      <c r="A32" s="208">
        <v>29</v>
      </c>
      <c r="B32" s="265" t="s">
        <v>35</v>
      </c>
      <c r="C32" s="118">
        <v>39031</v>
      </c>
      <c r="D32" s="129" t="s">
        <v>57</v>
      </c>
      <c r="E32" s="129" t="s">
        <v>71</v>
      </c>
      <c r="F32" s="268">
        <v>1427</v>
      </c>
      <c r="G32" s="211">
        <v>281</v>
      </c>
    </row>
    <row r="33" spans="1:7" ht="15">
      <c r="A33" s="205">
        <v>30</v>
      </c>
      <c r="B33" s="163" t="s">
        <v>35</v>
      </c>
      <c r="C33" s="118">
        <v>39031</v>
      </c>
      <c r="D33" s="129" t="s">
        <v>57</v>
      </c>
      <c r="E33" s="129" t="s">
        <v>71</v>
      </c>
      <c r="F33" s="268">
        <v>1155</v>
      </c>
      <c r="G33" s="211">
        <v>350</v>
      </c>
    </row>
    <row r="34" spans="1:7" ht="15">
      <c r="A34" s="208">
        <v>31</v>
      </c>
      <c r="B34" s="196" t="s">
        <v>35</v>
      </c>
      <c r="C34" s="118">
        <v>39031</v>
      </c>
      <c r="D34" s="192" t="s">
        <v>57</v>
      </c>
      <c r="E34" s="192" t="s">
        <v>71</v>
      </c>
      <c r="F34" s="268">
        <v>1155</v>
      </c>
      <c r="G34" s="211">
        <v>350</v>
      </c>
    </row>
    <row r="35" spans="1:7" ht="15">
      <c r="A35" s="205">
        <v>32</v>
      </c>
      <c r="B35" s="163" t="s">
        <v>221</v>
      </c>
      <c r="C35" s="118">
        <v>38779</v>
      </c>
      <c r="D35" s="129" t="s">
        <v>57</v>
      </c>
      <c r="E35" s="129" t="s">
        <v>60</v>
      </c>
      <c r="F35" s="268">
        <v>1156</v>
      </c>
      <c r="G35" s="211">
        <v>350</v>
      </c>
    </row>
    <row r="36" spans="1:7" ht="15">
      <c r="A36" s="208">
        <v>33</v>
      </c>
      <c r="B36" s="162" t="s">
        <v>92</v>
      </c>
      <c r="C36" s="165">
        <v>39010</v>
      </c>
      <c r="D36" s="129" t="s">
        <v>57</v>
      </c>
      <c r="E36" s="160" t="s">
        <v>65</v>
      </c>
      <c r="F36" s="275">
        <v>5487</v>
      </c>
      <c r="G36" s="171">
        <v>1043</v>
      </c>
    </row>
    <row r="37" spans="1:7" ht="15">
      <c r="A37" s="205">
        <v>34</v>
      </c>
      <c r="B37" s="196" t="s">
        <v>92</v>
      </c>
      <c r="C37" s="118">
        <v>39010</v>
      </c>
      <c r="D37" s="192" t="s">
        <v>57</v>
      </c>
      <c r="E37" s="192" t="s">
        <v>65</v>
      </c>
      <c r="F37" s="268">
        <v>3402</v>
      </c>
      <c r="G37" s="211">
        <v>724</v>
      </c>
    </row>
    <row r="38" spans="1:7" ht="15">
      <c r="A38" s="208">
        <v>35</v>
      </c>
      <c r="B38" s="163" t="s">
        <v>92</v>
      </c>
      <c r="C38" s="118">
        <v>39010</v>
      </c>
      <c r="D38" s="129" t="s">
        <v>57</v>
      </c>
      <c r="E38" s="129" t="s">
        <v>65</v>
      </c>
      <c r="F38" s="268">
        <v>2468</v>
      </c>
      <c r="G38" s="211">
        <v>1189</v>
      </c>
    </row>
    <row r="39" spans="1:7" ht="15">
      <c r="A39" s="205">
        <v>36</v>
      </c>
      <c r="B39" s="265" t="s">
        <v>92</v>
      </c>
      <c r="C39" s="118">
        <v>39010</v>
      </c>
      <c r="D39" s="129" t="s">
        <v>57</v>
      </c>
      <c r="E39" s="129" t="s">
        <v>65</v>
      </c>
      <c r="F39" s="273">
        <v>2375</v>
      </c>
      <c r="G39" s="211">
        <v>705</v>
      </c>
    </row>
    <row r="40" spans="1:7" ht="15">
      <c r="A40" s="208">
        <v>37</v>
      </c>
      <c r="B40" s="265" t="s">
        <v>92</v>
      </c>
      <c r="C40" s="118">
        <v>39010</v>
      </c>
      <c r="D40" s="129" t="s">
        <v>57</v>
      </c>
      <c r="E40" s="129" t="s">
        <v>65</v>
      </c>
      <c r="F40" s="268">
        <v>238</v>
      </c>
      <c r="G40" s="211">
        <v>46</v>
      </c>
    </row>
    <row r="41" spans="1:7" ht="15">
      <c r="A41" s="205">
        <v>38</v>
      </c>
      <c r="B41" s="316" t="s">
        <v>280</v>
      </c>
      <c r="C41" s="165">
        <v>38989</v>
      </c>
      <c r="D41" s="300" t="s">
        <v>58</v>
      </c>
      <c r="E41" s="300" t="s">
        <v>281</v>
      </c>
      <c r="F41" s="275">
        <v>1511</v>
      </c>
      <c r="G41" s="171">
        <v>303</v>
      </c>
    </row>
    <row r="42" spans="1:7" ht="15">
      <c r="A42" s="208">
        <v>39</v>
      </c>
      <c r="B42" s="266" t="s">
        <v>192</v>
      </c>
      <c r="C42" s="118">
        <v>38905</v>
      </c>
      <c r="D42" s="133" t="s">
        <v>23</v>
      </c>
      <c r="E42" s="132" t="s">
        <v>193</v>
      </c>
      <c r="F42" s="268">
        <v>262.4</v>
      </c>
      <c r="G42" s="211">
        <v>164</v>
      </c>
    </row>
    <row r="43" spans="1:7" ht="15">
      <c r="A43" s="205">
        <v>40</v>
      </c>
      <c r="B43" s="162" t="s">
        <v>80</v>
      </c>
      <c r="C43" s="165">
        <v>39052</v>
      </c>
      <c r="D43" s="160" t="s">
        <v>58</v>
      </c>
      <c r="E43" s="160" t="s">
        <v>59</v>
      </c>
      <c r="F43" s="275">
        <v>2938</v>
      </c>
      <c r="G43" s="171">
        <v>448</v>
      </c>
    </row>
    <row r="44" spans="1:7" ht="15">
      <c r="A44" s="208">
        <v>41</v>
      </c>
      <c r="B44" s="163" t="s">
        <v>80</v>
      </c>
      <c r="C44" s="118">
        <v>39052</v>
      </c>
      <c r="D44" s="129" t="s">
        <v>58</v>
      </c>
      <c r="E44" s="129" t="s">
        <v>59</v>
      </c>
      <c r="F44" s="268">
        <v>2306</v>
      </c>
      <c r="G44" s="211">
        <v>733</v>
      </c>
    </row>
    <row r="45" spans="1:7" ht="15">
      <c r="A45" s="205">
        <v>42</v>
      </c>
      <c r="B45" s="196" t="s">
        <v>80</v>
      </c>
      <c r="C45" s="118">
        <v>39052</v>
      </c>
      <c r="D45" s="192" t="s">
        <v>58</v>
      </c>
      <c r="E45" s="192" t="s">
        <v>59</v>
      </c>
      <c r="F45" s="268">
        <v>1587.5</v>
      </c>
      <c r="G45" s="211">
        <v>252</v>
      </c>
    </row>
    <row r="46" spans="1:7" ht="15">
      <c r="A46" s="208">
        <v>43</v>
      </c>
      <c r="B46" s="164" t="s">
        <v>118</v>
      </c>
      <c r="C46" s="118">
        <v>39073</v>
      </c>
      <c r="D46" s="133" t="s">
        <v>23</v>
      </c>
      <c r="E46" s="132" t="s">
        <v>98</v>
      </c>
      <c r="F46" s="273">
        <v>2937</v>
      </c>
      <c r="G46" s="173">
        <v>367</v>
      </c>
    </row>
    <row r="47" spans="1:7" ht="15">
      <c r="A47" s="205">
        <v>44</v>
      </c>
      <c r="B47" s="164" t="s">
        <v>118</v>
      </c>
      <c r="C47" s="118">
        <v>39073</v>
      </c>
      <c r="D47" s="302" t="s">
        <v>23</v>
      </c>
      <c r="E47" s="303" t="s">
        <v>98</v>
      </c>
      <c r="F47" s="310">
        <v>1780</v>
      </c>
      <c r="G47" s="211">
        <v>445</v>
      </c>
    </row>
    <row r="48" spans="1:7" ht="15">
      <c r="A48" s="208">
        <v>45</v>
      </c>
      <c r="B48" s="266" t="s">
        <v>118</v>
      </c>
      <c r="C48" s="118">
        <v>39073</v>
      </c>
      <c r="D48" s="302" t="s">
        <v>23</v>
      </c>
      <c r="E48" s="303" t="s">
        <v>98</v>
      </c>
      <c r="F48" s="273">
        <v>1780</v>
      </c>
      <c r="G48" s="173">
        <v>445</v>
      </c>
    </row>
    <row r="49" spans="1:7" ht="15">
      <c r="A49" s="205">
        <v>46</v>
      </c>
      <c r="B49" s="164" t="s">
        <v>118</v>
      </c>
      <c r="C49" s="118">
        <v>39073</v>
      </c>
      <c r="D49" s="302" t="s">
        <v>23</v>
      </c>
      <c r="E49" s="303" t="s">
        <v>98</v>
      </c>
      <c r="F49" s="273">
        <v>1015</v>
      </c>
      <c r="G49" s="173">
        <v>135</v>
      </c>
    </row>
    <row r="50" spans="1:7" ht="15">
      <c r="A50" s="208">
        <v>47</v>
      </c>
      <c r="B50" s="196" t="s">
        <v>118</v>
      </c>
      <c r="C50" s="118">
        <v>39073</v>
      </c>
      <c r="D50" s="192" t="s">
        <v>23</v>
      </c>
      <c r="E50" s="192" t="s">
        <v>98</v>
      </c>
      <c r="F50" s="268">
        <v>796</v>
      </c>
      <c r="G50" s="211">
        <v>81</v>
      </c>
    </row>
    <row r="51" spans="1:7" ht="15">
      <c r="A51" s="205">
        <v>48</v>
      </c>
      <c r="B51" s="266" t="s">
        <v>118</v>
      </c>
      <c r="C51" s="118">
        <v>39073</v>
      </c>
      <c r="D51" s="133" t="s">
        <v>23</v>
      </c>
      <c r="E51" s="132" t="s">
        <v>98</v>
      </c>
      <c r="F51" s="268">
        <v>464</v>
      </c>
      <c r="G51" s="211">
        <v>63</v>
      </c>
    </row>
    <row r="52" spans="1:7" ht="15">
      <c r="A52" s="208">
        <v>49</v>
      </c>
      <c r="B52" s="164" t="s">
        <v>118</v>
      </c>
      <c r="C52" s="118">
        <v>39073</v>
      </c>
      <c r="D52" s="133" t="s">
        <v>23</v>
      </c>
      <c r="E52" s="132" t="s">
        <v>98</v>
      </c>
      <c r="F52" s="268">
        <v>64</v>
      </c>
      <c r="G52" s="211">
        <v>7</v>
      </c>
    </row>
    <row r="53" spans="1:7" ht="15">
      <c r="A53" s="205">
        <v>50</v>
      </c>
      <c r="B53" s="266" t="s">
        <v>194</v>
      </c>
      <c r="C53" s="118">
        <v>38870</v>
      </c>
      <c r="D53" s="133" t="s">
        <v>23</v>
      </c>
      <c r="E53" s="132" t="s">
        <v>195</v>
      </c>
      <c r="F53" s="268">
        <v>204</v>
      </c>
      <c r="G53" s="211">
        <v>40</v>
      </c>
    </row>
    <row r="54" spans="1:7" ht="15">
      <c r="A54" s="208">
        <v>51</v>
      </c>
      <c r="B54" s="163" t="s">
        <v>26</v>
      </c>
      <c r="C54" s="118">
        <v>38975</v>
      </c>
      <c r="D54" s="129" t="s">
        <v>57</v>
      </c>
      <c r="E54" s="129" t="s">
        <v>60</v>
      </c>
      <c r="F54" s="268">
        <v>7149</v>
      </c>
      <c r="G54" s="211">
        <v>1229</v>
      </c>
    </row>
    <row r="55" spans="1:7" ht="15">
      <c r="A55" s="205">
        <v>52</v>
      </c>
      <c r="B55" s="265" t="s">
        <v>26</v>
      </c>
      <c r="C55" s="118">
        <v>38975</v>
      </c>
      <c r="D55" s="129" t="s">
        <v>57</v>
      </c>
      <c r="E55" s="129" t="s">
        <v>60</v>
      </c>
      <c r="F55" s="273">
        <v>2635</v>
      </c>
      <c r="G55" s="211">
        <v>667</v>
      </c>
    </row>
    <row r="56" spans="1:7" ht="15">
      <c r="A56" s="208">
        <v>53</v>
      </c>
      <c r="B56" s="162" t="s">
        <v>26</v>
      </c>
      <c r="C56" s="165">
        <v>38975</v>
      </c>
      <c r="D56" s="129" t="s">
        <v>57</v>
      </c>
      <c r="E56" s="160" t="s">
        <v>60</v>
      </c>
      <c r="F56" s="275">
        <v>2120</v>
      </c>
      <c r="G56" s="171">
        <v>369</v>
      </c>
    </row>
    <row r="57" spans="1:7" ht="15">
      <c r="A57" s="205">
        <v>54</v>
      </c>
      <c r="B57" s="162" t="s">
        <v>26</v>
      </c>
      <c r="C57" s="165">
        <v>38975</v>
      </c>
      <c r="D57" s="300" t="s">
        <v>57</v>
      </c>
      <c r="E57" s="300" t="s">
        <v>60</v>
      </c>
      <c r="F57" s="275">
        <v>2115</v>
      </c>
      <c r="G57" s="171">
        <v>582</v>
      </c>
    </row>
    <row r="58" spans="1:7" ht="15">
      <c r="A58" s="208">
        <v>55</v>
      </c>
      <c r="B58" s="196" t="s">
        <v>26</v>
      </c>
      <c r="C58" s="118">
        <v>38975</v>
      </c>
      <c r="D58" s="192" t="s">
        <v>57</v>
      </c>
      <c r="E58" s="192" t="s">
        <v>60</v>
      </c>
      <c r="F58" s="268">
        <v>887</v>
      </c>
      <c r="G58" s="211">
        <v>160</v>
      </c>
    </row>
    <row r="59" spans="1:7" ht="15">
      <c r="A59" s="205">
        <v>56</v>
      </c>
      <c r="B59" s="163" t="s">
        <v>26</v>
      </c>
      <c r="C59" s="118">
        <v>38975</v>
      </c>
      <c r="D59" s="129" t="s">
        <v>57</v>
      </c>
      <c r="E59" s="129" t="s">
        <v>60</v>
      </c>
      <c r="F59" s="268">
        <v>284</v>
      </c>
      <c r="G59" s="211">
        <v>47</v>
      </c>
    </row>
    <row r="60" spans="1:7" ht="15">
      <c r="A60" s="208">
        <v>57</v>
      </c>
      <c r="B60" s="265" t="s">
        <v>26</v>
      </c>
      <c r="C60" s="118">
        <v>38975</v>
      </c>
      <c r="D60" s="129" t="s">
        <v>57</v>
      </c>
      <c r="E60" s="129" t="s">
        <v>60</v>
      </c>
      <c r="F60" s="268">
        <v>247</v>
      </c>
      <c r="G60" s="211">
        <v>41</v>
      </c>
    </row>
    <row r="61" spans="1:7" ht="15">
      <c r="A61" s="205">
        <v>58</v>
      </c>
      <c r="B61" s="161" t="s">
        <v>41</v>
      </c>
      <c r="C61" s="117">
        <v>39038</v>
      </c>
      <c r="D61" s="128" t="s">
        <v>56</v>
      </c>
      <c r="E61" s="127" t="s">
        <v>61</v>
      </c>
      <c r="F61" s="274">
        <v>7970</v>
      </c>
      <c r="G61" s="170">
        <v>1455</v>
      </c>
    </row>
    <row r="62" spans="1:7" ht="15">
      <c r="A62" s="208">
        <v>59</v>
      </c>
      <c r="B62" s="264" t="s">
        <v>41</v>
      </c>
      <c r="C62" s="117">
        <v>39038</v>
      </c>
      <c r="D62" s="128" t="s">
        <v>56</v>
      </c>
      <c r="E62" s="127" t="s">
        <v>61</v>
      </c>
      <c r="F62" s="270">
        <v>6458</v>
      </c>
      <c r="G62" s="210">
        <v>1814</v>
      </c>
    </row>
    <row r="63" spans="1:7" ht="15">
      <c r="A63" s="205">
        <v>60</v>
      </c>
      <c r="B63" s="195" t="s">
        <v>41</v>
      </c>
      <c r="C63" s="117">
        <v>39038</v>
      </c>
      <c r="D63" s="193" t="s">
        <v>56</v>
      </c>
      <c r="E63" s="193" t="s">
        <v>61</v>
      </c>
      <c r="F63" s="270">
        <v>2372</v>
      </c>
      <c r="G63" s="210">
        <v>338</v>
      </c>
    </row>
    <row r="64" spans="1:7" ht="15">
      <c r="A64" s="208">
        <v>61</v>
      </c>
      <c r="B64" s="161" t="s">
        <v>41</v>
      </c>
      <c r="C64" s="117">
        <v>39038</v>
      </c>
      <c r="D64" s="128" t="s">
        <v>56</v>
      </c>
      <c r="E64" s="127" t="s">
        <v>61</v>
      </c>
      <c r="F64" s="270">
        <v>1812</v>
      </c>
      <c r="G64" s="210">
        <v>360</v>
      </c>
    </row>
    <row r="65" spans="1:7" ht="15">
      <c r="A65" s="205">
        <v>62</v>
      </c>
      <c r="B65" s="264" t="s">
        <v>41</v>
      </c>
      <c r="C65" s="117">
        <v>39038</v>
      </c>
      <c r="D65" s="128" t="s">
        <v>56</v>
      </c>
      <c r="E65" s="127" t="s">
        <v>61</v>
      </c>
      <c r="F65" s="270">
        <v>986</v>
      </c>
      <c r="G65" s="210">
        <v>181</v>
      </c>
    </row>
    <row r="66" spans="1:7" ht="15">
      <c r="A66" s="208">
        <v>63</v>
      </c>
      <c r="B66" s="264" t="s">
        <v>41</v>
      </c>
      <c r="C66" s="117">
        <v>39038</v>
      </c>
      <c r="D66" s="298" t="s">
        <v>56</v>
      </c>
      <c r="E66" s="299" t="s">
        <v>61</v>
      </c>
      <c r="F66" s="274">
        <v>523</v>
      </c>
      <c r="G66" s="170">
        <v>69</v>
      </c>
    </row>
    <row r="67" spans="1:7" ht="15">
      <c r="A67" s="205">
        <v>64</v>
      </c>
      <c r="B67" s="161" t="s">
        <v>41</v>
      </c>
      <c r="C67" s="117">
        <v>39038</v>
      </c>
      <c r="D67" s="128" t="s">
        <v>56</v>
      </c>
      <c r="E67" s="127" t="s">
        <v>61</v>
      </c>
      <c r="F67" s="270">
        <v>406</v>
      </c>
      <c r="G67" s="210">
        <v>59</v>
      </c>
    </row>
    <row r="68" spans="1:7" ht="15">
      <c r="A68" s="208">
        <v>65</v>
      </c>
      <c r="B68" s="264" t="s">
        <v>41</v>
      </c>
      <c r="C68" s="117">
        <v>39038</v>
      </c>
      <c r="D68" s="128" t="s">
        <v>56</v>
      </c>
      <c r="E68" s="127" t="s">
        <v>61</v>
      </c>
      <c r="F68" s="274">
        <v>362</v>
      </c>
      <c r="G68" s="210">
        <v>51</v>
      </c>
    </row>
    <row r="69" spans="1:7" ht="15">
      <c r="A69" s="205">
        <v>66</v>
      </c>
      <c r="B69" s="161" t="s">
        <v>41</v>
      </c>
      <c r="C69" s="117">
        <v>39038</v>
      </c>
      <c r="D69" s="298" t="s">
        <v>56</v>
      </c>
      <c r="E69" s="299" t="s">
        <v>61</v>
      </c>
      <c r="F69" s="311">
        <v>237</v>
      </c>
      <c r="G69" s="210">
        <v>32</v>
      </c>
    </row>
    <row r="70" spans="1:7" ht="15">
      <c r="A70" s="208">
        <v>67</v>
      </c>
      <c r="B70" s="161" t="s">
        <v>41</v>
      </c>
      <c r="C70" s="117">
        <v>39038</v>
      </c>
      <c r="D70" s="298" t="s">
        <v>56</v>
      </c>
      <c r="E70" s="299" t="s">
        <v>61</v>
      </c>
      <c r="F70" s="274">
        <v>171</v>
      </c>
      <c r="G70" s="170">
        <v>23</v>
      </c>
    </row>
    <row r="71" spans="1:7" ht="15">
      <c r="A71" s="205">
        <v>68</v>
      </c>
      <c r="B71" s="162" t="s">
        <v>128</v>
      </c>
      <c r="C71" s="165">
        <v>39066</v>
      </c>
      <c r="D71" s="160" t="s">
        <v>58</v>
      </c>
      <c r="E71" s="160" t="s">
        <v>115</v>
      </c>
      <c r="F71" s="275">
        <v>41050.5</v>
      </c>
      <c r="G71" s="171">
        <v>5261</v>
      </c>
    </row>
    <row r="72" spans="1:7" ht="15">
      <c r="A72" s="208">
        <v>69</v>
      </c>
      <c r="B72" s="196" t="s">
        <v>128</v>
      </c>
      <c r="C72" s="118">
        <v>39066</v>
      </c>
      <c r="D72" s="192" t="s">
        <v>58</v>
      </c>
      <c r="E72" s="192" t="s">
        <v>115</v>
      </c>
      <c r="F72" s="268">
        <v>19306.5</v>
      </c>
      <c r="G72" s="211">
        <v>3088</v>
      </c>
    </row>
    <row r="73" spans="1:7" ht="15">
      <c r="A73" s="205">
        <v>70</v>
      </c>
      <c r="B73" s="163" t="s">
        <v>128</v>
      </c>
      <c r="C73" s="118">
        <v>39066</v>
      </c>
      <c r="D73" s="129" t="s">
        <v>58</v>
      </c>
      <c r="E73" s="129" t="s">
        <v>115</v>
      </c>
      <c r="F73" s="268">
        <v>6896.5</v>
      </c>
      <c r="G73" s="211">
        <v>1472</v>
      </c>
    </row>
    <row r="74" spans="1:7" ht="15">
      <c r="A74" s="208">
        <v>71</v>
      </c>
      <c r="B74" s="162" t="s">
        <v>128</v>
      </c>
      <c r="C74" s="165">
        <v>39066</v>
      </c>
      <c r="D74" s="300" t="s">
        <v>58</v>
      </c>
      <c r="E74" s="299" t="s">
        <v>115</v>
      </c>
      <c r="F74" s="275">
        <v>5538.5</v>
      </c>
      <c r="G74" s="171">
        <v>1614</v>
      </c>
    </row>
    <row r="75" spans="1:7" ht="15">
      <c r="A75" s="205">
        <v>72</v>
      </c>
      <c r="B75" s="163" t="s">
        <v>128</v>
      </c>
      <c r="C75" s="118">
        <v>39066</v>
      </c>
      <c r="D75" s="129" t="s">
        <v>58</v>
      </c>
      <c r="E75" s="129" t="s">
        <v>115</v>
      </c>
      <c r="F75" s="268">
        <v>2843</v>
      </c>
      <c r="G75" s="211">
        <v>581</v>
      </c>
    </row>
    <row r="76" spans="1:7" ht="15">
      <c r="A76" s="208">
        <v>73</v>
      </c>
      <c r="B76" s="265" t="s">
        <v>128</v>
      </c>
      <c r="C76" s="118">
        <v>39066</v>
      </c>
      <c r="D76" s="129" t="s">
        <v>58</v>
      </c>
      <c r="E76" s="129" t="s">
        <v>115</v>
      </c>
      <c r="F76" s="273">
        <v>2025</v>
      </c>
      <c r="G76" s="211">
        <v>379</v>
      </c>
    </row>
    <row r="77" spans="1:7" ht="15">
      <c r="A77" s="205">
        <v>74</v>
      </c>
      <c r="B77" s="265" t="s">
        <v>128</v>
      </c>
      <c r="C77" s="118">
        <v>39066</v>
      </c>
      <c r="D77" s="129" t="s">
        <v>58</v>
      </c>
      <c r="E77" s="129" t="s">
        <v>115</v>
      </c>
      <c r="F77" s="268">
        <v>1781</v>
      </c>
      <c r="G77" s="211">
        <v>334</v>
      </c>
    </row>
    <row r="78" spans="1:7" ht="15">
      <c r="A78" s="205">
        <v>75</v>
      </c>
      <c r="B78" s="316" t="s">
        <v>128</v>
      </c>
      <c r="C78" s="165">
        <v>39066</v>
      </c>
      <c r="D78" s="300" t="s">
        <v>58</v>
      </c>
      <c r="E78" s="300" t="s">
        <v>115</v>
      </c>
      <c r="F78" s="275">
        <v>831</v>
      </c>
      <c r="G78" s="171">
        <v>256</v>
      </c>
    </row>
    <row r="79" spans="1:7" ht="15">
      <c r="A79" s="208">
        <v>76</v>
      </c>
      <c r="B79" s="163" t="s">
        <v>128</v>
      </c>
      <c r="C79" s="118">
        <v>39066</v>
      </c>
      <c r="D79" s="308" t="s">
        <v>58</v>
      </c>
      <c r="E79" s="308" t="s">
        <v>115</v>
      </c>
      <c r="F79" s="310">
        <v>533</v>
      </c>
      <c r="G79" s="211">
        <v>148</v>
      </c>
    </row>
    <row r="80" spans="1:7" ht="15">
      <c r="A80" s="205">
        <v>77</v>
      </c>
      <c r="B80" s="265" t="s">
        <v>128</v>
      </c>
      <c r="C80" s="118">
        <v>39066</v>
      </c>
      <c r="D80" s="129" t="s">
        <v>12</v>
      </c>
      <c r="E80" s="129" t="s">
        <v>115</v>
      </c>
      <c r="F80" s="268">
        <v>160</v>
      </c>
      <c r="G80" s="211">
        <v>32</v>
      </c>
    </row>
    <row r="81" spans="1:7" ht="15">
      <c r="A81" s="208">
        <v>78</v>
      </c>
      <c r="B81" s="162" t="s">
        <v>137</v>
      </c>
      <c r="C81" s="165">
        <v>38807</v>
      </c>
      <c r="D81" s="160" t="s">
        <v>73</v>
      </c>
      <c r="E81" s="160" t="s">
        <v>138</v>
      </c>
      <c r="F81" s="275">
        <v>1430</v>
      </c>
      <c r="G81" s="171">
        <v>286</v>
      </c>
    </row>
    <row r="82" spans="1:7" ht="15">
      <c r="A82" s="205">
        <v>79</v>
      </c>
      <c r="B82" s="163" t="s">
        <v>81</v>
      </c>
      <c r="C82" s="118">
        <v>39052</v>
      </c>
      <c r="D82" s="129" t="s">
        <v>55</v>
      </c>
      <c r="E82" s="129" t="s">
        <v>55</v>
      </c>
      <c r="F82" s="273">
        <v>6236</v>
      </c>
      <c r="G82" s="173">
        <v>855</v>
      </c>
    </row>
    <row r="83" spans="1:7" ht="15">
      <c r="A83" s="208">
        <v>80</v>
      </c>
      <c r="B83" s="163" t="s">
        <v>81</v>
      </c>
      <c r="C83" s="118">
        <v>39052</v>
      </c>
      <c r="D83" s="129" t="s">
        <v>55</v>
      </c>
      <c r="E83" s="129" t="s">
        <v>55</v>
      </c>
      <c r="F83" s="268">
        <v>2023</v>
      </c>
      <c r="G83" s="211">
        <v>433</v>
      </c>
    </row>
    <row r="84" spans="1:7" ht="15">
      <c r="A84" s="205">
        <v>81</v>
      </c>
      <c r="B84" s="196" t="s">
        <v>81</v>
      </c>
      <c r="C84" s="118">
        <v>39052</v>
      </c>
      <c r="D84" s="192" t="s">
        <v>55</v>
      </c>
      <c r="E84" s="192" t="s">
        <v>55</v>
      </c>
      <c r="F84" s="268">
        <v>1507</v>
      </c>
      <c r="G84" s="211">
        <v>276</v>
      </c>
    </row>
    <row r="85" spans="1:7" ht="15">
      <c r="A85" s="208">
        <v>82</v>
      </c>
      <c r="B85" s="265" t="s">
        <v>81</v>
      </c>
      <c r="C85" s="118">
        <v>39052</v>
      </c>
      <c r="D85" s="129" t="s">
        <v>55</v>
      </c>
      <c r="E85" s="129" t="s">
        <v>63</v>
      </c>
      <c r="F85" s="268">
        <v>287</v>
      </c>
      <c r="G85" s="211">
        <v>70</v>
      </c>
    </row>
    <row r="86" spans="1:7" ht="15">
      <c r="A86" s="205">
        <v>83</v>
      </c>
      <c r="B86" s="161" t="s">
        <v>175</v>
      </c>
      <c r="C86" s="117">
        <v>38982</v>
      </c>
      <c r="D86" s="128" t="s">
        <v>56</v>
      </c>
      <c r="E86" s="127" t="s">
        <v>61</v>
      </c>
      <c r="F86" s="270">
        <v>880</v>
      </c>
      <c r="G86" s="210">
        <v>165</v>
      </c>
    </row>
    <row r="87" spans="1:7" ht="15">
      <c r="A87" s="208">
        <v>84</v>
      </c>
      <c r="B87" s="264" t="s">
        <v>175</v>
      </c>
      <c r="C87" s="117">
        <v>38982</v>
      </c>
      <c r="D87" s="128" t="s">
        <v>56</v>
      </c>
      <c r="E87" s="127" t="s">
        <v>61</v>
      </c>
      <c r="F87" s="270">
        <v>785</v>
      </c>
      <c r="G87" s="210">
        <v>151</v>
      </c>
    </row>
    <row r="88" spans="1:7" ht="15">
      <c r="A88" s="205">
        <v>85</v>
      </c>
      <c r="B88" s="159" t="s">
        <v>224</v>
      </c>
      <c r="C88" s="117">
        <v>38849</v>
      </c>
      <c r="D88" s="130" t="s">
        <v>187</v>
      </c>
      <c r="E88" s="130" t="s">
        <v>66</v>
      </c>
      <c r="F88" s="270">
        <v>354</v>
      </c>
      <c r="G88" s="210">
        <v>118</v>
      </c>
    </row>
    <row r="89" spans="1:7" ht="15">
      <c r="A89" s="208">
        <v>86</v>
      </c>
      <c r="B89" s="265" t="s">
        <v>293</v>
      </c>
      <c r="C89" s="120">
        <v>38982</v>
      </c>
      <c r="D89" s="129" t="s">
        <v>64</v>
      </c>
      <c r="E89" s="130" t="s">
        <v>294</v>
      </c>
      <c r="F89" s="277">
        <v>156</v>
      </c>
      <c r="G89" s="213">
        <v>52</v>
      </c>
    </row>
    <row r="90" spans="1:7" ht="15">
      <c r="A90" s="205">
        <v>87</v>
      </c>
      <c r="B90" s="161" t="s">
        <v>176</v>
      </c>
      <c r="C90" s="117">
        <v>38961</v>
      </c>
      <c r="D90" s="128" t="s">
        <v>56</v>
      </c>
      <c r="E90" s="127" t="s">
        <v>71</v>
      </c>
      <c r="F90" s="270">
        <v>349</v>
      </c>
      <c r="G90" s="210">
        <v>84</v>
      </c>
    </row>
    <row r="91" spans="1:7" ht="15">
      <c r="A91" s="208">
        <v>88</v>
      </c>
      <c r="B91" s="162" t="s">
        <v>130</v>
      </c>
      <c r="C91" s="165">
        <v>39059</v>
      </c>
      <c r="D91" s="160" t="s">
        <v>58</v>
      </c>
      <c r="E91" s="160" t="s">
        <v>131</v>
      </c>
      <c r="F91" s="275">
        <v>10528</v>
      </c>
      <c r="G91" s="171">
        <v>2058</v>
      </c>
    </row>
    <row r="92" spans="1:7" ht="15">
      <c r="A92" s="205">
        <v>89</v>
      </c>
      <c r="B92" s="196" t="s">
        <v>130</v>
      </c>
      <c r="C92" s="118">
        <v>39059</v>
      </c>
      <c r="D92" s="192" t="s">
        <v>58</v>
      </c>
      <c r="E92" s="192" t="s">
        <v>131</v>
      </c>
      <c r="F92" s="268">
        <v>5718</v>
      </c>
      <c r="G92" s="211">
        <v>1187</v>
      </c>
    </row>
    <row r="93" spans="1:7" ht="15">
      <c r="A93" s="208">
        <v>90</v>
      </c>
      <c r="B93" s="163" t="s">
        <v>130</v>
      </c>
      <c r="C93" s="118">
        <v>39059</v>
      </c>
      <c r="D93" s="129" t="s">
        <v>58</v>
      </c>
      <c r="E93" s="129" t="s">
        <v>131</v>
      </c>
      <c r="F93" s="268">
        <v>2752.5</v>
      </c>
      <c r="G93" s="211">
        <v>997</v>
      </c>
    </row>
    <row r="94" spans="1:7" ht="15">
      <c r="A94" s="205">
        <v>91</v>
      </c>
      <c r="B94" s="163" t="s">
        <v>130</v>
      </c>
      <c r="C94" s="118">
        <v>39059</v>
      </c>
      <c r="D94" s="129" t="s">
        <v>58</v>
      </c>
      <c r="E94" s="129" t="s">
        <v>131</v>
      </c>
      <c r="F94" s="268">
        <v>2645</v>
      </c>
      <c r="G94" s="211">
        <v>552</v>
      </c>
    </row>
    <row r="95" spans="1:7" ht="15">
      <c r="A95" s="208">
        <v>92</v>
      </c>
      <c r="B95" s="316" t="s">
        <v>130</v>
      </c>
      <c r="C95" s="165">
        <v>39059</v>
      </c>
      <c r="D95" s="300" t="s">
        <v>58</v>
      </c>
      <c r="E95" s="300" t="s">
        <v>131</v>
      </c>
      <c r="F95" s="275">
        <v>299</v>
      </c>
      <c r="G95" s="171">
        <v>67</v>
      </c>
    </row>
    <row r="96" spans="1:7" ht="15">
      <c r="A96" s="205">
        <v>93</v>
      </c>
      <c r="B96" s="265" t="s">
        <v>130</v>
      </c>
      <c r="C96" s="118">
        <v>39059</v>
      </c>
      <c r="D96" s="129" t="s">
        <v>12</v>
      </c>
      <c r="E96" s="129" t="s">
        <v>131</v>
      </c>
      <c r="F96" s="268">
        <v>297</v>
      </c>
      <c r="G96" s="211">
        <v>64</v>
      </c>
    </row>
    <row r="97" spans="1:7" ht="15">
      <c r="A97" s="208">
        <v>94</v>
      </c>
      <c r="B97" s="264" t="s">
        <v>296</v>
      </c>
      <c r="C97" s="117">
        <v>39048</v>
      </c>
      <c r="D97" s="193" t="s">
        <v>56</v>
      </c>
      <c r="E97" s="193" t="s">
        <v>11</v>
      </c>
      <c r="F97" s="270">
        <v>24707</v>
      </c>
      <c r="G97" s="210">
        <v>4942</v>
      </c>
    </row>
    <row r="98" spans="1:7" ht="15">
      <c r="A98" s="205">
        <v>95</v>
      </c>
      <c r="B98" s="264" t="s">
        <v>296</v>
      </c>
      <c r="C98" s="117">
        <v>39048</v>
      </c>
      <c r="D98" s="128" t="s">
        <v>56</v>
      </c>
      <c r="E98" s="127" t="s">
        <v>11</v>
      </c>
      <c r="F98" s="274">
        <v>23989</v>
      </c>
      <c r="G98" s="170">
        <v>4418</v>
      </c>
    </row>
    <row r="99" spans="1:7" ht="15">
      <c r="A99" s="208">
        <v>96</v>
      </c>
      <c r="B99" s="264" t="s">
        <v>296</v>
      </c>
      <c r="C99" s="117">
        <v>39048</v>
      </c>
      <c r="D99" s="128" t="s">
        <v>56</v>
      </c>
      <c r="E99" s="127" t="s">
        <v>11</v>
      </c>
      <c r="F99" s="270">
        <v>13479</v>
      </c>
      <c r="G99" s="210">
        <v>2620</v>
      </c>
    </row>
    <row r="100" spans="1:7" ht="15">
      <c r="A100" s="205">
        <v>97</v>
      </c>
      <c r="B100" s="264" t="s">
        <v>296</v>
      </c>
      <c r="C100" s="117">
        <v>39048</v>
      </c>
      <c r="D100" s="298" t="s">
        <v>56</v>
      </c>
      <c r="E100" s="299" t="s">
        <v>11</v>
      </c>
      <c r="F100" s="311">
        <v>2752</v>
      </c>
      <c r="G100" s="210">
        <v>553</v>
      </c>
    </row>
    <row r="101" spans="1:7" ht="15">
      <c r="A101" s="208">
        <v>98</v>
      </c>
      <c r="B101" s="264" t="s">
        <v>296</v>
      </c>
      <c r="C101" s="117">
        <v>39048</v>
      </c>
      <c r="D101" s="128" t="s">
        <v>56</v>
      </c>
      <c r="E101" s="127" t="s">
        <v>11</v>
      </c>
      <c r="F101" s="270">
        <v>875</v>
      </c>
      <c r="G101" s="210">
        <v>136</v>
      </c>
    </row>
    <row r="102" spans="1:7" ht="15">
      <c r="A102" s="205">
        <v>99</v>
      </c>
      <c r="B102" s="264" t="s">
        <v>296</v>
      </c>
      <c r="C102" s="117">
        <v>39048</v>
      </c>
      <c r="D102" s="128" t="s">
        <v>56</v>
      </c>
      <c r="E102" s="127" t="s">
        <v>11</v>
      </c>
      <c r="F102" s="270">
        <v>191667</v>
      </c>
      <c r="G102" s="210">
        <v>20779</v>
      </c>
    </row>
    <row r="103" spans="1:7" ht="15">
      <c r="A103" s="208">
        <v>100</v>
      </c>
      <c r="B103" s="162" t="s">
        <v>21</v>
      </c>
      <c r="C103" s="165">
        <v>38996</v>
      </c>
      <c r="D103" s="160" t="s">
        <v>58</v>
      </c>
      <c r="E103" s="160" t="s">
        <v>59</v>
      </c>
      <c r="F103" s="275">
        <v>3021</v>
      </c>
      <c r="G103" s="171">
        <v>605</v>
      </c>
    </row>
    <row r="104" spans="1:7" ht="15">
      <c r="A104" s="205">
        <v>101</v>
      </c>
      <c r="B104" s="162" t="s">
        <v>75</v>
      </c>
      <c r="C104" s="165">
        <v>39045</v>
      </c>
      <c r="D104" s="160" t="s">
        <v>58</v>
      </c>
      <c r="E104" s="160" t="s">
        <v>76</v>
      </c>
      <c r="F104" s="275">
        <v>386155</v>
      </c>
      <c r="G104" s="171">
        <v>61261</v>
      </c>
    </row>
    <row r="105" spans="1:7" ht="15">
      <c r="A105" s="208">
        <v>102</v>
      </c>
      <c r="B105" s="196" t="s">
        <v>75</v>
      </c>
      <c r="C105" s="118">
        <v>39045</v>
      </c>
      <c r="D105" s="192" t="s">
        <v>58</v>
      </c>
      <c r="E105" s="192" t="s">
        <v>76</v>
      </c>
      <c r="F105" s="268">
        <v>185586</v>
      </c>
      <c r="G105" s="211">
        <v>32646</v>
      </c>
    </row>
    <row r="106" spans="1:7" ht="15">
      <c r="A106" s="205">
        <v>103</v>
      </c>
      <c r="B106" s="163" t="s">
        <v>75</v>
      </c>
      <c r="C106" s="118">
        <v>39045</v>
      </c>
      <c r="D106" s="129" t="s">
        <v>58</v>
      </c>
      <c r="E106" s="129" t="s">
        <v>76</v>
      </c>
      <c r="F106" s="268">
        <v>78557</v>
      </c>
      <c r="G106" s="211">
        <v>14471</v>
      </c>
    </row>
    <row r="107" spans="1:7" ht="15">
      <c r="A107" s="208">
        <v>104</v>
      </c>
      <c r="B107" s="265" t="s">
        <v>75</v>
      </c>
      <c r="C107" s="118">
        <v>39045</v>
      </c>
      <c r="D107" s="129" t="s">
        <v>58</v>
      </c>
      <c r="E107" s="129" t="s">
        <v>76</v>
      </c>
      <c r="F107" s="268">
        <v>38487.5</v>
      </c>
      <c r="G107" s="211">
        <v>9345</v>
      </c>
    </row>
    <row r="108" spans="1:7" ht="15">
      <c r="A108" s="205">
        <v>105</v>
      </c>
      <c r="B108" s="163" t="s">
        <v>75</v>
      </c>
      <c r="C108" s="118">
        <v>39045</v>
      </c>
      <c r="D108" s="129" t="s">
        <v>58</v>
      </c>
      <c r="E108" s="129" t="s">
        <v>76</v>
      </c>
      <c r="F108" s="268">
        <v>19951.5</v>
      </c>
      <c r="G108" s="211">
        <v>4644</v>
      </c>
    </row>
    <row r="109" spans="1:7" ht="15">
      <c r="A109" s="208">
        <v>106</v>
      </c>
      <c r="B109" s="162" t="s">
        <v>75</v>
      </c>
      <c r="C109" s="165">
        <v>39045</v>
      </c>
      <c r="D109" s="300" t="s">
        <v>58</v>
      </c>
      <c r="E109" s="299" t="s">
        <v>76</v>
      </c>
      <c r="F109" s="275">
        <v>9203</v>
      </c>
      <c r="G109" s="171">
        <v>1591</v>
      </c>
    </row>
    <row r="110" spans="1:7" ht="15">
      <c r="A110" s="205">
        <v>107</v>
      </c>
      <c r="B110" s="163" t="s">
        <v>75</v>
      </c>
      <c r="C110" s="118">
        <v>39045</v>
      </c>
      <c r="D110" s="308" t="s">
        <v>58</v>
      </c>
      <c r="E110" s="308" t="s">
        <v>76</v>
      </c>
      <c r="F110" s="310">
        <v>2435</v>
      </c>
      <c r="G110" s="211">
        <v>487</v>
      </c>
    </row>
    <row r="111" spans="1:7" ht="15">
      <c r="A111" s="208">
        <v>108</v>
      </c>
      <c r="B111" s="265" t="s">
        <v>75</v>
      </c>
      <c r="C111" s="118">
        <v>39045</v>
      </c>
      <c r="D111" s="129" t="s">
        <v>58</v>
      </c>
      <c r="E111" s="129" t="s">
        <v>76</v>
      </c>
      <c r="F111" s="273">
        <v>2267.5</v>
      </c>
      <c r="G111" s="211">
        <v>561</v>
      </c>
    </row>
    <row r="112" spans="1:7" ht="15">
      <c r="A112" s="205">
        <v>109</v>
      </c>
      <c r="B112" s="316" t="s">
        <v>75</v>
      </c>
      <c r="C112" s="165">
        <v>39045</v>
      </c>
      <c r="D112" s="300" t="s">
        <v>58</v>
      </c>
      <c r="E112" s="300" t="s">
        <v>76</v>
      </c>
      <c r="F112" s="275">
        <v>1210</v>
      </c>
      <c r="G112" s="171">
        <v>300</v>
      </c>
    </row>
    <row r="113" spans="1:7" ht="15">
      <c r="A113" s="208">
        <v>110</v>
      </c>
      <c r="B113" s="265" t="s">
        <v>75</v>
      </c>
      <c r="C113" s="118">
        <v>39045</v>
      </c>
      <c r="D113" s="129" t="s">
        <v>12</v>
      </c>
      <c r="E113" s="129" t="s">
        <v>76</v>
      </c>
      <c r="F113" s="268">
        <v>836</v>
      </c>
      <c r="G113" s="211">
        <v>161</v>
      </c>
    </row>
    <row r="114" spans="1:7" ht="15">
      <c r="A114" s="205">
        <v>111</v>
      </c>
      <c r="B114" s="163" t="s">
        <v>216</v>
      </c>
      <c r="C114" s="118">
        <v>38072</v>
      </c>
      <c r="D114" s="130" t="s">
        <v>217</v>
      </c>
      <c r="E114" s="130" t="s">
        <v>218</v>
      </c>
      <c r="F114" s="268">
        <v>354</v>
      </c>
      <c r="G114" s="211">
        <v>118</v>
      </c>
    </row>
    <row r="115" spans="1:7" ht="15">
      <c r="A115" s="208">
        <v>112</v>
      </c>
      <c r="B115" s="195" t="s">
        <v>123</v>
      </c>
      <c r="C115" s="117">
        <v>39066</v>
      </c>
      <c r="D115" s="128" t="s">
        <v>56</v>
      </c>
      <c r="E115" s="127" t="s">
        <v>69</v>
      </c>
      <c r="F115" s="274">
        <v>1057112</v>
      </c>
      <c r="G115" s="170">
        <v>151061</v>
      </c>
    </row>
    <row r="116" spans="1:7" ht="15">
      <c r="A116" s="205">
        <v>113</v>
      </c>
      <c r="B116" s="195" t="s">
        <v>123</v>
      </c>
      <c r="C116" s="117">
        <v>39066</v>
      </c>
      <c r="D116" s="193" t="s">
        <v>56</v>
      </c>
      <c r="E116" s="193" t="s">
        <v>69</v>
      </c>
      <c r="F116" s="270">
        <f>222438-23</f>
        <v>222415</v>
      </c>
      <c r="G116" s="210">
        <v>33037</v>
      </c>
    </row>
    <row r="117" spans="1:7" ht="15">
      <c r="A117" s="208">
        <v>114</v>
      </c>
      <c r="B117" s="161" t="s">
        <v>123</v>
      </c>
      <c r="C117" s="117">
        <v>39066</v>
      </c>
      <c r="D117" s="128" t="s">
        <v>56</v>
      </c>
      <c r="E117" s="127" t="s">
        <v>69</v>
      </c>
      <c r="F117" s="270">
        <v>32518</v>
      </c>
      <c r="G117" s="210">
        <v>6240</v>
      </c>
    </row>
    <row r="118" spans="1:7" ht="15">
      <c r="A118" s="205">
        <v>115</v>
      </c>
      <c r="B118" s="195" t="s">
        <v>123</v>
      </c>
      <c r="C118" s="117">
        <v>39066</v>
      </c>
      <c r="D118" s="128" t="s">
        <v>56</v>
      </c>
      <c r="E118" s="127" t="s">
        <v>69</v>
      </c>
      <c r="F118" s="270">
        <v>14705</v>
      </c>
      <c r="G118" s="210">
        <v>4042</v>
      </c>
    </row>
    <row r="119" spans="1:7" ht="15">
      <c r="A119" s="205">
        <v>116</v>
      </c>
      <c r="B119" s="161" t="s">
        <v>123</v>
      </c>
      <c r="C119" s="117">
        <v>39066</v>
      </c>
      <c r="D119" s="128" t="s">
        <v>56</v>
      </c>
      <c r="E119" s="127" t="s">
        <v>69</v>
      </c>
      <c r="F119" s="270">
        <v>6718</v>
      </c>
      <c r="G119" s="210">
        <v>1655</v>
      </c>
    </row>
    <row r="120" spans="1:7" ht="15">
      <c r="A120" s="208">
        <v>117</v>
      </c>
      <c r="B120" s="264" t="s">
        <v>123</v>
      </c>
      <c r="C120" s="117">
        <v>39066</v>
      </c>
      <c r="D120" s="128" t="s">
        <v>56</v>
      </c>
      <c r="E120" s="127" t="s">
        <v>69</v>
      </c>
      <c r="F120" s="274">
        <v>2937</v>
      </c>
      <c r="G120" s="210">
        <v>674</v>
      </c>
    </row>
    <row r="121" spans="1:7" ht="15">
      <c r="A121" s="205">
        <v>118</v>
      </c>
      <c r="B121" s="161" t="s">
        <v>123</v>
      </c>
      <c r="C121" s="117">
        <v>39066</v>
      </c>
      <c r="D121" s="298" t="s">
        <v>56</v>
      </c>
      <c r="E121" s="299" t="s">
        <v>69</v>
      </c>
      <c r="F121" s="311">
        <v>2701</v>
      </c>
      <c r="G121" s="210">
        <v>740</v>
      </c>
    </row>
    <row r="122" spans="1:7" ht="15">
      <c r="A122" s="208">
        <v>119</v>
      </c>
      <c r="B122" s="264" t="s">
        <v>123</v>
      </c>
      <c r="C122" s="117">
        <v>39066</v>
      </c>
      <c r="D122" s="298" t="s">
        <v>56</v>
      </c>
      <c r="E122" s="299" t="s">
        <v>69</v>
      </c>
      <c r="F122" s="274">
        <v>2526</v>
      </c>
      <c r="G122" s="170">
        <v>706</v>
      </c>
    </row>
    <row r="123" spans="1:7" ht="15">
      <c r="A123" s="205">
        <v>120</v>
      </c>
      <c r="B123" s="161" t="s">
        <v>123</v>
      </c>
      <c r="C123" s="117">
        <v>39066</v>
      </c>
      <c r="D123" s="298" t="s">
        <v>56</v>
      </c>
      <c r="E123" s="299" t="s">
        <v>69</v>
      </c>
      <c r="F123" s="274">
        <v>500</v>
      </c>
      <c r="G123" s="170">
        <v>92</v>
      </c>
    </row>
    <row r="124" spans="1:7" ht="15">
      <c r="A124" s="208">
        <v>121</v>
      </c>
      <c r="B124" s="264" t="s">
        <v>123</v>
      </c>
      <c r="C124" s="117">
        <v>39066</v>
      </c>
      <c r="D124" s="128" t="s">
        <v>56</v>
      </c>
      <c r="E124" s="127" t="s">
        <v>69</v>
      </c>
      <c r="F124" s="270">
        <v>346</v>
      </c>
      <c r="G124" s="210">
        <v>65</v>
      </c>
    </row>
    <row r="125" spans="1:7" ht="15">
      <c r="A125" s="205">
        <v>122</v>
      </c>
      <c r="B125" s="162" t="s">
        <v>113</v>
      </c>
      <c r="C125" s="165">
        <v>39066</v>
      </c>
      <c r="D125" s="160" t="s">
        <v>58</v>
      </c>
      <c r="E125" s="160" t="s">
        <v>59</v>
      </c>
      <c r="F125" s="275">
        <v>144826</v>
      </c>
      <c r="G125" s="171">
        <v>18766</v>
      </c>
    </row>
    <row r="126" spans="1:7" ht="15">
      <c r="A126" s="208">
        <v>123</v>
      </c>
      <c r="B126" s="196" t="s">
        <v>113</v>
      </c>
      <c r="C126" s="118">
        <v>39066</v>
      </c>
      <c r="D126" s="192" t="s">
        <v>58</v>
      </c>
      <c r="E126" s="192" t="s">
        <v>59</v>
      </c>
      <c r="F126" s="268">
        <v>34457</v>
      </c>
      <c r="G126" s="211">
        <v>4967</v>
      </c>
    </row>
    <row r="127" spans="1:7" ht="15">
      <c r="A127" s="205">
        <v>124</v>
      </c>
      <c r="B127" s="163" t="s">
        <v>113</v>
      </c>
      <c r="C127" s="118">
        <v>39066</v>
      </c>
      <c r="D127" s="129" t="s">
        <v>58</v>
      </c>
      <c r="E127" s="129" t="s">
        <v>59</v>
      </c>
      <c r="F127" s="268">
        <v>11124</v>
      </c>
      <c r="G127" s="211">
        <v>1852</v>
      </c>
    </row>
    <row r="128" spans="1:7" ht="15">
      <c r="A128" s="208">
        <v>125</v>
      </c>
      <c r="B128" s="163" t="s">
        <v>113</v>
      </c>
      <c r="C128" s="118">
        <v>39066</v>
      </c>
      <c r="D128" s="129" t="s">
        <v>58</v>
      </c>
      <c r="E128" s="129" t="s">
        <v>59</v>
      </c>
      <c r="F128" s="268">
        <v>6963</v>
      </c>
      <c r="G128" s="211">
        <v>1244</v>
      </c>
    </row>
    <row r="129" spans="1:7" ht="15">
      <c r="A129" s="205">
        <v>126</v>
      </c>
      <c r="B129" s="265" t="s">
        <v>113</v>
      </c>
      <c r="C129" s="118">
        <v>39066</v>
      </c>
      <c r="D129" s="129" t="s">
        <v>58</v>
      </c>
      <c r="E129" s="129" t="s">
        <v>59</v>
      </c>
      <c r="F129" s="268">
        <v>4855</v>
      </c>
      <c r="G129" s="211">
        <v>788</v>
      </c>
    </row>
    <row r="130" spans="1:7" ht="15">
      <c r="A130" s="208">
        <v>127</v>
      </c>
      <c r="B130" s="162" t="s">
        <v>113</v>
      </c>
      <c r="C130" s="165">
        <v>39066</v>
      </c>
      <c r="D130" s="300" t="s">
        <v>58</v>
      </c>
      <c r="E130" s="299" t="s">
        <v>59</v>
      </c>
      <c r="F130" s="275">
        <v>4250</v>
      </c>
      <c r="G130" s="171">
        <v>551</v>
      </c>
    </row>
    <row r="131" spans="1:7" ht="15">
      <c r="A131" s="205">
        <v>128</v>
      </c>
      <c r="B131" s="163" t="s">
        <v>113</v>
      </c>
      <c r="C131" s="118">
        <v>39066</v>
      </c>
      <c r="D131" s="308" t="s">
        <v>58</v>
      </c>
      <c r="E131" s="308" t="s">
        <v>59</v>
      </c>
      <c r="F131" s="310">
        <v>4097</v>
      </c>
      <c r="G131" s="211">
        <v>838</v>
      </c>
    </row>
    <row r="132" spans="1:7" ht="15">
      <c r="A132" s="208">
        <v>129</v>
      </c>
      <c r="B132" s="316" t="s">
        <v>113</v>
      </c>
      <c r="C132" s="165">
        <v>39066</v>
      </c>
      <c r="D132" s="300" t="s">
        <v>58</v>
      </c>
      <c r="E132" s="300" t="s">
        <v>59</v>
      </c>
      <c r="F132" s="275">
        <v>1477</v>
      </c>
      <c r="G132" s="171">
        <v>305</v>
      </c>
    </row>
    <row r="133" spans="1:7" ht="15">
      <c r="A133" s="205">
        <v>130</v>
      </c>
      <c r="B133" s="265" t="s">
        <v>113</v>
      </c>
      <c r="C133" s="118">
        <v>39066</v>
      </c>
      <c r="D133" s="129" t="s">
        <v>58</v>
      </c>
      <c r="E133" s="129" t="s">
        <v>59</v>
      </c>
      <c r="F133" s="273">
        <v>1425</v>
      </c>
      <c r="G133" s="211">
        <v>168</v>
      </c>
    </row>
    <row r="134" spans="1:7" ht="15">
      <c r="A134" s="208">
        <v>131</v>
      </c>
      <c r="B134" s="265" t="s">
        <v>113</v>
      </c>
      <c r="C134" s="118">
        <v>39066</v>
      </c>
      <c r="D134" s="129" t="s">
        <v>12</v>
      </c>
      <c r="E134" s="129" t="s">
        <v>59</v>
      </c>
      <c r="F134" s="268">
        <v>76</v>
      </c>
      <c r="G134" s="211">
        <v>19</v>
      </c>
    </row>
    <row r="135" spans="1:7" ht="15">
      <c r="A135" s="205">
        <v>132</v>
      </c>
      <c r="B135" s="266" t="s">
        <v>196</v>
      </c>
      <c r="C135" s="118">
        <v>38863</v>
      </c>
      <c r="D135" s="133" t="s">
        <v>23</v>
      </c>
      <c r="E135" s="132" t="s">
        <v>13</v>
      </c>
      <c r="F135" s="268">
        <v>952</v>
      </c>
      <c r="G135" s="211">
        <v>238</v>
      </c>
    </row>
    <row r="136" spans="1:7" ht="15">
      <c r="A136" s="208">
        <v>133</v>
      </c>
      <c r="B136" s="266" t="s">
        <v>196</v>
      </c>
      <c r="C136" s="118">
        <v>38863</v>
      </c>
      <c r="D136" s="133" t="s">
        <v>23</v>
      </c>
      <c r="E136" s="132" t="s">
        <v>13</v>
      </c>
      <c r="F136" s="273">
        <v>353.6</v>
      </c>
      <c r="G136" s="211">
        <v>221</v>
      </c>
    </row>
    <row r="137" spans="1:7" ht="15">
      <c r="A137" s="205">
        <v>134</v>
      </c>
      <c r="B137" s="265" t="s">
        <v>132</v>
      </c>
      <c r="C137" s="118">
        <v>39024</v>
      </c>
      <c r="D137" s="129" t="s">
        <v>58</v>
      </c>
      <c r="E137" s="129" t="s">
        <v>33</v>
      </c>
      <c r="F137" s="273">
        <v>5313</v>
      </c>
      <c r="G137" s="211">
        <v>1142</v>
      </c>
    </row>
    <row r="138" spans="1:7" ht="15">
      <c r="A138" s="208">
        <v>135</v>
      </c>
      <c r="B138" s="196" t="s">
        <v>132</v>
      </c>
      <c r="C138" s="118">
        <v>39024</v>
      </c>
      <c r="D138" s="192" t="s">
        <v>58</v>
      </c>
      <c r="E138" s="192" t="s">
        <v>33</v>
      </c>
      <c r="F138" s="268">
        <v>2927</v>
      </c>
      <c r="G138" s="211">
        <v>723</v>
      </c>
    </row>
    <row r="139" spans="1:7" ht="15">
      <c r="A139" s="205">
        <v>136</v>
      </c>
      <c r="B139" s="162" t="s">
        <v>132</v>
      </c>
      <c r="C139" s="165">
        <v>39024</v>
      </c>
      <c r="D139" s="300" t="s">
        <v>58</v>
      </c>
      <c r="E139" s="299" t="s">
        <v>33</v>
      </c>
      <c r="F139" s="275">
        <v>1928</v>
      </c>
      <c r="G139" s="171">
        <v>386</v>
      </c>
    </row>
    <row r="140" spans="1:7" ht="15">
      <c r="A140" s="208">
        <v>137</v>
      </c>
      <c r="B140" s="162" t="s">
        <v>132</v>
      </c>
      <c r="C140" s="165">
        <v>39024</v>
      </c>
      <c r="D140" s="160" t="s">
        <v>58</v>
      </c>
      <c r="E140" s="160" t="s">
        <v>33</v>
      </c>
      <c r="F140" s="275">
        <v>1598</v>
      </c>
      <c r="G140" s="171">
        <v>301</v>
      </c>
    </row>
    <row r="141" spans="1:7" ht="15">
      <c r="A141" s="205">
        <v>138</v>
      </c>
      <c r="B141" s="163" t="s">
        <v>132</v>
      </c>
      <c r="C141" s="118">
        <v>39024</v>
      </c>
      <c r="D141" s="129" t="s">
        <v>58</v>
      </c>
      <c r="E141" s="129" t="s">
        <v>33</v>
      </c>
      <c r="F141" s="268">
        <v>1432</v>
      </c>
      <c r="G141" s="211">
        <v>434</v>
      </c>
    </row>
    <row r="142" spans="1:7" ht="15">
      <c r="A142" s="208">
        <v>139</v>
      </c>
      <c r="B142" s="265" t="s">
        <v>132</v>
      </c>
      <c r="C142" s="118">
        <v>39024</v>
      </c>
      <c r="D142" s="129" t="s">
        <v>58</v>
      </c>
      <c r="E142" s="129" t="s">
        <v>33</v>
      </c>
      <c r="F142" s="268">
        <v>1198</v>
      </c>
      <c r="G142" s="211">
        <v>255</v>
      </c>
    </row>
    <row r="143" spans="1:7" ht="15">
      <c r="A143" s="205">
        <v>140</v>
      </c>
      <c r="B143" s="163" t="s">
        <v>132</v>
      </c>
      <c r="C143" s="118">
        <v>39024</v>
      </c>
      <c r="D143" s="129" t="s">
        <v>58</v>
      </c>
      <c r="E143" s="129" t="s">
        <v>33</v>
      </c>
      <c r="F143" s="268">
        <v>1126</v>
      </c>
      <c r="G143" s="211">
        <v>363</v>
      </c>
    </row>
    <row r="144" spans="1:7" ht="15">
      <c r="A144" s="208">
        <v>141</v>
      </c>
      <c r="B144" s="162" t="s">
        <v>126</v>
      </c>
      <c r="C144" s="165">
        <v>39073</v>
      </c>
      <c r="D144" s="160" t="s">
        <v>58</v>
      </c>
      <c r="E144" s="160" t="s">
        <v>58</v>
      </c>
      <c r="F144" s="275">
        <v>996891</v>
      </c>
      <c r="G144" s="171">
        <v>140459</v>
      </c>
    </row>
    <row r="145" spans="1:7" ht="15">
      <c r="A145" s="205">
        <v>142</v>
      </c>
      <c r="B145" s="196" t="s">
        <v>126</v>
      </c>
      <c r="C145" s="118">
        <v>39073</v>
      </c>
      <c r="D145" s="192" t="s">
        <v>58</v>
      </c>
      <c r="E145" s="192" t="s">
        <v>58</v>
      </c>
      <c r="F145" s="268">
        <v>491242.5</v>
      </c>
      <c r="G145" s="211">
        <v>66355</v>
      </c>
    </row>
    <row r="146" spans="1:7" ht="15">
      <c r="A146" s="208">
        <v>143</v>
      </c>
      <c r="B146" s="163" t="s">
        <v>126</v>
      </c>
      <c r="C146" s="118">
        <v>39073</v>
      </c>
      <c r="D146" s="129" t="s">
        <v>58</v>
      </c>
      <c r="E146" s="129" t="s">
        <v>58</v>
      </c>
      <c r="F146" s="268">
        <v>184490.5</v>
      </c>
      <c r="G146" s="211">
        <v>26647</v>
      </c>
    </row>
    <row r="147" spans="1:7" ht="15">
      <c r="A147" s="205">
        <v>144</v>
      </c>
      <c r="B147" s="265" t="s">
        <v>126</v>
      </c>
      <c r="C147" s="118">
        <v>39073</v>
      </c>
      <c r="D147" s="129" t="s">
        <v>58</v>
      </c>
      <c r="E147" s="129" t="s">
        <v>58</v>
      </c>
      <c r="F147" s="268">
        <v>82961.5</v>
      </c>
      <c r="G147" s="211">
        <v>26647</v>
      </c>
    </row>
    <row r="148" spans="1:7" ht="15">
      <c r="A148" s="208">
        <v>145</v>
      </c>
      <c r="B148" s="162" t="s">
        <v>126</v>
      </c>
      <c r="C148" s="165">
        <v>39073</v>
      </c>
      <c r="D148" s="300" t="s">
        <v>58</v>
      </c>
      <c r="E148" s="299" t="s">
        <v>58</v>
      </c>
      <c r="F148" s="275">
        <v>24501.5</v>
      </c>
      <c r="G148" s="171">
        <v>4854</v>
      </c>
    </row>
    <row r="149" spans="1:7" ht="15">
      <c r="A149" s="205">
        <v>146</v>
      </c>
      <c r="B149" s="163" t="s">
        <v>126</v>
      </c>
      <c r="C149" s="118">
        <v>39073</v>
      </c>
      <c r="D149" s="129" t="s">
        <v>58</v>
      </c>
      <c r="E149" s="129" t="s">
        <v>58</v>
      </c>
      <c r="F149" s="268">
        <v>17956.5</v>
      </c>
      <c r="G149" s="211">
        <v>3232</v>
      </c>
    </row>
    <row r="150" spans="1:7" ht="15">
      <c r="A150" s="208">
        <v>147</v>
      </c>
      <c r="B150" s="163" t="s">
        <v>126</v>
      </c>
      <c r="C150" s="118">
        <v>39073</v>
      </c>
      <c r="D150" s="308" t="s">
        <v>58</v>
      </c>
      <c r="E150" s="308" t="s">
        <v>58</v>
      </c>
      <c r="F150" s="310">
        <v>8405</v>
      </c>
      <c r="G150" s="211">
        <v>1984</v>
      </c>
    </row>
    <row r="151" spans="1:7" ht="15">
      <c r="A151" s="205">
        <v>148</v>
      </c>
      <c r="B151" s="265" t="s">
        <v>126</v>
      </c>
      <c r="C151" s="118">
        <v>39073</v>
      </c>
      <c r="D151" s="129" t="s">
        <v>58</v>
      </c>
      <c r="E151" s="129" t="s">
        <v>58</v>
      </c>
      <c r="F151" s="273">
        <v>2380</v>
      </c>
      <c r="G151" s="211">
        <v>430</v>
      </c>
    </row>
    <row r="152" spans="1:7" ht="15">
      <c r="A152" s="208">
        <v>149</v>
      </c>
      <c r="B152" s="265" t="s">
        <v>126</v>
      </c>
      <c r="C152" s="118">
        <v>39073</v>
      </c>
      <c r="D152" s="129" t="s">
        <v>12</v>
      </c>
      <c r="E152" s="129" t="s">
        <v>58</v>
      </c>
      <c r="F152" s="268">
        <v>848</v>
      </c>
      <c r="G152" s="211">
        <v>350</v>
      </c>
    </row>
    <row r="153" spans="1:7" ht="15">
      <c r="A153" s="205">
        <v>150</v>
      </c>
      <c r="B153" s="164" t="s">
        <v>222</v>
      </c>
      <c r="C153" s="118">
        <v>38779</v>
      </c>
      <c r="D153" s="133" t="s">
        <v>23</v>
      </c>
      <c r="E153" s="132" t="s">
        <v>223</v>
      </c>
      <c r="F153" s="268">
        <v>952</v>
      </c>
      <c r="G153" s="211">
        <v>238</v>
      </c>
    </row>
    <row r="154" spans="1:7" ht="15">
      <c r="A154" s="208">
        <v>151</v>
      </c>
      <c r="B154" s="161" t="s">
        <v>160</v>
      </c>
      <c r="C154" s="117">
        <v>38933</v>
      </c>
      <c r="D154" s="127" t="s">
        <v>48</v>
      </c>
      <c r="E154" s="127" t="s">
        <v>62</v>
      </c>
      <c r="F154" s="271">
        <v>1785</v>
      </c>
      <c r="G154" s="212">
        <v>255</v>
      </c>
    </row>
    <row r="155" spans="1:7" ht="15">
      <c r="A155" s="205">
        <v>152</v>
      </c>
      <c r="B155" s="195" t="s">
        <v>160</v>
      </c>
      <c r="C155" s="117">
        <v>38933</v>
      </c>
      <c r="D155" s="193" t="s">
        <v>48</v>
      </c>
      <c r="E155" s="193" t="s">
        <v>62</v>
      </c>
      <c r="F155" s="271">
        <v>598</v>
      </c>
      <c r="G155" s="212">
        <v>119</v>
      </c>
    </row>
    <row r="156" spans="1:7" ht="15">
      <c r="A156" s="208">
        <v>153</v>
      </c>
      <c r="B156" s="161" t="s">
        <v>78</v>
      </c>
      <c r="C156" s="117">
        <v>39059</v>
      </c>
      <c r="D156" s="128" t="s">
        <v>56</v>
      </c>
      <c r="E156" s="127" t="s">
        <v>11</v>
      </c>
      <c r="F156" s="270">
        <v>1910</v>
      </c>
      <c r="G156" s="210">
        <v>284</v>
      </c>
    </row>
    <row r="157" spans="1:7" ht="15">
      <c r="A157" s="205">
        <v>154</v>
      </c>
      <c r="B157" s="161" t="s">
        <v>78</v>
      </c>
      <c r="C157" s="117">
        <v>39059</v>
      </c>
      <c r="D157" s="128" t="s">
        <v>56</v>
      </c>
      <c r="E157" s="127" t="s">
        <v>11</v>
      </c>
      <c r="F157" s="274">
        <v>1109</v>
      </c>
      <c r="G157" s="170">
        <v>168</v>
      </c>
    </row>
    <row r="158" spans="1:7" ht="15">
      <c r="A158" s="208">
        <v>155</v>
      </c>
      <c r="B158" s="195" t="s">
        <v>78</v>
      </c>
      <c r="C158" s="117">
        <v>39059</v>
      </c>
      <c r="D158" s="193" t="s">
        <v>56</v>
      </c>
      <c r="E158" s="193" t="s">
        <v>11</v>
      </c>
      <c r="F158" s="270">
        <v>911</v>
      </c>
      <c r="G158" s="210">
        <v>163</v>
      </c>
    </row>
    <row r="159" spans="1:7" ht="15">
      <c r="A159" s="205">
        <v>156</v>
      </c>
      <c r="B159" s="264" t="s">
        <v>78</v>
      </c>
      <c r="C159" s="117">
        <v>39059</v>
      </c>
      <c r="D159" s="128" t="s">
        <v>56</v>
      </c>
      <c r="E159" s="127" t="s">
        <v>11</v>
      </c>
      <c r="F159" s="270">
        <v>492</v>
      </c>
      <c r="G159" s="210">
        <v>70</v>
      </c>
    </row>
    <row r="160" spans="1:7" ht="15">
      <c r="A160" s="208">
        <v>157</v>
      </c>
      <c r="B160" s="264" t="s">
        <v>78</v>
      </c>
      <c r="C160" s="117">
        <v>39059</v>
      </c>
      <c r="D160" s="128" t="s">
        <v>56</v>
      </c>
      <c r="E160" s="127" t="s">
        <v>11</v>
      </c>
      <c r="F160" s="274">
        <v>190</v>
      </c>
      <c r="G160" s="210">
        <v>38</v>
      </c>
    </row>
    <row r="161" spans="1:7" ht="15">
      <c r="A161" s="205">
        <v>158</v>
      </c>
      <c r="B161" s="162" t="s">
        <v>112</v>
      </c>
      <c r="C161" s="165">
        <v>39066</v>
      </c>
      <c r="D161" s="129" t="s">
        <v>57</v>
      </c>
      <c r="E161" s="160" t="s">
        <v>65</v>
      </c>
      <c r="F161" s="275">
        <v>464996</v>
      </c>
      <c r="G161" s="171">
        <v>59280</v>
      </c>
    </row>
    <row r="162" spans="1:7" ht="15">
      <c r="A162" s="208">
        <v>159</v>
      </c>
      <c r="B162" s="196" t="s">
        <v>112</v>
      </c>
      <c r="C162" s="118">
        <v>39066</v>
      </c>
      <c r="D162" s="192" t="s">
        <v>57</v>
      </c>
      <c r="E162" s="192" t="s">
        <v>65</v>
      </c>
      <c r="F162" s="268">
        <v>113805</v>
      </c>
      <c r="G162" s="211">
        <v>17354</v>
      </c>
    </row>
    <row r="163" spans="1:7" ht="15">
      <c r="A163" s="205">
        <v>160</v>
      </c>
      <c r="B163" s="163" t="s">
        <v>112</v>
      </c>
      <c r="C163" s="118">
        <v>39066</v>
      </c>
      <c r="D163" s="129" t="s">
        <v>57</v>
      </c>
      <c r="E163" s="129" t="s">
        <v>65</v>
      </c>
      <c r="F163" s="268">
        <v>53915</v>
      </c>
      <c r="G163" s="211">
        <v>10777</v>
      </c>
    </row>
    <row r="164" spans="1:7" ht="15">
      <c r="A164" s="208">
        <v>161</v>
      </c>
      <c r="B164" s="265" t="s">
        <v>112</v>
      </c>
      <c r="C164" s="118">
        <v>39066</v>
      </c>
      <c r="D164" s="129" t="s">
        <v>57</v>
      </c>
      <c r="E164" s="129" t="s">
        <v>65</v>
      </c>
      <c r="F164" s="268">
        <v>25324</v>
      </c>
      <c r="G164" s="211">
        <v>4706</v>
      </c>
    </row>
    <row r="165" spans="1:7" ht="15">
      <c r="A165" s="205">
        <v>162</v>
      </c>
      <c r="B165" s="265" t="s">
        <v>112</v>
      </c>
      <c r="C165" s="118">
        <v>39066</v>
      </c>
      <c r="D165" s="129" t="s">
        <v>57</v>
      </c>
      <c r="E165" s="129" t="s">
        <v>65</v>
      </c>
      <c r="F165" s="273">
        <v>18828</v>
      </c>
      <c r="G165" s="211">
        <v>3600</v>
      </c>
    </row>
    <row r="166" spans="1:7" ht="15">
      <c r="A166" s="208">
        <v>163</v>
      </c>
      <c r="B166" s="163" t="s">
        <v>112</v>
      </c>
      <c r="C166" s="118">
        <v>39066</v>
      </c>
      <c r="D166" s="129" t="s">
        <v>57</v>
      </c>
      <c r="E166" s="129" t="s">
        <v>65</v>
      </c>
      <c r="F166" s="268">
        <v>13632</v>
      </c>
      <c r="G166" s="211">
        <v>2800</v>
      </c>
    </row>
    <row r="167" spans="1:7" ht="15">
      <c r="A167" s="205">
        <v>164</v>
      </c>
      <c r="B167" s="162" t="s">
        <v>112</v>
      </c>
      <c r="C167" s="165">
        <v>39066</v>
      </c>
      <c r="D167" s="300" t="s">
        <v>57</v>
      </c>
      <c r="E167" s="300" t="s">
        <v>65</v>
      </c>
      <c r="F167" s="275">
        <v>7655</v>
      </c>
      <c r="G167" s="171">
        <v>1253</v>
      </c>
    </row>
    <row r="168" spans="1:7" ht="15">
      <c r="A168" s="208">
        <v>165</v>
      </c>
      <c r="B168" s="163" t="s">
        <v>112</v>
      </c>
      <c r="C168" s="118">
        <v>39066</v>
      </c>
      <c r="D168" s="308" t="s">
        <v>57</v>
      </c>
      <c r="E168" s="308" t="s">
        <v>65</v>
      </c>
      <c r="F168" s="310">
        <v>1899</v>
      </c>
      <c r="G168" s="211">
        <v>287</v>
      </c>
    </row>
    <row r="169" spans="1:7" ht="15">
      <c r="A169" s="205">
        <v>166</v>
      </c>
      <c r="B169" s="265" t="s">
        <v>112</v>
      </c>
      <c r="C169" s="118">
        <v>39073</v>
      </c>
      <c r="D169" s="129" t="s">
        <v>57</v>
      </c>
      <c r="E169" s="129" t="s">
        <v>63</v>
      </c>
      <c r="F169" s="268">
        <v>1004</v>
      </c>
      <c r="G169" s="211">
        <v>160</v>
      </c>
    </row>
    <row r="170" spans="1:7" ht="15">
      <c r="A170" s="208">
        <v>167</v>
      </c>
      <c r="B170" s="316" t="s">
        <v>112</v>
      </c>
      <c r="C170" s="165">
        <v>39066</v>
      </c>
      <c r="D170" s="300" t="s">
        <v>57</v>
      </c>
      <c r="E170" s="300" t="s">
        <v>65</v>
      </c>
      <c r="F170" s="275">
        <v>482</v>
      </c>
      <c r="G170" s="171">
        <v>91</v>
      </c>
    </row>
    <row r="171" spans="1:7" ht="15">
      <c r="A171" s="205">
        <v>168</v>
      </c>
      <c r="B171" s="164" t="s">
        <v>87</v>
      </c>
      <c r="C171" s="118">
        <v>38898</v>
      </c>
      <c r="D171" s="133" t="s">
        <v>23</v>
      </c>
      <c r="E171" s="132" t="s">
        <v>163</v>
      </c>
      <c r="F171" s="273">
        <v>1068</v>
      </c>
      <c r="G171" s="173">
        <v>356</v>
      </c>
    </row>
    <row r="172" spans="1:7" ht="15">
      <c r="A172" s="205">
        <v>169</v>
      </c>
      <c r="B172" s="164" t="s">
        <v>87</v>
      </c>
      <c r="C172" s="118">
        <v>38898</v>
      </c>
      <c r="D172" s="133" t="s">
        <v>23</v>
      </c>
      <c r="E172" s="132" t="s">
        <v>163</v>
      </c>
      <c r="F172" s="268">
        <v>454.3</v>
      </c>
      <c r="G172" s="211">
        <v>278</v>
      </c>
    </row>
    <row r="173" spans="1:7" ht="15">
      <c r="A173" s="208">
        <v>170</v>
      </c>
      <c r="B173" s="164" t="s">
        <v>87</v>
      </c>
      <c r="C173" s="118">
        <v>38898</v>
      </c>
      <c r="D173" s="133" t="s">
        <v>23</v>
      </c>
      <c r="E173" s="132" t="s">
        <v>163</v>
      </c>
      <c r="F173" s="268">
        <v>400</v>
      </c>
      <c r="G173" s="211">
        <v>80</v>
      </c>
    </row>
    <row r="174" spans="1:7" ht="15">
      <c r="A174" s="205">
        <v>171</v>
      </c>
      <c r="B174" s="196" t="s">
        <v>87</v>
      </c>
      <c r="C174" s="118">
        <v>38898</v>
      </c>
      <c r="D174" s="192" t="s">
        <v>23</v>
      </c>
      <c r="E174" s="192" t="s">
        <v>163</v>
      </c>
      <c r="F174" s="268">
        <v>30.5</v>
      </c>
      <c r="G174" s="211">
        <v>12</v>
      </c>
    </row>
    <row r="175" spans="1:7" ht="15">
      <c r="A175" s="208">
        <v>172</v>
      </c>
      <c r="B175" s="316" t="s">
        <v>15</v>
      </c>
      <c r="C175" s="165">
        <v>38947</v>
      </c>
      <c r="D175" s="300" t="s">
        <v>58</v>
      </c>
      <c r="E175" s="300" t="s">
        <v>59</v>
      </c>
      <c r="F175" s="275">
        <v>28400</v>
      </c>
      <c r="G175" s="171">
        <v>5667</v>
      </c>
    </row>
    <row r="176" spans="1:7" ht="15">
      <c r="A176" s="205">
        <v>173</v>
      </c>
      <c r="B176" s="162" t="s">
        <v>15</v>
      </c>
      <c r="C176" s="165">
        <v>38947</v>
      </c>
      <c r="D176" s="160" t="s">
        <v>58</v>
      </c>
      <c r="E176" s="160" t="s">
        <v>59</v>
      </c>
      <c r="F176" s="275">
        <v>1386</v>
      </c>
      <c r="G176" s="171">
        <v>318</v>
      </c>
    </row>
    <row r="177" spans="1:7" ht="15">
      <c r="A177" s="208">
        <v>174</v>
      </c>
      <c r="B177" s="196" t="s">
        <v>15</v>
      </c>
      <c r="C177" s="118">
        <v>38947</v>
      </c>
      <c r="D177" s="192" t="s">
        <v>58</v>
      </c>
      <c r="E177" s="192" t="s">
        <v>59</v>
      </c>
      <c r="F177" s="268">
        <v>611</v>
      </c>
      <c r="G177" s="211">
        <v>132</v>
      </c>
    </row>
    <row r="178" spans="1:7" ht="15">
      <c r="A178" s="205">
        <v>175</v>
      </c>
      <c r="B178" s="163" t="s">
        <v>15</v>
      </c>
      <c r="C178" s="118">
        <v>38947</v>
      </c>
      <c r="D178" s="308" t="s">
        <v>58</v>
      </c>
      <c r="E178" s="308" t="s">
        <v>59</v>
      </c>
      <c r="F178" s="310">
        <v>530</v>
      </c>
      <c r="G178" s="211">
        <v>105</v>
      </c>
    </row>
    <row r="179" spans="1:7" ht="15">
      <c r="A179" s="208">
        <v>176</v>
      </c>
      <c r="B179" s="265" t="s">
        <v>15</v>
      </c>
      <c r="C179" s="118">
        <v>38947</v>
      </c>
      <c r="D179" s="129" t="s">
        <v>12</v>
      </c>
      <c r="E179" s="129" t="s">
        <v>59</v>
      </c>
      <c r="F179" s="268">
        <v>130</v>
      </c>
      <c r="G179" s="211">
        <v>18</v>
      </c>
    </row>
    <row r="180" spans="1:7" ht="15">
      <c r="A180" s="205">
        <v>177</v>
      </c>
      <c r="B180" s="267" t="s">
        <v>291</v>
      </c>
      <c r="C180" s="117">
        <v>38464</v>
      </c>
      <c r="D180" s="130" t="s">
        <v>46</v>
      </c>
      <c r="E180" s="130" t="s">
        <v>292</v>
      </c>
      <c r="F180" s="270">
        <v>5346</v>
      </c>
      <c r="G180" s="210">
        <v>1782</v>
      </c>
    </row>
    <row r="181" spans="1:7" ht="15">
      <c r="A181" s="208">
        <v>178</v>
      </c>
      <c r="B181" s="162" t="s">
        <v>36</v>
      </c>
      <c r="C181" s="165">
        <v>39031</v>
      </c>
      <c r="D181" s="160" t="s">
        <v>58</v>
      </c>
      <c r="E181" s="160" t="s">
        <v>59</v>
      </c>
      <c r="F181" s="275">
        <v>3021</v>
      </c>
      <c r="G181" s="171">
        <v>605</v>
      </c>
    </row>
    <row r="182" spans="1:7" ht="15">
      <c r="A182" s="205">
        <v>179</v>
      </c>
      <c r="B182" s="163" t="s">
        <v>36</v>
      </c>
      <c r="C182" s="118">
        <v>39031</v>
      </c>
      <c r="D182" s="129" t="s">
        <v>58</v>
      </c>
      <c r="E182" s="129" t="s">
        <v>59</v>
      </c>
      <c r="F182" s="268">
        <v>858</v>
      </c>
      <c r="G182" s="211">
        <v>170</v>
      </c>
    </row>
    <row r="183" spans="1:7" ht="15">
      <c r="A183" s="208">
        <v>180</v>
      </c>
      <c r="B183" s="266" t="s">
        <v>197</v>
      </c>
      <c r="C183" s="118">
        <v>38779</v>
      </c>
      <c r="D183" s="133" t="s">
        <v>23</v>
      </c>
      <c r="E183" s="132" t="s">
        <v>198</v>
      </c>
      <c r="F183" s="268">
        <v>952</v>
      </c>
      <c r="G183" s="211">
        <v>238</v>
      </c>
    </row>
    <row r="184" spans="1:7" ht="15">
      <c r="A184" s="205">
        <v>181</v>
      </c>
      <c r="B184" s="161" t="s">
        <v>91</v>
      </c>
      <c r="C184" s="117">
        <v>39010</v>
      </c>
      <c r="D184" s="128" t="s">
        <v>56</v>
      </c>
      <c r="E184" s="127" t="s">
        <v>71</v>
      </c>
      <c r="F184" s="274">
        <v>1876</v>
      </c>
      <c r="G184" s="170">
        <v>410</v>
      </c>
    </row>
    <row r="185" spans="1:7" ht="15">
      <c r="A185" s="208">
        <v>182</v>
      </c>
      <c r="B185" s="195" t="s">
        <v>91</v>
      </c>
      <c r="C185" s="117">
        <v>39010</v>
      </c>
      <c r="D185" s="193" t="s">
        <v>56</v>
      </c>
      <c r="E185" s="193" t="s">
        <v>71</v>
      </c>
      <c r="F185" s="270">
        <v>582</v>
      </c>
      <c r="G185" s="210">
        <v>86</v>
      </c>
    </row>
    <row r="186" spans="1:7" ht="15">
      <c r="A186" s="205">
        <v>183</v>
      </c>
      <c r="B186" s="161" t="s">
        <v>91</v>
      </c>
      <c r="C186" s="117">
        <v>39010</v>
      </c>
      <c r="D186" s="128" t="s">
        <v>56</v>
      </c>
      <c r="E186" s="127" t="s">
        <v>71</v>
      </c>
      <c r="F186" s="270">
        <v>267</v>
      </c>
      <c r="G186" s="210">
        <v>37</v>
      </c>
    </row>
    <row r="187" spans="1:7" ht="15">
      <c r="A187" s="208">
        <v>184</v>
      </c>
      <c r="B187" s="196" t="s">
        <v>43</v>
      </c>
      <c r="C187" s="118">
        <v>39038</v>
      </c>
      <c r="D187" s="192" t="s">
        <v>57</v>
      </c>
      <c r="E187" s="192" t="s">
        <v>71</v>
      </c>
      <c r="F187" s="268">
        <v>2705</v>
      </c>
      <c r="G187" s="211">
        <v>636</v>
      </c>
    </row>
    <row r="188" spans="1:7" ht="15">
      <c r="A188" s="205">
        <v>185</v>
      </c>
      <c r="B188" s="163" t="s">
        <v>43</v>
      </c>
      <c r="C188" s="118">
        <v>39038</v>
      </c>
      <c r="D188" s="129" t="s">
        <v>57</v>
      </c>
      <c r="E188" s="129" t="s">
        <v>71</v>
      </c>
      <c r="F188" s="268">
        <v>746</v>
      </c>
      <c r="G188" s="211">
        <v>319</v>
      </c>
    </row>
    <row r="189" spans="1:7" ht="15">
      <c r="A189" s="208">
        <v>186</v>
      </c>
      <c r="B189" s="162" t="s">
        <v>43</v>
      </c>
      <c r="C189" s="165">
        <v>39038</v>
      </c>
      <c r="D189" s="129" t="s">
        <v>57</v>
      </c>
      <c r="E189" s="160" t="s">
        <v>71</v>
      </c>
      <c r="F189" s="275">
        <v>197</v>
      </c>
      <c r="G189" s="171">
        <v>24</v>
      </c>
    </row>
    <row r="190" spans="1:7" ht="15">
      <c r="A190" s="205">
        <v>187</v>
      </c>
      <c r="B190" s="265" t="s">
        <v>77</v>
      </c>
      <c r="C190" s="118">
        <v>39045</v>
      </c>
      <c r="D190" s="129" t="s">
        <v>58</v>
      </c>
      <c r="E190" s="129" t="s">
        <v>39</v>
      </c>
      <c r="F190" s="268">
        <v>29071.5</v>
      </c>
      <c r="G190" s="211">
        <v>5809</v>
      </c>
    </row>
    <row r="191" spans="1:7" ht="15">
      <c r="A191" s="208">
        <v>188</v>
      </c>
      <c r="B191" s="162" t="s">
        <v>77</v>
      </c>
      <c r="C191" s="165">
        <v>39045</v>
      </c>
      <c r="D191" s="160" t="s">
        <v>58</v>
      </c>
      <c r="E191" s="160" t="s">
        <v>39</v>
      </c>
      <c r="F191" s="275">
        <v>17062</v>
      </c>
      <c r="G191" s="171">
        <v>3367</v>
      </c>
    </row>
    <row r="192" spans="1:7" ht="15">
      <c r="A192" s="205">
        <v>189</v>
      </c>
      <c r="B192" s="196" t="s">
        <v>77</v>
      </c>
      <c r="C192" s="118">
        <v>39045</v>
      </c>
      <c r="D192" s="192" t="s">
        <v>58</v>
      </c>
      <c r="E192" s="192" t="s">
        <v>39</v>
      </c>
      <c r="F192" s="268">
        <v>5450</v>
      </c>
      <c r="G192" s="211">
        <v>985</v>
      </c>
    </row>
    <row r="193" spans="1:7" ht="15">
      <c r="A193" s="208">
        <v>190</v>
      </c>
      <c r="B193" s="163" t="s">
        <v>77</v>
      </c>
      <c r="C193" s="118">
        <v>39045</v>
      </c>
      <c r="D193" s="129" t="s">
        <v>58</v>
      </c>
      <c r="E193" s="129" t="s">
        <v>39</v>
      </c>
      <c r="F193" s="268">
        <v>5150</v>
      </c>
      <c r="G193" s="211">
        <v>717</v>
      </c>
    </row>
    <row r="194" spans="1:7" ht="15">
      <c r="A194" s="205">
        <v>191</v>
      </c>
      <c r="B194" s="162" t="s">
        <v>77</v>
      </c>
      <c r="C194" s="165">
        <v>39045</v>
      </c>
      <c r="D194" s="300" t="s">
        <v>58</v>
      </c>
      <c r="E194" s="299" t="s">
        <v>39</v>
      </c>
      <c r="F194" s="275">
        <v>2038</v>
      </c>
      <c r="G194" s="171">
        <v>401</v>
      </c>
    </row>
    <row r="195" spans="1:7" ht="15">
      <c r="A195" s="208">
        <v>192</v>
      </c>
      <c r="B195" s="163" t="s">
        <v>77</v>
      </c>
      <c r="C195" s="118">
        <v>39045</v>
      </c>
      <c r="D195" s="129" t="s">
        <v>58</v>
      </c>
      <c r="E195" s="129" t="s">
        <v>39</v>
      </c>
      <c r="F195" s="268">
        <v>960</v>
      </c>
      <c r="G195" s="211">
        <v>240</v>
      </c>
    </row>
    <row r="196" spans="1:7" ht="15">
      <c r="A196" s="205">
        <v>193</v>
      </c>
      <c r="B196" s="163" t="s">
        <v>77</v>
      </c>
      <c r="C196" s="118">
        <v>39045</v>
      </c>
      <c r="D196" s="308" t="s">
        <v>58</v>
      </c>
      <c r="E196" s="308" t="s">
        <v>39</v>
      </c>
      <c r="F196" s="310">
        <v>657</v>
      </c>
      <c r="G196" s="211">
        <v>144</v>
      </c>
    </row>
    <row r="197" spans="1:7" ht="15">
      <c r="A197" s="208">
        <v>194</v>
      </c>
      <c r="B197" s="267" t="s">
        <v>96</v>
      </c>
      <c r="C197" s="117">
        <v>39010</v>
      </c>
      <c r="D197" s="130" t="s">
        <v>45</v>
      </c>
      <c r="E197" s="130" t="s">
        <v>97</v>
      </c>
      <c r="F197" s="274">
        <v>37033.5</v>
      </c>
      <c r="G197" s="210">
        <v>5902</v>
      </c>
    </row>
    <row r="198" spans="1:7" ht="15">
      <c r="A198" s="205">
        <v>195</v>
      </c>
      <c r="B198" s="159" t="s">
        <v>96</v>
      </c>
      <c r="C198" s="117">
        <v>39010</v>
      </c>
      <c r="D198" s="130" t="s">
        <v>45</v>
      </c>
      <c r="E198" s="130" t="s">
        <v>97</v>
      </c>
      <c r="F198" s="270">
        <v>2834</v>
      </c>
      <c r="G198" s="210">
        <v>949</v>
      </c>
    </row>
    <row r="199" spans="1:7" ht="15">
      <c r="A199" s="208">
        <v>196</v>
      </c>
      <c r="B199" s="159" t="s">
        <v>96</v>
      </c>
      <c r="C199" s="117">
        <v>39010</v>
      </c>
      <c r="D199" s="130" t="s">
        <v>45</v>
      </c>
      <c r="E199" s="130" t="s">
        <v>97</v>
      </c>
      <c r="F199" s="274">
        <v>2245.5</v>
      </c>
      <c r="G199" s="170">
        <v>312</v>
      </c>
    </row>
    <row r="200" spans="1:7" ht="15">
      <c r="A200" s="205">
        <v>197</v>
      </c>
      <c r="B200" s="195" t="s">
        <v>96</v>
      </c>
      <c r="C200" s="117">
        <v>39010</v>
      </c>
      <c r="D200" s="193" t="s">
        <v>45</v>
      </c>
      <c r="E200" s="193" t="s">
        <v>97</v>
      </c>
      <c r="F200" s="270">
        <v>1320</v>
      </c>
      <c r="G200" s="210">
        <v>175</v>
      </c>
    </row>
    <row r="201" spans="1:7" ht="15">
      <c r="A201" s="208">
        <v>198</v>
      </c>
      <c r="B201" s="159" t="s">
        <v>96</v>
      </c>
      <c r="C201" s="117">
        <v>39010</v>
      </c>
      <c r="D201" s="130" t="s">
        <v>45</v>
      </c>
      <c r="E201" s="130" t="s">
        <v>97</v>
      </c>
      <c r="F201" s="270">
        <v>528</v>
      </c>
      <c r="G201" s="210">
        <v>80</v>
      </c>
    </row>
    <row r="202" spans="1:7" ht="15">
      <c r="A202" s="205">
        <v>199</v>
      </c>
      <c r="B202" s="267" t="s">
        <v>96</v>
      </c>
      <c r="C202" s="117">
        <v>39010</v>
      </c>
      <c r="D202" s="130" t="s">
        <v>45</v>
      </c>
      <c r="E202" s="130" t="s">
        <v>97</v>
      </c>
      <c r="F202" s="270">
        <v>224</v>
      </c>
      <c r="G202" s="210">
        <v>30</v>
      </c>
    </row>
    <row r="203" spans="1:7" ht="15">
      <c r="A203" s="208">
        <v>200</v>
      </c>
      <c r="B203" s="161" t="s">
        <v>52</v>
      </c>
      <c r="C203" s="117">
        <v>38800</v>
      </c>
      <c r="D203" s="127" t="s">
        <v>48</v>
      </c>
      <c r="E203" s="127" t="s">
        <v>70</v>
      </c>
      <c r="F203" s="276">
        <v>551</v>
      </c>
      <c r="G203" s="172">
        <v>90</v>
      </c>
    </row>
    <row r="204" spans="1:7" ht="15">
      <c r="A204" s="205">
        <v>201</v>
      </c>
      <c r="B204" s="264" t="s">
        <v>199</v>
      </c>
      <c r="C204" s="117">
        <v>38618</v>
      </c>
      <c r="D204" s="127" t="s">
        <v>48</v>
      </c>
      <c r="E204" s="127" t="s">
        <v>200</v>
      </c>
      <c r="F204" s="271">
        <v>1188</v>
      </c>
      <c r="G204" s="212">
        <v>396</v>
      </c>
    </row>
    <row r="205" spans="1:7" ht="15">
      <c r="A205" s="208">
        <v>202</v>
      </c>
      <c r="B205" s="164" t="s">
        <v>83</v>
      </c>
      <c r="C205" s="118">
        <v>38877</v>
      </c>
      <c r="D205" s="133" t="s">
        <v>23</v>
      </c>
      <c r="E205" s="132" t="s">
        <v>27</v>
      </c>
      <c r="F205" s="268">
        <v>1105</v>
      </c>
      <c r="G205" s="211">
        <v>285</v>
      </c>
    </row>
    <row r="206" spans="1:7" ht="15">
      <c r="A206" s="205">
        <v>203</v>
      </c>
      <c r="B206" s="266" t="s">
        <v>83</v>
      </c>
      <c r="C206" s="118">
        <v>38877</v>
      </c>
      <c r="D206" s="133" t="s">
        <v>23</v>
      </c>
      <c r="E206" s="132" t="s">
        <v>27</v>
      </c>
      <c r="F206" s="268">
        <v>914</v>
      </c>
      <c r="G206" s="211">
        <v>239</v>
      </c>
    </row>
    <row r="207" spans="1:7" ht="15">
      <c r="A207" s="208">
        <v>204</v>
      </c>
      <c r="B207" s="196" t="s">
        <v>83</v>
      </c>
      <c r="C207" s="118">
        <v>38877</v>
      </c>
      <c r="D207" s="192" t="s">
        <v>23</v>
      </c>
      <c r="E207" s="192" t="s">
        <v>27</v>
      </c>
      <c r="F207" s="268">
        <v>755</v>
      </c>
      <c r="G207" s="211">
        <v>140</v>
      </c>
    </row>
    <row r="208" spans="1:7" ht="15">
      <c r="A208" s="205">
        <v>205</v>
      </c>
      <c r="B208" s="164" t="s">
        <v>83</v>
      </c>
      <c r="C208" s="118">
        <v>38877</v>
      </c>
      <c r="D208" s="133" t="s">
        <v>23</v>
      </c>
      <c r="E208" s="132" t="s">
        <v>27</v>
      </c>
      <c r="F208" s="273">
        <v>160</v>
      </c>
      <c r="G208" s="173">
        <v>16</v>
      </c>
    </row>
    <row r="209" spans="1:7" ht="15">
      <c r="A209" s="208">
        <v>206</v>
      </c>
      <c r="B209" s="163" t="s">
        <v>257</v>
      </c>
      <c r="C209" s="118">
        <v>38821</v>
      </c>
      <c r="D209" s="308" t="s">
        <v>58</v>
      </c>
      <c r="E209" s="308" t="s">
        <v>59</v>
      </c>
      <c r="F209" s="310">
        <v>610</v>
      </c>
      <c r="G209" s="211">
        <v>116</v>
      </c>
    </row>
    <row r="210" spans="1:7" ht="15">
      <c r="A210" s="205">
        <v>207</v>
      </c>
      <c r="B210" s="163" t="s">
        <v>212</v>
      </c>
      <c r="C210" s="118">
        <v>37589</v>
      </c>
      <c r="D210" s="130" t="s">
        <v>46</v>
      </c>
      <c r="E210" s="130" t="s">
        <v>213</v>
      </c>
      <c r="F210" s="268">
        <v>354</v>
      </c>
      <c r="G210" s="211">
        <v>118</v>
      </c>
    </row>
    <row r="211" spans="1:7" ht="15">
      <c r="A211" s="208">
        <v>208</v>
      </c>
      <c r="B211" s="265" t="s">
        <v>201</v>
      </c>
      <c r="C211" s="118">
        <v>38982</v>
      </c>
      <c r="D211" s="129" t="s">
        <v>58</v>
      </c>
      <c r="E211" s="129" t="s">
        <v>202</v>
      </c>
      <c r="F211" s="268">
        <v>330</v>
      </c>
      <c r="G211" s="211">
        <v>66</v>
      </c>
    </row>
    <row r="212" spans="1:7" ht="15">
      <c r="A212" s="205">
        <v>209</v>
      </c>
      <c r="B212" s="161" t="s">
        <v>129</v>
      </c>
      <c r="C212" s="117">
        <v>39038</v>
      </c>
      <c r="D212" s="127" t="s">
        <v>48</v>
      </c>
      <c r="E212" s="127" t="s">
        <v>42</v>
      </c>
      <c r="F212" s="276">
        <v>19312</v>
      </c>
      <c r="G212" s="172">
        <v>3691</v>
      </c>
    </row>
    <row r="213" spans="1:7" ht="15">
      <c r="A213" s="205">
        <v>210</v>
      </c>
      <c r="B213" s="195" t="s">
        <v>129</v>
      </c>
      <c r="C213" s="117">
        <v>39038</v>
      </c>
      <c r="D213" s="193" t="s">
        <v>48</v>
      </c>
      <c r="E213" s="193" t="s">
        <v>42</v>
      </c>
      <c r="F213" s="271">
        <v>9417</v>
      </c>
      <c r="G213" s="212">
        <v>2021</v>
      </c>
    </row>
    <row r="214" spans="1:7" ht="15">
      <c r="A214" s="208">
        <v>211</v>
      </c>
      <c r="B214" s="161" t="s">
        <v>129</v>
      </c>
      <c r="C214" s="117">
        <v>39038</v>
      </c>
      <c r="D214" s="127" t="s">
        <v>48</v>
      </c>
      <c r="E214" s="127" t="s">
        <v>42</v>
      </c>
      <c r="F214" s="271">
        <v>8894</v>
      </c>
      <c r="G214" s="212">
        <v>1715</v>
      </c>
    </row>
    <row r="215" spans="1:7" ht="15">
      <c r="A215" s="205">
        <v>212</v>
      </c>
      <c r="B215" s="264" t="s">
        <v>129</v>
      </c>
      <c r="C215" s="117">
        <v>39038</v>
      </c>
      <c r="D215" s="127" t="s">
        <v>48</v>
      </c>
      <c r="E215" s="127" t="s">
        <v>42</v>
      </c>
      <c r="F215" s="271">
        <v>3218.5</v>
      </c>
      <c r="G215" s="212">
        <v>562</v>
      </c>
    </row>
    <row r="216" spans="1:7" ht="15">
      <c r="A216" s="208">
        <v>213</v>
      </c>
      <c r="B216" s="161" t="s">
        <v>129</v>
      </c>
      <c r="C216" s="117">
        <v>39038</v>
      </c>
      <c r="D216" s="127" t="s">
        <v>48</v>
      </c>
      <c r="E216" s="127" t="s">
        <v>42</v>
      </c>
      <c r="F216" s="271">
        <v>825</v>
      </c>
      <c r="G216" s="212">
        <v>165</v>
      </c>
    </row>
    <row r="217" spans="1:7" ht="15">
      <c r="A217" s="205">
        <v>214</v>
      </c>
      <c r="B217" s="266" t="s">
        <v>232</v>
      </c>
      <c r="C217" s="118">
        <v>38814</v>
      </c>
      <c r="D217" s="133" t="s">
        <v>23</v>
      </c>
      <c r="E217" s="132" t="s">
        <v>195</v>
      </c>
      <c r="F217" s="273">
        <v>4276</v>
      </c>
      <c r="G217" s="211">
        <v>1069</v>
      </c>
    </row>
    <row r="218" spans="1:7" ht="15">
      <c r="A218" s="208">
        <v>215</v>
      </c>
      <c r="B218" s="196" t="s">
        <v>154</v>
      </c>
      <c r="C218" s="118">
        <v>39038</v>
      </c>
      <c r="D218" s="192" t="s">
        <v>58</v>
      </c>
      <c r="E218" s="192" t="s">
        <v>155</v>
      </c>
      <c r="F218" s="268">
        <v>2427</v>
      </c>
      <c r="G218" s="211">
        <v>457</v>
      </c>
    </row>
    <row r="219" spans="1:7" ht="15">
      <c r="A219" s="205">
        <v>216</v>
      </c>
      <c r="B219" s="163" t="s">
        <v>154</v>
      </c>
      <c r="C219" s="118">
        <v>39038</v>
      </c>
      <c r="D219" s="308" t="s">
        <v>58</v>
      </c>
      <c r="E219" s="308" t="s">
        <v>251</v>
      </c>
      <c r="F219" s="310">
        <v>1802</v>
      </c>
      <c r="G219" s="211">
        <v>212</v>
      </c>
    </row>
    <row r="220" spans="1:7" ht="15">
      <c r="A220" s="208">
        <v>217</v>
      </c>
      <c r="B220" s="163" t="s">
        <v>154</v>
      </c>
      <c r="C220" s="118">
        <v>39038</v>
      </c>
      <c r="D220" s="129" t="s">
        <v>58</v>
      </c>
      <c r="E220" s="129" t="s">
        <v>155</v>
      </c>
      <c r="F220" s="268">
        <v>1511</v>
      </c>
      <c r="G220" s="211">
        <v>303</v>
      </c>
    </row>
    <row r="221" spans="1:7" ht="15">
      <c r="A221" s="205">
        <v>218</v>
      </c>
      <c r="B221" s="162" t="s">
        <v>154</v>
      </c>
      <c r="C221" s="165">
        <v>39038</v>
      </c>
      <c r="D221" s="300" t="s">
        <v>58</v>
      </c>
      <c r="E221" s="299" t="s">
        <v>251</v>
      </c>
      <c r="F221" s="275">
        <v>1189</v>
      </c>
      <c r="G221" s="171">
        <v>238</v>
      </c>
    </row>
    <row r="222" spans="1:7" ht="15">
      <c r="A222" s="208">
        <v>219</v>
      </c>
      <c r="B222" s="163" t="s">
        <v>154</v>
      </c>
      <c r="C222" s="118">
        <v>39038</v>
      </c>
      <c r="D222" s="129" t="s">
        <v>58</v>
      </c>
      <c r="E222" s="129" t="s">
        <v>155</v>
      </c>
      <c r="F222" s="268">
        <v>460</v>
      </c>
      <c r="G222" s="211">
        <v>92</v>
      </c>
    </row>
    <row r="223" spans="1:7" ht="15">
      <c r="A223" s="205">
        <v>220</v>
      </c>
      <c r="B223" s="266" t="s">
        <v>203</v>
      </c>
      <c r="C223" s="118">
        <v>38982</v>
      </c>
      <c r="D223" s="133" t="s">
        <v>23</v>
      </c>
      <c r="E223" s="132" t="s">
        <v>204</v>
      </c>
      <c r="F223" s="268">
        <v>3560</v>
      </c>
      <c r="G223" s="211">
        <v>890</v>
      </c>
    </row>
    <row r="224" spans="1:7" ht="15">
      <c r="A224" s="208">
        <v>221</v>
      </c>
      <c r="B224" s="164" t="s">
        <v>203</v>
      </c>
      <c r="C224" s="118">
        <v>38982</v>
      </c>
      <c r="D224" s="133" t="s">
        <v>23</v>
      </c>
      <c r="E224" s="132" t="s">
        <v>204</v>
      </c>
      <c r="F224" s="268">
        <v>1780</v>
      </c>
      <c r="G224" s="211">
        <v>445</v>
      </c>
    </row>
    <row r="225" spans="1:7" ht="15">
      <c r="A225" s="205">
        <v>222</v>
      </c>
      <c r="B225" s="266" t="s">
        <v>158</v>
      </c>
      <c r="C225" s="118">
        <v>39045</v>
      </c>
      <c r="D225" s="133" t="s">
        <v>23</v>
      </c>
      <c r="E225" s="132" t="s">
        <v>159</v>
      </c>
      <c r="F225" s="273">
        <v>1068</v>
      </c>
      <c r="G225" s="211">
        <v>267</v>
      </c>
    </row>
    <row r="226" spans="1:7" ht="15">
      <c r="A226" s="208">
        <v>223</v>
      </c>
      <c r="B226" s="196" t="s">
        <v>158</v>
      </c>
      <c r="C226" s="118">
        <v>39045</v>
      </c>
      <c r="D226" s="192" t="s">
        <v>23</v>
      </c>
      <c r="E226" s="192" t="s">
        <v>159</v>
      </c>
      <c r="F226" s="268">
        <v>851.5</v>
      </c>
      <c r="G226" s="211">
        <v>142</v>
      </c>
    </row>
    <row r="227" spans="1:7" ht="15">
      <c r="A227" s="205">
        <v>224</v>
      </c>
      <c r="B227" s="164" t="s">
        <v>158</v>
      </c>
      <c r="C227" s="118">
        <v>39045</v>
      </c>
      <c r="D227" s="133" t="s">
        <v>23</v>
      </c>
      <c r="E227" s="132" t="s">
        <v>159</v>
      </c>
      <c r="F227" s="268">
        <v>290.5</v>
      </c>
      <c r="G227" s="211">
        <v>39</v>
      </c>
    </row>
    <row r="228" spans="1:7" ht="15">
      <c r="A228" s="208">
        <v>225</v>
      </c>
      <c r="B228" s="266" t="s">
        <v>158</v>
      </c>
      <c r="C228" s="118">
        <v>39045</v>
      </c>
      <c r="D228" s="133" t="s">
        <v>23</v>
      </c>
      <c r="E228" s="132" t="s">
        <v>159</v>
      </c>
      <c r="F228" s="268">
        <v>236</v>
      </c>
      <c r="G228" s="211">
        <v>97</v>
      </c>
    </row>
    <row r="229" spans="1:7" ht="15">
      <c r="A229" s="205">
        <v>226</v>
      </c>
      <c r="B229" s="164" t="s">
        <v>158</v>
      </c>
      <c r="C229" s="118">
        <v>39045</v>
      </c>
      <c r="D229" s="133" t="s">
        <v>23</v>
      </c>
      <c r="E229" s="132" t="s">
        <v>159</v>
      </c>
      <c r="F229" s="268">
        <v>176</v>
      </c>
      <c r="G229" s="211">
        <v>68</v>
      </c>
    </row>
    <row r="230" spans="1:7" ht="15">
      <c r="A230" s="208">
        <v>227</v>
      </c>
      <c r="B230" s="164" t="s">
        <v>283</v>
      </c>
      <c r="C230" s="118">
        <v>39045</v>
      </c>
      <c r="D230" s="302" t="s">
        <v>23</v>
      </c>
      <c r="E230" s="303" t="s">
        <v>159</v>
      </c>
      <c r="F230" s="273">
        <v>372</v>
      </c>
      <c r="G230" s="173">
        <v>124</v>
      </c>
    </row>
    <row r="231" spans="1:7" ht="15">
      <c r="A231" s="205">
        <v>228</v>
      </c>
      <c r="B231" s="161" t="s">
        <v>122</v>
      </c>
      <c r="C231" s="117">
        <v>39073</v>
      </c>
      <c r="D231" s="127" t="s">
        <v>48</v>
      </c>
      <c r="E231" s="127" t="s">
        <v>33</v>
      </c>
      <c r="F231" s="276">
        <v>1289903.5</v>
      </c>
      <c r="G231" s="172">
        <v>169709</v>
      </c>
    </row>
    <row r="232" spans="1:7" ht="15">
      <c r="A232" s="208">
        <v>229</v>
      </c>
      <c r="B232" s="195" t="s">
        <v>122</v>
      </c>
      <c r="C232" s="117">
        <v>39073</v>
      </c>
      <c r="D232" s="193" t="s">
        <v>48</v>
      </c>
      <c r="E232" s="193" t="s">
        <v>33</v>
      </c>
      <c r="F232" s="271">
        <v>386658</v>
      </c>
      <c r="G232" s="212">
        <v>52723</v>
      </c>
    </row>
    <row r="233" spans="1:7" ht="15">
      <c r="A233" s="205">
        <v>230</v>
      </c>
      <c r="B233" s="161" t="s">
        <v>122</v>
      </c>
      <c r="C233" s="117">
        <v>39073</v>
      </c>
      <c r="D233" s="127" t="s">
        <v>48</v>
      </c>
      <c r="E233" s="127" t="s">
        <v>33</v>
      </c>
      <c r="F233" s="271">
        <v>174047.5</v>
      </c>
      <c r="G233" s="212">
        <v>26534</v>
      </c>
    </row>
    <row r="234" spans="1:7" ht="15">
      <c r="A234" s="208">
        <v>231</v>
      </c>
      <c r="B234" s="264" t="s">
        <v>122</v>
      </c>
      <c r="C234" s="117">
        <v>39073</v>
      </c>
      <c r="D234" s="127" t="s">
        <v>48</v>
      </c>
      <c r="E234" s="127" t="s">
        <v>33</v>
      </c>
      <c r="F234" s="271">
        <v>53640.5</v>
      </c>
      <c r="G234" s="212">
        <v>10972</v>
      </c>
    </row>
    <row r="235" spans="1:7" ht="15">
      <c r="A235" s="205">
        <v>232</v>
      </c>
      <c r="B235" s="161" t="s">
        <v>122</v>
      </c>
      <c r="C235" s="117">
        <v>39073</v>
      </c>
      <c r="D235" s="299" t="s">
        <v>48</v>
      </c>
      <c r="E235" s="299" t="s">
        <v>33</v>
      </c>
      <c r="F235" s="312">
        <v>19067</v>
      </c>
      <c r="G235" s="212">
        <v>3834</v>
      </c>
    </row>
    <row r="236" spans="1:7" ht="15">
      <c r="A236" s="208">
        <v>233</v>
      </c>
      <c r="B236" s="264" t="s">
        <v>122</v>
      </c>
      <c r="C236" s="117">
        <v>39073</v>
      </c>
      <c r="D236" s="299" t="s">
        <v>48</v>
      </c>
      <c r="E236" s="299" t="s">
        <v>33</v>
      </c>
      <c r="F236" s="276">
        <v>16336.5</v>
      </c>
      <c r="G236" s="172">
        <v>3779</v>
      </c>
    </row>
    <row r="237" spans="1:7" ht="15">
      <c r="A237" s="205">
        <v>234</v>
      </c>
      <c r="B237" s="264" t="s">
        <v>122</v>
      </c>
      <c r="C237" s="117">
        <v>39073</v>
      </c>
      <c r="D237" s="127" t="s">
        <v>48</v>
      </c>
      <c r="E237" s="127" t="s">
        <v>33</v>
      </c>
      <c r="F237" s="276">
        <v>13202</v>
      </c>
      <c r="G237" s="212">
        <v>2814</v>
      </c>
    </row>
    <row r="238" spans="1:7" ht="15">
      <c r="A238" s="208">
        <v>235</v>
      </c>
      <c r="B238" s="161" t="s">
        <v>122</v>
      </c>
      <c r="C238" s="117">
        <v>39073</v>
      </c>
      <c r="D238" s="127" t="s">
        <v>48</v>
      </c>
      <c r="E238" s="127" t="s">
        <v>33</v>
      </c>
      <c r="F238" s="271">
        <v>11222</v>
      </c>
      <c r="G238" s="212">
        <v>2184</v>
      </c>
    </row>
    <row r="239" spans="1:7" ht="15">
      <c r="A239" s="205">
        <v>236</v>
      </c>
      <c r="B239" s="161" t="s">
        <v>122</v>
      </c>
      <c r="C239" s="117">
        <v>39073</v>
      </c>
      <c r="D239" s="299" t="s">
        <v>48</v>
      </c>
      <c r="E239" s="299" t="s">
        <v>33</v>
      </c>
      <c r="F239" s="276">
        <v>4695</v>
      </c>
      <c r="G239" s="172">
        <v>945</v>
      </c>
    </row>
    <row r="240" spans="1:7" ht="15">
      <c r="A240" s="208">
        <v>237</v>
      </c>
      <c r="B240" s="264" t="s">
        <v>122</v>
      </c>
      <c r="C240" s="117">
        <v>39073</v>
      </c>
      <c r="D240" s="127" t="s">
        <v>48</v>
      </c>
      <c r="E240" s="127" t="s">
        <v>33</v>
      </c>
      <c r="F240" s="271">
        <v>1360</v>
      </c>
      <c r="G240" s="212">
        <v>312</v>
      </c>
    </row>
    <row r="241" spans="1:7" ht="15">
      <c r="A241" s="205">
        <v>238</v>
      </c>
      <c r="B241" s="266" t="s">
        <v>250</v>
      </c>
      <c r="C241" s="118">
        <v>38779</v>
      </c>
      <c r="D241" s="302" t="s">
        <v>23</v>
      </c>
      <c r="E241" s="303" t="s">
        <v>198</v>
      </c>
      <c r="F241" s="273">
        <v>3560</v>
      </c>
      <c r="G241" s="173">
        <v>890</v>
      </c>
    </row>
    <row r="242" spans="1:7" ht="15">
      <c r="A242" s="208">
        <v>239</v>
      </c>
      <c r="B242" s="266" t="s">
        <v>233</v>
      </c>
      <c r="C242" s="118">
        <v>38548</v>
      </c>
      <c r="D242" s="133" t="s">
        <v>23</v>
      </c>
      <c r="E242" s="132" t="s">
        <v>207</v>
      </c>
      <c r="F242" s="273">
        <v>236</v>
      </c>
      <c r="G242" s="211">
        <v>59</v>
      </c>
    </row>
    <row r="243" spans="1:7" ht="14.25" customHeight="1">
      <c r="A243" s="205">
        <v>240</v>
      </c>
      <c r="B243" s="196" t="s">
        <v>153</v>
      </c>
      <c r="C243" s="118">
        <v>37246</v>
      </c>
      <c r="D243" s="193" t="s">
        <v>46</v>
      </c>
      <c r="E243" s="193" t="s">
        <v>151</v>
      </c>
      <c r="F243" s="270">
        <v>6255</v>
      </c>
      <c r="G243" s="210">
        <v>2085</v>
      </c>
    </row>
    <row r="244" spans="1:7" ht="15">
      <c r="A244" s="208">
        <v>241</v>
      </c>
      <c r="B244" s="196" t="s">
        <v>152</v>
      </c>
      <c r="C244" s="118">
        <v>37610</v>
      </c>
      <c r="D244" s="193" t="s">
        <v>46</v>
      </c>
      <c r="E244" s="193" t="s">
        <v>151</v>
      </c>
      <c r="F244" s="268">
        <v>6255</v>
      </c>
      <c r="G244" s="211">
        <v>2085</v>
      </c>
    </row>
    <row r="245" spans="1:7" ht="15">
      <c r="A245" s="205">
        <v>242</v>
      </c>
      <c r="B245" s="195" t="s">
        <v>150</v>
      </c>
      <c r="C245" s="117">
        <v>37974</v>
      </c>
      <c r="D245" s="193" t="s">
        <v>46</v>
      </c>
      <c r="E245" s="193" t="s">
        <v>151</v>
      </c>
      <c r="F245" s="270">
        <v>6255</v>
      </c>
      <c r="G245" s="210">
        <v>2085</v>
      </c>
    </row>
    <row r="246" spans="1:7" ht="15">
      <c r="A246" s="208">
        <v>243</v>
      </c>
      <c r="B246" s="164" t="s">
        <v>279</v>
      </c>
      <c r="C246" s="118">
        <v>38688</v>
      </c>
      <c r="D246" s="302" t="s">
        <v>23</v>
      </c>
      <c r="E246" s="303" t="s">
        <v>85</v>
      </c>
      <c r="F246" s="273">
        <v>1664</v>
      </c>
      <c r="G246" s="173">
        <v>416</v>
      </c>
    </row>
    <row r="247" spans="1:7" ht="15">
      <c r="A247" s="205">
        <v>244</v>
      </c>
      <c r="B247" s="196" t="s">
        <v>157</v>
      </c>
      <c r="C247" s="118">
        <v>38842</v>
      </c>
      <c r="D247" s="192" t="s">
        <v>57</v>
      </c>
      <c r="E247" s="192" t="s">
        <v>60</v>
      </c>
      <c r="F247" s="268">
        <v>1155</v>
      </c>
      <c r="G247" s="211">
        <v>350</v>
      </c>
    </row>
    <row r="248" spans="1:7" ht="15">
      <c r="A248" s="208">
        <v>245</v>
      </c>
      <c r="B248" s="159" t="s">
        <v>258</v>
      </c>
      <c r="C248" s="117">
        <v>38996</v>
      </c>
      <c r="D248" s="301" t="s">
        <v>73</v>
      </c>
      <c r="E248" s="301" t="s">
        <v>136</v>
      </c>
      <c r="F248" s="311">
        <v>1737</v>
      </c>
      <c r="G248" s="210">
        <v>255</v>
      </c>
    </row>
    <row r="249" spans="1:7" ht="15">
      <c r="A249" s="205">
        <v>246</v>
      </c>
      <c r="B249" s="163" t="s">
        <v>106</v>
      </c>
      <c r="C249" s="118">
        <v>38954</v>
      </c>
      <c r="D249" s="129" t="s">
        <v>57</v>
      </c>
      <c r="E249" s="129" t="s">
        <v>65</v>
      </c>
      <c r="F249" s="268">
        <v>1156</v>
      </c>
      <c r="G249" s="211">
        <v>350</v>
      </c>
    </row>
    <row r="250" spans="1:7" ht="15">
      <c r="A250" s="208">
        <v>247</v>
      </c>
      <c r="B250" s="162" t="s">
        <v>106</v>
      </c>
      <c r="C250" s="165">
        <v>38954</v>
      </c>
      <c r="D250" s="129" t="s">
        <v>57</v>
      </c>
      <c r="E250" s="160" t="s">
        <v>65</v>
      </c>
      <c r="F250" s="275">
        <v>413</v>
      </c>
      <c r="G250" s="171">
        <v>100</v>
      </c>
    </row>
    <row r="251" spans="1:7" ht="15">
      <c r="A251" s="205">
        <v>248</v>
      </c>
      <c r="B251" s="161" t="s">
        <v>169</v>
      </c>
      <c r="C251" s="117">
        <v>38639</v>
      </c>
      <c r="D251" s="127" t="s">
        <v>48</v>
      </c>
      <c r="E251" s="127" t="s">
        <v>25</v>
      </c>
      <c r="F251" s="271">
        <v>1946</v>
      </c>
      <c r="G251" s="212">
        <v>278</v>
      </c>
    </row>
    <row r="252" spans="1:7" ht="15">
      <c r="A252" s="208">
        <v>249</v>
      </c>
      <c r="B252" s="163" t="s">
        <v>171</v>
      </c>
      <c r="C252" s="118">
        <v>38800</v>
      </c>
      <c r="D252" s="129" t="s">
        <v>58</v>
      </c>
      <c r="E252" s="129" t="s">
        <v>59</v>
      </c>
      <c r="F252" s="268">
        <v>1510</v>
      </c>
      <c r="G252" s="211">
        <v>302</v>
      </c>
    </row>
    <row r="253" spans="1:7" ht="15">
      <c r="A253" s="205">
        <v>250</v>
      </c>
      <c r="B253" s="161" t="s">
        <v>104</v>
      </c>
      <c r="C253" s="117">
        <v>39073</v>
      </c>
      <c r="D253" s="128" t="s">
        <v>56</v>
      </c>
      <c r="E253" s="127" t="s">
        <v>11</v>
      </c>
      <c r="F253" s="274">
        <v>736993</v>
      </c>
      <c r="G253" s="170">
        <v>80041</v>
      </c>
    </row>
    <row r="254" spans="1:7" ht="15">
      <c r="A254" s="208">
        <v>251</v>
      </c>
      <c r="B254" s="195" t="s">
        <v>104</v>
      </c>
      <c r="C254" s="117">
        <v>39073</v>
      </c>
      <c r="D254" s="193" t="s">
        <v>56</v>
      </c>
      <c r="E254" s="193" t="s">
        <v>11</v>
      </c>
      <c r="F254" s="270">
        <v>318216</v>
      </c>
      <c r="G254" s="210">
        <v>36145</v>
      </c>
    </row>
    <row r="255" spans="1:7" ht="15">
      <c r="A255" s="205">
        <v>252</v>
      </c>
      <c r="B255" s="161" t="s">
        <v>104</v>
      </c>
      <c r="C255" s="117">
        <v>39073</v>
      </c>
      <c r="D255" s="128" t="s">
        <v>56</v>
      </c>
      <c r="E255" s="127" t="s">
        <v>11</v>
      </c>
      <c r="F255" s="270">
        <v>148350</v>
      </c>
      <c r="G255" s="210">
        <v>17661</v>
      </c>
    </row>
    <row r="256" spans="1:7" ht="15">
      <c r="A256" s="208">
        <v>253</v>
      </c>
      <c r="B256" s="264" t="s">
        <v>104</v>
      </c>
      <c r="C256" s="117">
        <v>39073</v>
      </c>
      <c r="D256" s="128" t="s">
        <v>56</v>
      </c>
      <c r="E256" s="127" t="s">
        <v>11</v>
      </c>
      <c r="F256" s="270">
        <v>83269</v>
      </c>
      <c r="G256" s="210">
        <v>10172</v>
      </c>
    </row>
    <row r="257" spans="1:7" ht="15">
      <c r="A257" s="205">
        <v>254</v>
      </c>
      <c r="B257" s="161" t="s">
        <v>104</v>
      </c>
      <c r="C257" s="117">
        <v>39073</v>
      </c>
      <c r="D257" s="128" t="s">
        <v>56</v>
      </c>
      <c r="E257" s="127" t="s">
        <v>11</v>
      </c>
      <c r="F257" s="270">
        <v>13464</v>
      </c>
      <c r="G257" s="210">
        <v>1277</v>
      </c>
    </row>
    <row r="258" spans="1:7" ht="15">
      <c r="A258" s="208">
        <v>255</v>
      </c>
      <c r="B258" s="264" t="s">
        <v>104</v>
      </c>
      <c r="C258" s="117">
        <v>39073</v>
      </c>
      <c r="D258" s="298" t="s">
        <v>56</v>
      </c>
      <c r="E258" s="299" t="s">
        <v>11</v>
      </c>
      <c r="F258" s="274">
        <v>3459</v>
      </c>
      <c r="G258" s="170">
        <v>1543</v>
      </c>
    </row>
    <row r="259" spans="1:7" ht="15">
      <c r="A259" s="205">
        <v>256</v>
      </c>
      <c r="B259" s="161" t="s">
        <v>104</v>
      </c>
      <c r="C259" s="117">
        <v>39073</v>
      </c>
      <c r="D259" s="298" t="s">
        <v>56</v>
      </c>
      <c r="E259" s="299" t="s">
        <v>11</v>
      </c>
      <c r="F259" s="274">
        <v>2344</v>
      </c>
      <c r="G259" s="170">
        <v>389</v>
      </c>
    </row>
    <row r="260" spans="1:7" ht="15">
      <c r="A260" s="208">
        <v>257</v>
      </c>
      <c r="B260" s="161" t="s">
        <v>104</v>
      </c>
      <c r="C260" s="117">
        <v>39073</v>
      </c>
      <c r="D260" s="298" t="s">
        <v>56</v>
      </c>
      <c r="E260" s="299" t="s">
        <v>11</v>
      </c>
      <c r="F260" s="311">
        <v>2218</v>
      </c>
      <c r="G260" s="210">
        <v>444</v>
      </c>
    </row>
    <row r="261" spans="1:7" ht="15">
      <c r="A261" s="205">
        <v>258</v>
      </c>
      <c r="B261" s="264" t="s">
        <v>104</v>
      </c>
      <c r="C261" s="117">
        <v>39073</v>
      </c>
      <c r="D261" s="128" t="s">
        <v>56</v>
      </c>
      <c r="E261" s="127" t="s">
        <v>11</v>
      </c>
      <c r="F261" s="270">
        <v>2077</v>
      </c>
      <c r="G261" s="210">
        <v>644</v>
      </c>
    </row>
    <row r="262" spans="1:7" ht="15">
      <c r="A262" s="208">
        <v>259</v>
      </c>
      <c r="B262" s="264" t="s">
        <v>104</v>
      </c>
      <c r="C262" s="117">
        <v>39073</v>
      </c>
      <c r="D262" s="128" t="s">
        <v>56</v>
      </c>
      <c r="E262" s="127" t="s">
        <v>11</v>
      </c>
      <c r="F262" s="274">
        <v>1073</v>
      </c>
      <c r="G262" s="210">
        <v>200</v>
      </c>
    </row>
    <row r="263" spans="1:7" ht="15">
      <c r="A263" s="205">
        <v>260</v>
      </c>
      <c r="B263" s="164" t="s">
        <v>116</v>
      </c>
      <c r="C263" s="118">
        <v>39066</v>
      </c>
      <c r="D263" s="302" t="s">
        <v>23</v>
      </c>
      <c r="E263" s="303" t="s">
        <v>25</v>
      </c>
      <c r="F263" s="310">
        <v>1068</v>
      </c>
      <c r="G263" s="211">
        <v>267</v>
      </c>
    </row>
    <row r="264" spans="1:7" ht="15">
      <c r="A264" s="208">
        <v>261</v>
      </c>
      <c r="B264" s="266" t="s">
        <v>116</v>
      </c>
      <c r="C264" s="118">
        <v>39066</v>
      </c>
      <c r="D264" s="133" t="s">
        <v>23</v>
      </c>
      <c r="E264" s="132" t="s">
        <v>205</v>
      </c>
      <c r="F264" s="268">
        <v>420</v>
      </c>
      <c r="G264" s="211">
        <v>84</v>
      </c>
    </row>
    <row r="265" spans="1:7" ht="15">
      <c r="A265" s="205">
        <v>262</v>
      </c>
      <c r="B265" s="196" t="s">
        <v>116</v>
      </c>
      <c r="C265" s="118">
        <v>39066</v>
      </c>
      <c r="D265" s="192" t="s">
        <v>23</v>
      </c>
      <c r="E265" s="192" t="s">
        <v>25</v>
      </c>
      <c r="F265" s="268">
        <v>268</v>
      </c>
      <c r="G265" s="211">
        <v>28</v>
      </c>
    </row>
    <row r="266" spans="1:7" ht="15">
      <c r="A266" s="205">
        <v>263</v>
      </c>
      <c r="B266" s="164" t="s">
        <v>116</v>
      </c>
      <c r="C266" s="118">
        <v>39066</v>
      </c>
      <c r="D266" s="133" t="s">
        <v>23</v>
      </c>
      <c r="E266" s="132" t="s">
        <v>25</v>
      </c>
      <c r="F266" s="273">
        <v>212</v>
      </c>
      <c r="G266" s="173">
        <v>23</v>
      </c>
    </row>
    <row r="267" spans="1:7" ht="15">
      <c r="A267" s="208">
        <v>264</v>
      </c>
      <c r="B267" s="163" t="s">
        <v>234</v>
      </c>
      <c r="C267" s="118">
        <v>38989</v>
      </c>
      <c r="D267" s="308" t="s">
        <v>58</v>
      </c>
      <c r="E267" s="308" t="s">
        <v>66</v>
      </c>
      <c r="F267" s="310">
        <v>1135</v>
      </c>
      <c r="G267" s="211">
        <v>216</v>
      </c>
    </row>
    <row r="268" spans="1:7" ht="15">
      <c r="A268" s="205">
        <v>265</v>
      </c>
      <c r="B268" s="162" t="s">
        <v>234</v>
      </c>
      <c r="C268" s="165">
        <v>38989</v>
      </c>
      <c r="D268" s="300" t="s">
        <v>66</v>
      </c>
      <c r="E268" s="299" t="s">
        <v>66</v>
      </c>
      <c r="F268" s="275">
        <v>1135</v>
      </c>
      <c r="G268" s="171">
        <v>216</v>
      </c>
    </row>
    <row r="269" spans="1:7" ht="15">
      <c r="A269" s="208">
        <v>266</v>
      </c>
      <c r="B269" s="265" t="s">
        <v>234</v>
      </c>
      <c r="C269" s="118">
        <v>38989</v>
      </c>
      <c r="D269" s="129" t="s">
        <v>58</v>
      </c>
      <c r="E269" s="129" t="s">
        <v>66</v>
      </c>
      <c r="F269" s="273">
        <v>397</v>
      </c>
      <c r="G269" s="211">
        <v>77</v>
      </c>
    </row>
    <row r="270" spans="1:7" ht="15">
      <c r="A270" s="205">
        <v>267</v>
      </c>
      <c r="B270" s="195" t="s">
        <v>147</v>
      </c>
      <c r="C270" s="117">
        <v>39073</v>
      </c>
      <c r="D270" s="193" t="s">
        <v>73</v>
      </c>
      <c r="E270" s="193" t="s">
        <v>136</v>
      </c>
      <c r="F270" s="270">
        <v>28432.5</v>
      </c>
      <c r="G270" s="210">
        <v>3928</v>
      </c>
    </row>
    <row r="271" spans="1:7" ht="15">
      <c r="A271" s="208">
        <v>268</v>
      </c>
      <c r="B271" s="159" t="s">
        <v>147</v>
      </c>
      <c r="C271" s="117">
        <v>39073</v>
      </c>
      <c r="D271" s="130" t="s">
        <v>73</v>
      </c>
      <c r="E271" s="130" t="s">
        <v>136</v>
      </c>
      <c r="F271" s="270">
        <v>3756</v>
      </c>
      <c r="G271" s="210">
        <v>644</v>
      </c>
    </row>
    <row r="272" spans="1:7" ht="15">
      <c r="A272" s="205">
        <v>269</v>
      </c>
      <c r="B272" s="267" t="s">
        <v>147</v>
      </c>
      <c r="C272" s="117">
        <v>39073</v>
      </c>
      <c r="D272" s="130" t="s">
        <v>73</v>
      </c>
      <c r="E272" s="130" t="s">
        <v>136</v>
      </c>
      <c r="F272" s="270">
        <v>3051</v>
      </c>
      <c r="G272" s="210">
        <v>698</v>
      </c>
    </row>
    <row r="273" spans="1:7" ht="15">
      <c r="A273" s="208">
        <v>270</v>
      </c>
      <c r="B273" s="159" t="s">
        <v>147</v>
      </c>
      <c r="C273" s="117">
        <v>39073</v>
      </c>
      <c r="D273" s="301" t="s">
        <v>73</v>
      </c>
      <c r="E273" s="301" t="s">
        <v>136</v>
      </c>
      <c r="F273" s="311">
        <v>1243</v>
      </c>
      <c r="G273" s="210">
        <v>259</v>
      </c>
    </row>
    <row r="274" spans="1:7" ht="15">
      <c r="A274" s="205">
        <v>271</v>
      </c>
      <c r="B274" s="159" t="s">
        <v>147</v>
      </c>
      <c r="C274" s="117">
        <v>39073</v>
      </c>
      <c r="D274" s="301" t="s">
        <v>73</v>
      </c>
      <c r="E274" s="301" t="s">
        <v>136</v>
      </c>
      <c r="F274" s="274">
        <v>950</v>
      </c>
      <c r="G274" s="170">
        <v>179</v>
      </c>
    </row>
    <row r="275" spans="1:7" ht="15">
      <c r="A275" s="208">
        <v>272</v>
      </c>
      <c r="B275" s="159" t="s">
        <v>147</v>
      </c>
      <c r="C275" s="117">
        <v>39073</v>
      </c>
      <c r="D275" s="130" t="s">
        <v>73</v>
      </c>
      <c r="E275" s="130" t="s">
        <v>136</v>
      </c>
      <c r="F275" s="270">
        <v>584.5</v>
      </c>
      <c r="G275" s="210">
        <v>144</v>
      </c>
    </row>
    <row r="276" spans="1:7" ht="15">
      <c r="A276" s="205">
        <v>273</v>
      </c>
      <c r="B276" s="163" t="s">
        <v>170</v>
      </c>
      <c r="C276" s="118">
        <v>38436</v>
      </c>
      <c r="D276" s="129" t="s">
        <v>58</v>
      </c>
      <c r="E276" s="129" t="s">
        <v>59</v>
      </c>
      <c r="F276" s="268">
        <v>1510</v>
      </c>
      <c r="G276" s="211">
        <v>302</v>
      </c>
    </row>
    <row r="277" spans="1:7" ht="15">
      <c r="A277" s="208">
        <v>274</v>
      </c>
      <c r="B277" s="163" t="s">
        <v>170</v>
      </c>
      <c r="C277" s="118">
        <v>38436</v>
      </c>
      <c r="D277" s="129" t="s">
        <v>58</v>
      </c>
      <c r="E277" s="129" t="s">
        <v>59</v>
      </c>
      <c r="F277" s="268">
        <v>201</v>
      </c>
      <c r="G277" s="211">
        <v>47</v>
      </c>
    </row>
    <row r="278" spans="1:7" ht="15">
      <c r="A278" s="205">
        <v>275</v>
      </c>
      <c r="B278" s="265" t="s">
        <v>170</v>
      </c>
      <c r="C278" s="118">
        <v>38436</v>
      </c>
      <c r="D278" s="129" t="s">
        <v>58</v>
      </c>
      <c r="E278" s="129" t="s">
        <v>59</v>
      </c>
      <c r="F278" s="268">
        <v>201</v>
      </c>
      <c r="G278" s="211">
        <v>47</v>
      </c>
    </row>
    <row r="279" spans="1:7" ht="15">
      <c r="A279" s="208">
        <v>276</v>
      </c>
      <c r="B279" s="161" t="s">
        <v>32</v>
      </c>
      <c r="C279" s="117">
        <v>39024</v>
      </c>
      <c r="D279" s="128" t="s">
        <v>56</v>
      </c>
      <c r="E279" s="127" t="s">
        <v>71</v>
      </c>
      <c r="F279" s="274">
        <v>4639</v>
      </c>
      <c r="G279" s="170">
        <v>1240</v>
      </c>
    </row>
    <row r="280" spans="1:7" ht="15">
      <c r="A280" s="205">
        <v>277</v>
      </c>
      <c r="B280" s="264" t="s">
        <v>32</v>
      </c>
      <c r="C280" s="117">
        <v>39024</v>
      </c>
      <c r="D280" s="128" t="s">
        <v>56</v>
      </c>
      <c r="E280" s="127" t="s">
        <v>71</v>
      </c>
      <c r="F280" s="270">
        <v>3468</v>
      </c>
      <c r="G280" s="210">
        <v>968</v>
      </c>
    </row>
    <row r="281" spans="1:7" ht="15">
      <c r="A281" s="208">
        <v>278</v>
      </c>
      <c r="B281" s="195" t="s">
        <v>32</v>
      </c>
      <c r="C281" s="117">
        <v>39024</v>
      </c>
      <c r="D281" s="193" t="s">
        <v>56</v>
      </c>
      <c r="E281" s="193" t="s">
        <v>71</v>
      </c>
      <c r="F281" s="270">
        <v>1123</v>
      </c>
      <c r="G281" s="210">
        <v>375</v>
      </c>
    </row>
    <row r="282" spans="1:7" ht="15">
      <c r="A282" s="205">
        <v>279</v>
      </c>
      <c r="B282" s="161" t="s">
        <v>32</v>
      </c>
      <c r="C282" s="117">
        <v>39024</v>
      </c>
      <c r="D282" s="128" t="s">
        <v>56</v>
      </c>
      <c r="E282" s="127" t="s">
        <v>71</v>
      </c>
      <c r="F282" s="270">
        <v>130</v>
      </c>
      <c r="G282" s="210">
        <v>20</v>
      </c>
    </row>
    <row r="283" spans="1:7" ht="15">
      <c r="A283" s="208">
        <v>280</v>
      </c>
      <c r="B283" s="161" t="s">
        <v>259</v>
      </c>
      <c r="C283" s="117">
        <v>39024</v>
      </c>
      <c r="D283" s="298" t="s">
        <v>56</v>
      </c>
      <c r="E283" s="299" t="s">
        <v>11</v>
      </c>
      <c r="F283" s="311">
        <v>719</v>
      </c>
      <c r="G283" s="210">
        <v>90</v>
      </c>
    </row>
    <row r="284" spans="1:7" ht="15">
      <c r="A284" s="205">
        <v>281</v>
      </c>
      <c r="B284" s="197" t="s">
        <v>100</v>
      </c>
      <c r="C284" s="120">
        <v>39059</v>
      </c>
      <c r="D284" s="194" t="s">
        <v>64</v>
      </c>
      <c r="E284" s="194" t="s">
        <v>101</v>
      </c>
      <c r="F284" s="277">
        <v>8747</v>
      </c>
      <c r="G284" s="213">
        <v>1379</v>
      </c>
    </row>
    <row r="285" spans="1:7" ht="15">
      <c r="A285" s="208">
        <v>282</v>
      </c>
      <c r="B285" s="122" t="s">
        <v>100</v>
      </c>
      <c r="C285" s="120">
        <v>39059</v>
      </c>
      <c r="D285" s="131" t="s">
        <v>64</v>
      </c>
      <c r="E285" s="131" t="s">
        <v>101</v>
      </c>
      <c r="F285" s="278">
        <v>4587</v>
      </c>
      <c r="G285" s="174">
        <v>707</v>
      </c>
    </row>
    <row r="286" spans="1:7" ht="15">
      <c r="A286" s="205">
        <v>283</v>
      </c>
      <c r="B286" s="257" t="s">
        <v>100</v>
      </c>
      <c r="C286" s="120">
        <v>39059</v>
      </c>
      <c r="D286" s="131" t="s">
        <v>64</v>
      </c>
      <c r="E286" s="131" t="s">
        <v>101</v>
      </c>
      <c r="F286" s="277">
        <v>4297</v>
      </c>
      <c r="G286" s="213">
        <v>700</v>
      </c>
    </row>
    <row r="287" spans="1:7" ht="15">
      <c r="A287" s="208">
        <v>284</v>
      </c>
      <c r="B287" s="164" t="s">
        <v>219</v>
      </c>
      <c r="C287" s="118">
        <v>38191</v>
      </c>
      <c r="D287" s="133" t="s">
        <v>23</v>
      </c>
      <c r="E287" s="132" t="s">
        <v>195</v>
      </c>
      <c r="F287" s="268">
        <v>803.2</v>
      </c>
      <c r="G287" s="211">
        <v>502</v>
      </c>
    </row>
    <row r="288" spans="1:7" ht="15">
      <c r="A288" s="205">
        <v>285</v>
      </c>
      <c r="B288" s="266" t="s">
        <v>219</v>
      </c>
      <c r="C288" s="118">
        <v>38191</v>
      </c>
      <c r="D288" s="133" t="s">
        <v>23</v>
      </c>
      <c r="E288" s="132" t="s">
        <v>195</v>
      </c>
      <c r="F288" s="273">
        <v>476</v>
      </c>
      <c r="G288" s="211">
        <v>119</v>
      </c>
    </row>
    <row r="289" spans="1:7" ht="15">
      <c r="A289" s="208">
        <v>286</v>
      </c>
      <c r="B289" s="164" t="s">
        <v>253</v>
      </c>
      <c r="C289" s="118">
        <v>37869</v>
      </c>
      <c r="D289" s="302" t="s">
        <v>23</v>
      </c>
      <c r="E289" s="303" t="s">
        <v>27</v>
      </c>
      <c r="F289" s="310">
        <v>952</v>
      </c>
      <c r="G289" s="211">
        <v>238</v>
      </c>
    </row>
    <row r="290" spans="1:7" ht="15">
      <c r="A290" s="205">
        <v>287</v>
      </c>
      <c r="B290" s="164" t="s">
        <v>256</v>
      </c>
      <c r="C290" s="118">
        <v>38751</v>
      </c>
      <c r="D290" s="302" t="s">
        <v>23</v>
      </c>
      <c r="E290" s="303" t="s">
        <v>27</v>
      </c>
      <c r="F290" s="310">
        <v>245.5</v>
      </c>
      <c r="G290" s="211">
        <v>97</v>
      </c>
    </row>
    <row r="291" spans="1:7" ht="15">
      <c r="A291" s="208">
        <v>288</v>
      </c>
      <c r="B291" s="264" t="s">
        <v>161</v>
      </c>
      <c r="C291" s="117">
        <v>39003</v>
      </c>
      <c r="D291" s="128" t="s">
        <v>56</v>
      </c>
      <c r="E291" s="127" t="s">
        <v>145</v>
      </c>
      <c r="F291" s="270">
        <v>544</v>
      </c>
      <c r="G291" s="210">
        <v>133</v>
      </c>
    </row>
    <row r="292" spans="1:7" ht="15">
      <c r="A292" s="205">
        <v>289</v>
      </c>
      <c r="B292" s="195" t="s">
        <v>161</v>
      </c>
      <c r="C292" s="117">
        <v>39003</v>
      </c>
      <c r="D292" s="193" t="s">
        <v>56</v>
      </c>
      <c r="E292" s="193" t="s">
        <v>145</v>
      </c>
      <c r="F292" s="270">
        <v>513</v>
      </c>
      <c r="G292" s="210">
        <v>162</v>
      </c>
    </row>
    <row r="293" spans="1:7" ht="15">
      <c r="A293" s="208">
        <v>290</v>
      </c>
      <c r="B293" s="162" t="s">
        <v>82</v>
      </c>
      <c r="C293" s="165">
        <v>39010</v>
      </c>
      <c r="D293" s="160" t="s">
        <v>58</v>
      </c>
      <c r="E293" s="160" t="s">
        <v>71</v>
      </c>
      <c r="F293" s="275">
        <v>13340</v>
      </c>
      <c r="G293" s="171">
        <v>1914</v>
      </c>
    </row>
    <row r="294" spans="1:7" ht="15">
      <c r="A294" s="205">
        <v>291</v>
      </c>
      <c r="B294" s="265" t="s">
        <v>82</v>
      </c>
      <c r="C294" s="118">
        <v>39010</v>
      </c>
      <c r="D294" s="129" t="s">
        <v>58</v>
      </c>
      <c r="E294" s="129" t="s">
        <v>71</v>
      </c>
      <c r="F294" s="268">
        <v>5274.5</v>
      </c>
      <c r="G294" s="211">
        <v>1016</v>
      </c>
    </row>
    <row r="295" spans="1:7" ht="15">
      <c r="A295" s="208">
        <v>292</v>
      </c>
      <c r="B295" s="196" t="s">
        <v>82</v>
      </c>
      <c r="C295" s="118">
        <v>39010</v>
      </c>
      <c r="D295" s="192" t="s">
        <v>58</v>
      </c>
      <c r="E295" s="192" t="s">
        <v>71</v>
      </c>
      <c r="F295" s="268">
        <v>3471</v>
      </c>
      <c r="G295" s="211">
        <v>491</v>
      </c>
    </row>
    <row r="296" spans="1:7" ht="15">
      <c r="A296" s="205">
        <v>293</v>
      </c>
      <c r="B296" s="162" t="s">
        <v>82</v>
      </c>
      <c r="C296" s="165">
        <v>39010</v>
      </c>
      <c r="D296" s="300" t="s">
        <v>58</v>
      </c>
      <c r="E296" s="299" t="s">
        <v>71</v>
      </c>
      <c r="F296" s="275">
        <v>2629</v>
      </c>
      <c r="G296" s="171">
        <v>519</v>
      </c>
    </row>
    <row r="297" spans="1:7" ht="15">
      <c r="A297" s="208">
        <v>294</v>
      </c>
      <c r="B297" s="163" t="s">
        <v>82</v>
      </c>
      <c r="C297" s="118">
        <v>39010</v>
      </c>
      <c r="D297" s="129" t="s">
        <v>58</v>
      </c>
      <c r="E297" s="129" t="s">
        <v>71</v>
      </c>
      <c r="F297" s="268">
        <v>2097</v>
      </c>
      <c r="G297" s="211">
        <v>307</v>
      </c>
    </row>
    <row r="298" spans="1:7" ht="15">
      <c r="A298" s="205">
        <v>295</v>
      </c>
      <c r="B298" s="265" t="s">
        <v>82</v>
      </c>
      <c r="C298" s="118">
        <v>39010</v>
      </c>
      <c r="D298" s="129" t="s">
        <v>58</v>
      </c>
      <c r="E298" s="129" t="s">
        <v>71</v>
      </c>
      <c r="F298" s="273">
        <v>130</v>
      </c>
      <c r="G298" s="211">
        <v>18</v>
      </c>
    </row>
    <row r="299" spans="1:7" ht="15">
      <c r="A299" s="208">
        <v>296</v>
      </c>
      <c r="B299" s="163" t="s">
        <v>82</v>
      </c>
      <c r="C299" s="118">
        <v>39010</v>
      </c>
      <c r="D299" s="308" t="s">
        <v>58</v>
      </c>
      <c r="E299" s="308" t="s">
        <v>71</v>
      </c>
      <c r="F299" s="310">
        <v>49</v>
      </c>
      <c r="G299" s="211">
        <v>7</v>
      </c>
    </row>
    <row r="300" spans="1:7" ht="15">
      <c r="A300" s="205">
        <v>297</v>
      </c>
      <c r="B300" s="266" t="s">
        <v>235</v>
      </c>
      <c r="C300" s="118">
        <v>38758</v>
      </c>
      <c r="D300" s="302" t="s">
        <v>23</v>
      </c>
      <c r="E300" s="303" t="s">
        <v>236</v>
      </c>
      <c r="F300" s="273">
        <v>4276</v>
      </c>
      <c r="G300" s="173">
        <v>1069</v>
      </c>
    </row>
    <row r="301" spans="1:7" ht="15">
      <c r="A301" s="208">
        <v>298</v>
      </c>
      <c r="B301" s="266" t="s">
        <v>235</v>
      </c>
      <c r="C301" s="118">
        <v>38758</v>
      </c>
      <c r="D301" s="133" t="s">
        <v>23</v>
      </c>
      <c r="E301" s="132" t="s">
        <v>236</v>
      </c>
      <c r="F301" s="273">
        <v>3560</v>
      </c>
      <c r="G301" s="211">
        <v>890</v>
      </c>
    </row>
    <row r="302" spans="1:7" ht="15">
      <c r="A302" s="205">
        <v>299</v>
      </c>
      <c r="B302" s="159" t="s">
        <v>156</v>
      </c>
      <c r="C302" s="117">
        <v>39052</v>
      </c>
      <c r="D302" s="130" t="s">
        <v>73</v>
      </c>
      <c r="E302" s="130" t="s">
        <v>136</v>
      </c>
      <c r="F302" s="270">
        <v>1617</v>
      </c>
      <c r="G302" s="210">
        <v>271</v>
      </c>
    </row>
    <row r="303" spans="1:7" ht="15">
      <c r="A303" s="208">
        <v>300</v>
      </c>
      <c r="B303" s="195" t="s">
        <v>156</v>
      </c>
      <c r="C303" s="165">
        <v>39073</v>
      </c>
      <c r="D303" s="160" t="s">
        <v>73</v>
      </c>
      <c r="E303" s="160" t="s">
        <v>136</v>
      </c>
      <c r="F303" s="275">
        <v>1562.5</v>
      </c>
      <c r="G303" s="171">
        <v>266</v>
      </c>
    </row>
    <row r="304" spans="1:7" ht="15">
      <c r="A304" s="205">
        <v>301</v>
      </c>
      <c r="B304" s="195" t="s">
        <v>156</v>
      </c>
      <c r="C304" s="117">
        <v>39052</v>
      </c>
      <c r="D304" s="193" t="s">
        <v>73</v>
      </c>
      <c r="E304" s="193" t="s">
        <v>136</v>
      </c>
      <c r="F304" s="270">
        <v>1522</v>
      </c>
      <c r="G304" s="210">
        <v>316</v>
      </c>
    </row>
    <row r="305" spans="1:7" ht="15">
      <c r="A305" s="208">
        <v>302</v>
      </c>
      <c r="B305" s="159" t="s">
        <v>156</v>
      </c>
      <c r="C305" s="117">
        <v>39052</v>
      </c>
      <c r="D305" s="301" t="s">
        <v>73</v>
      </c>
      <c r="E305" s="301" t="s">
        <v>136</v>
      </c>
      <c r="F305" s="274">
        <v>1188</v>
      </c>
      <c r="G305" s="170">
        <v>198</v>
      </c>
    </row>
    <row r="306" spans="1:7" ht="15">
      <c r="A306" s="205">
        <v>303</v>
      </c>
      <c r="B306" s="267" t="s">
        <v>156</v>
      </c>
      <c r="C306" s="117">
        <v>39052</v>
      </c>
      <c r="D306" s="130" t="s">
        <v>73</v>
      </c>
      <c r="E306" s="130" t="s">
        <v>136</v>
      </c>
      <c r="F306" s="270">
        <v>301</v>
      </c>
      <c r="G306" s="210">
        <v>60</v>
      </c>
    </row>
    <row r="307" spans="1:7" ht="15">
      <c r="A307" s="205">
        <v>304</v>
      </c>
      <c r="B307" s="195" t="s">
        <v>156</v>
      </c>
      <c r="C307" s="117">
        <v>39052</v>
      </c>
      <c r="D307" s="130" t="s">
        <v>73</v>
      </c>
      <c r="E307" s="130" t="s">
        <v>136</v>
      </c>
      <c r="F307" s="270">
        <v>197</v>
      </c>
      <c r="G307" s="210">
        <v>47</v>
      </c>
    </row>
    <row r="308" spans="1:7" ht="15">
      <c r="A308" s="208">
        <v>305</v>
      </c>
      <c r="B308" s="161" t="s">
        <v>114</v>
      </c>
      <c r="C308" s="117">
        <v>39066</v>
      </c>
      <c r="D308" s="128" t="s">
        <v>56</v>
      </c>
      <c r="E308" s="127" t="s">
        <v>71</v>
      </c>
      <c r="F308" s="274">
        <v>41071</v>
      </c>
      <c r="G308" s="170">
        <v>3570</v>
      </c>
    </row>
    <row r="309" spans="1:7" ht="15">
      <c r="A309" s="205">
        <v>306</v>
      </c>
      <c r="B309" s="195" t="s">
        <v>114</v>
      </c>
      <c r="C309" s="117">
        <v>39066</v>
      </c>
      <c r="D309" s="193" t="s">
        <v>56</v>
      </c>
      <c r="E309" s="193" t="s">
        <v>71</v>
      </c>
      <c r="F309" s="270">
        <v>3039</v>
      </c>
      <c r="G309" s="210">
        <v>371</v>
      </c>
    </row>
    <row r="310" spans="1:7" ht="15">
      <c r="A310" s="208">
        <v>307</v>
      </c>
      <c r="B310" s="264" t="s">
        <v>114</v>
      </c>
      <c r="C310" s="117">
        <v>39066</v>
      </c>
      <c r="D310" s="128" t="s">
        <v>56</v>
      </c>
      <c r="E310" s="127" t="s">
        <v>71</v>
      </c>
      <c r="F310" s="270">
        <v>2600</v>
      </c>
      <c r="G310" s="210">
        <v>361</v>
      </c>
    </row>
    <row r="311" spans="1:7" ht="15">
      <c r="A311" s="205">
        <v>308</v>
      </c>
      <c r="B311" s="161" t="s">
        <v>114</v>
      </c>
      <c r="C311" s="117">
        <v>39066</v>
      </c>
      <c r="D311" s="128" t="s">
        <v>56</v>
      </c>
      <c r="E311" s="127" t="s">
        <v>71</v>
      </c>
      <c r="F311" s="270">
        <v>1124</v>
      </c>
      <c r="G311" s="210">
        <v>164</v>
      </c>
    </row>
    <row r="312" spans="1:7" ht="15">
      <c r="A312" s="208">
        <v>309</v>
      </c>
      <c r="B312" s="161" t="s">
        <v>114</v>
      </c>
      <c r="C312" s="117">
        <v>39066</v>
      </c>
      <c r="D312" s="128" t="s">
        <v>56</v>
      </c>
      <c r="E312" s="127" t="s">
        <v>71</v>
      </c>
      <c r="F312" s="270">
        <v>762</v>
      </c>
      <c r="G312" s="210">
        <v>96</v>
      </c>
    </row>
    <row r="313" spans="1:7" ht="15">
      <c r="A313" s="205">
        <v>310</v>
      </c>
      <c r="B313" s="264" t="s">
        <v>114</v>
      </c>
      <c r="C313" s="117">
        <v>39066</v>
      </c>
      <c r="D313" s="298" t="s">
        <v>56</v>
      </c>
      <c r="E313" s="299" t="s">
        <v>71</v>
      </c>
      <c r="F313" s="274">
        <v>751</v>
      </c>
      <c r="G313" s="170">
        <v>88</v>
      </c>
    </row>
    <row r="314" spans="1:7" ht="15">
      <c r="A314" s="208">
        <v>311</v>
      </c>
      <c r="B314" s="161" t="s">
        <v>114</v>
      </c>
      <c r="C314" s="117">
        <v>39066</v>
      </c>
      <c r="D314" s="298" t="s">
        <v>56</v>
      </c>
      <c r="E314" s="299" t="s">
        <v>71</v>
      </c>
      <c r="F314" s="311">
        <v>237</v>
      </c>
      <c r="G314" s="210">
        <v>46</v>
      </c>
    </row>
    <row r="315" spans="1:7" ht="15">
      <c r="A315" s="205">
        <v>312</v>
      </c>
      <c r="B315" s="264" t="s">
        <v>114</v>
      </c>
      <c r="C315" s="117">
        <v>39066</v>
      </c>
      <c r="D315" s="128" t="s">
        <v>56</v>
      </c>
      <c r="E315" s="127" t="s">
        <v>71</v>
      </c>
      <c r="F315" s="274">
        <v>234</v>
      </c>
      <c r="G315" s="210">
        <v>27</v>
      </c>
    </row>
    <row r="316" spans="1:7" ht="15">
      <c r="A316" s="208">
        <v>313</v>
      </c>
      <c r="B316" s="161" t="s">
        <v>114</v>
      </c>
      <c r="C316" s="117">
        <v>39066</v>
      </c>
      <c r="D316" s="298" t="s">
        <v>56</v>
      </c>
      <c r="E316" s="299" t="s">
        <v>71</v>
      </c>
      <c r="F316" s="274">
        <v>161</v>
      </c>
      <c r="G316" s="170">
        <v>29</v>
      </c>
    </row>
    <row r="317" spans="1:7" ht="15">
      <c r="A317" s="205">
        <v>314</v>
      </c>
      <c r="B317" s="164" t="s">
        <v>220</v>
      </c>
      <c r="C317" s="118">
        <v>38709</v>
      </c>
      <c r="D317" s="133" t="s">
        <v>23</v>
      </c>
      <c r="E317" s="132" t="s">
        <v>33</v>
      </c>
      <c r="F317" s="268">
        <v>3560</v>
      </c>
      <c r="G317" s="211">
        <v>890</v>
      </c>
    </row>
    <row r="318" spans="1:7" ht="15">
      <c r="A318" s="208">
        <v>315</v>
      </c>
      <c r="B318" s="162" t="s">
        <v>134</v>
      </c>
      <c r="C318" s="165">
        <v>39031</v>
      </c>
      <c r="D318" s="160" t="s">
        <v>58</v>
      </c>
      <c r="E318" s="160" t="s">
        <v>39</v>
      </c>
      <c r="F318" s="275">
        <v>570</v>
      </c>
      <c r="G318" s="171">
        <v>142</v>
      </c>
    </row>
    <row r="319" spans="1:7" ht="15">
      <c r="A319" s="205">
        <v>316</v>
      </c>
      <c r="B319" s="265" t="s">
        <v>134</v>
      </c>
      <c r="C319" s="118">
        <v>39031</v>
      </c>
      <c r="D319" s="129" t="s">
        <v>12</v>
      </c>
      <c r="E319" s="129" t="s">
        <v>39</v>
      </c>
      <c r="F319" s="268">
        <v>254</v>
      </c>
      <c r="G319" s="211">
        <v>57</v>
      </c>
    </row>
    <row r="320" spans="1:7" ht="15">
      <c r="A320" s="208">
        <v>317</v>
      </c>
      <c r="B320" s="196" t="s">
        <v>134</v>
      </c>
      <c r="C320" s="118">
        <v>39031</v>
      </c>
      <c r="D320" s="192" t="s">
        <v>58</v>
      </c>
      <c r="E320" s="192" t="s">
        <v>39</v>
      </c>
      <c r="F320" s="268">
        <v>176</v>
      </c>
      <c r="G320" s="211">
        <v>44</v>
      </c>
    </row>
    <row r="321" spans="1:7" ht="15">
      <c r="A321" s="205">
        <v>318</v>
      </c>
      <c r="B321" s="162" t="s">
        <v>79</v>
      </c>
      <c r="C321" s="165">
        <v>39052</v>
      </c>
      <c r="D321" s="160" t="s">
        <v>58</v>
      </c>
      <c r="E321" s="160" t="s">
        <v>14</v>
      </c>
      <c r="F321" s="275">
        <v>137705.5</v>
      </c>
      <c r="G321" s="171">
        <v>21048</v>
      </c>
    </row>
    <row r="322" spans="1:7" ht="15">
      <c r="A322" s="208">
        <v>319</v>
      </c>
      <c r="B322" s="196" t="s">
        <v>79</v>
      </c>
      <c r="C322" s="118">
        <v>39052</v>
      </c>
      <c r="D322" s="192" t="s">
        <v>58</v>
      </c>
      <c r="E322" s="192" t="s">
        <v>14</v>
      </c>
      <c r="F322" s="268">
        <v>96374</v>
      </c>
      <c r="G322" s="211">
        <v>15913</v>
      </c>
    </row>
    <row r="323" spans="1:7" ht="15">
      <c r="A323" s="205">
        <v>320</v>
      </c>
      <c r="B323" s="163" t="s">
        <v>79</v>
      </c>
      <c r="C323" s="118">
        <v>39052</v>
      </c>
      <c r="D323" s="129" t="s">
        <v>58</v>
      </c>
      <c r="E323" s="129" t="s">
        <v>14</v>
      </c>
      <c r="F323" s="268">
        <v>73504</v>
      </c>
      <c r="G323" s="211">
        <v>13224</v>
      </c>
    </row>
    <row r="324" spans="1:7" ht="15">
      <c r="A324" s="208">
        <v>321</v>
      </c>
      <c r="B324" s="265" t="s">
        <v>79</v>
      </c>
      <c r="C324" s="118">
        <v>39052</v>
      </c>
      <c r="D324" s="129" t="s">
        <v>58</v>
      </c>
      <c r="E324" s="129" t="s">
        <v>14</v>
      </c>
      <c r="F324" s="268">
        <v>30884</v>
      </c>
      <c r="G324" s="211">
        <v>6184</v>
      </c>
    </row>
    <row r="325" spans="1:7" ht="15">
      <c r="A325" s="205">
        <v>322</v>
      </c>
      <c r="B325" s="163" t="s">
        <v>79</v>
      </c>
      <c r="C325" s="118">
        <v>39052</v>
      </c>
      <c r="D325" s="308" t="s">
        <v>58</v>
      </c>
      <c r="E325" s="308" t="s">
        <v>14</v>
      </c>
      <c r="F325" s="310">
        <v>17976</v>
      </c>
      <c r="G325" s="211">
        <v>3081</v>
      </c>
    </row>
    <row r="326" spans="1:7" ht="15">
      <c r="A326" s="208">
        <v>323</v>
      </c>
      <c r="B326" s="163" t="s">
        <v>79</v>
      </c>
      <c r="C326" s="118">
        <v>39052</v>
      </c>
      <c r="D326" s="129" t="s">
        <v>58</v>
      </c>
      <c r="E326" s="129" t="s">
        <v>14</v>
      </c>
      <c r="F326" s="268">
        <v>17454.5</v>
      </c>
      <c r="G326" s="211">
        <v>3648</v>
      </c>
    </row>
    <row r="327" spans="1:7" ht="15">
      <c r="A327" s="205">
        <v>324</v>
      </c>
      <c r="B327" s="265" t="s">
        <v>79</v>
      </c>
      <c r="C327" s="118">
        <v>39052</v>
      </c>
      <c r="D327" s="129" t="s">
        <v>58</v>
      </c>
      <c r="E327" s="129" t="s">
        <v>14</v>
      </c>
      <c r="F327" s="273">
        <v>10984.5</v>
      </c>
      <c r="G327" s="211">
        <v>2101</v>
      </c>
    </row>
    <row r="328" spans="1:7" ht="15">
      <c r="A328" s="208">
        <v>325</v>
      </c>
      <c r="B328" s="162" t="s">
        <v>79</v>
      </c>
      <c r="C328" s="165">
        <v>39052</v>
      </c>
      <c r="D328" s="300" t="s">
        <v>58</v>
      </c>
      <c r="E328" s="299" t="s">
        <v>14</v>
      </c>
      <c r="F328" s="275">
        <v>8264</v>
      </c>
      <c r="G328" s="171">
        <v>1405</v>
      </c>
    </row>
    <row r="329" spans="1:7" ht="15">
      <c r="A329" s="205">
        <v>326</v>
      </c>
      <c r="B329" s="316" t="s">
        <v>79</v>
      </c>
      <c r="C329" s="165">
        <v>39052</v>
      </c>
      <c r="D329" s="300" t="s">
        <v>58</v>
      </c>
      <c r="E329" s="300" t="s">
        <v>14</v>
      </c>
      <c r="F329" s="275">
        <v>5607</v>
      </c>
      <c r="G329" s="171">
        <v>939</v>
      </c>
    </row>
    <row r="330" spans="1:7" ht="15">
      <c r="A330" s="208">
        <v>327</v>
      </c>
      <c r="B330" s="265" t="s">
        <v>79</v>
      </c>
      <c r="C330" s="118">
        <v>39052</v>
      </c>
      <c r="D330" s="129" t="s">
        <v>12</v>
      </c>
      <c r="E330" s="129" t="s">
        <v>14</v>
      </c>
      <c r="F330" s="268">
        <v>2782</v>
      </c>
      <c r="G330" s="211">
        <v>414</v>
      </c>
    </row>
    <row r="331" spans="1:7" ht="15">
      <c r="A331" s="205">
        <v>328</v>
      </c>
      <c r="B331" s="164" t="s">
        <v>102</v>
      </c>
      <c r="C331" s="118">
        <v>39059</v>
      </c>
      <c r="D331" s="133" t="s">
        <v>23</v>
      </c>
      <c r="E331" s="132" t="s">
        <v>103</v>
      </c>
      <c r="F331" s="268">
        <v>1068</v>
      </c>
      <c r="G331" s="211">
        <v>267</v>
      </c>
    </row>
    <row r="332" spans="1:7" ht="15">
      <c r="A332" s="208">
        <v>329</v>
      </c>
      <c r="B332" s="266" t="s">
        <v>102</v>
      </c>
      <c r="C332" s="118">
        <v>39059</v>
      </c>
      <c r="D332" s="133" t="s">
        <v>23</v>
      </c>
      <c r="E332" s="132" t="s">
        <v>103</v>
      </c>
      <c r="F332" s="268">
        <v>952</v>
      </c>
      <c r="G332" s="211">
        <v>238</v>
      </c>
    </row>
    <row r="333" spans="1:7" ht="15">
      <c r="A333" s="205">
        <v>330</v>
      </c>
      <c r="B333" s="196" t="s">
        <v>102</v>
      </c>
      <c r="C333" s="118">
        <v>39059</v>
      </c>
      <c r="D333" s="192" t="s">
        <v>23</v>
      </c>
      <c r="E333" s="192" t="s">
        <v>103</v>
      </c>
      <c r="F333" s="268">
        <v>453</v>
      </c>
      <c r="G333" s="211">
        <v>91</v>
      </c>
    </row>
    <row r="334" spans="1:7" ht="15">
      <c r="A334" s="208">
        <v>331</v>
      </c>
      <c r="B334" s="266" t="s">
        <v>102</v>
      </c>
      <c r="C334" s="118">
        <v>39059</v>
      </c>
      <c r="D334" s="133" t="s">
        <v>23</v>
      </c>
      <c r="E334" s="132" t="s">
        <v>103</v>
      </c>
      <c r="F334" s="268">
        <v>340</v>
      </c>
      <c r="G334" s="211">
        <v>68</v>
      </c>
    </row>
    <row r="335" spans="1:7" ht="15">
      <c r="A335" s="205">
        <v>332</v>
      </c>
      <c r="B335" s="266" t="s">
        <v>102</v>
      </c>
      <c r="C335" s="118">
        <v>39059</v>
      </c>
      <c r="D335" s="302" t="s">
        <v>23</v>
      </c>
      <c r="E335" s="303" t="s">
        <v>103</v>
      </c>
      <c r="F335" s="273">
        <v>117</v>
      </c>
      <c r="G335" s="173">
        <v>49</v>
      </c>
    </row>
    <row r="336" spans="1:7" ht="15">
      <c r="A336" s="208">
        <v>333</v>
      </c>
      <c r="B336" s="164" t="s">
        <v>102</v>
      </c>
      <c r="C336" s="118">
        <v>39059</v>
      </c>
      <c r="D336" s="133" t="s">
        <v>23</v>
      </c>
      <c r="E336" s="132" t="s">
        <v>103</v>
      </c>
      <c r="F336" s="273">
        <v>115</v>
      </c>
      <c r="G336" s="173">
        <v>14</v>
      </c>
    </row>
    <row r="337" spans="1:7" ht="15">
      <c r="A337" s="205">
        <v>334</v>
      </c>
      <c r="B337" s="266" t="s">
        <v>102</v>
      </c>
      <c r="C337" s="118">
        <v>39059</v>
      </c>
      <c r="D337" s="133" t="s">
        <v>23</v>
      </c>
      <c r="E337" s="132" t="s">
        <v>103</v>
      </c>
      <c r="F337" s="273">
        <v>60</v>
      </c>
      <c r="G337" s="211">
        <v>24</v>
      </c>
    </row>
    <row r="338" spans="1:7" ht="15">
      <c r="A338" s="208">
        <v>335</v>
      </c>
      <c r="B338" s="164" t="s">
        <v>84</v>
      </c>
      <c r="C338" s="118">
        <v>38891</v>
      </c>
      <c r="D338" s="133" t="s">
        <v>23</v>
      </c>
      <c r="E338" s="132" t="s">
        <v>13</v>
      </c>
      <c r="F338" s="273">
        <v>2030.2</v>
      </c>
      <c r="G338" s="173">
        <v>506</v>
      </c>
    </row>
    <row r="339" spans="1:7" ht="15">
      <c r="A339" s="205">
        <v>336</v>
      </c>
      <c r="B339" s="196" t="s">
        <v>84</v>
      </c>
      <c r="C339" s="118">
        <v>38891</v>
      </c>
      <c r="D339" s="192" t="s">
        <v>23</v>
      </c>
      <c r="E339" s="192" t="s">
        <v>13</v>
      </c>
      <c r="F339" s="268">
        <v>1554.4</v>
      </c>
      <c r="G339" s="211">
        <v>456</v>
      </c>
    </row>
    <row r="340" spans="1:7" ht="15">
      <c r="A340" s="208">
        <v>337</v>
      </c>
      <c r="B340" s="164" t="s">
        <v>84</v>
      </c>
      <c r="C340" s="118">
        <v>38891</v>
      </c>
      <c r="D340" s="133" t="s">
        <v>23</v>
      </c>
      <c r="E340" s="132" t="s">
        <v>13</v>
      </c>
      <c r="F340" s="268">
        <v>699</v>
      </c>
      <c r="G340" s="211">
        <v>199</v>
      </c>
    </row>
    <row r="341" spans="1:7" ht="15">
      <c r="A341" s="205">
        <v>338</v>
      </c>
      <c r="B341" s="164" t="s">
        <v>84</v>
      </c>
      <c r="C341" s="118">
        <v>38891</v>
      </c>
      <c r="D341" s="302" t="s">
        <v>23</v>
      </c>
      <c r="E341" s="303" t="s">
        <v>13</v>
      </c>
      <c r="F341" s="310">
        <v>195</v>
      </c>
      <c r="G341" s="211">
        <v>65</v>
      </c>
    </row>
    <row r="342" spans="1:7" ht="15">
      <c r="A342" s="208">
        <v>339</v>
      </c>
      <c r="B342" s="161" t="s">
        <v>17</v>
      </c>
      <c r="C342" s="117">
        <v>39052</v>
      </c>
      <c r="D342" s="128" t="s">
        <v>56</v>
      </c>
      <c r="E342" s="127" t="s">
        <v>71</v>
      </c>
      <c r="F342" s="274">
        <v>18054</v>
      </c>
      <c r="G342" s="170">
        <v>2827</v>
      </c>
    </row>
    <row r="343" spans="1:7" ht="15">
      <c r="A343" s="205">
        <v>340</v>
      </c>
      <c r="B343" s="195" t="s">
        <v>17</v>
      </c>
      <c r="C343" s="117">
        <v>39052</v>
      </c>
      <c r="D343" s="193" t="s">
        <v>56</v>
      </c>
      <c r="E343" s="193" t="s">
        <v>71</v>
      </c>
      <c r="F343" s="270">
        <v>7487</v>
      </c>
      <c r="G343" s="210">
        <v>1405</v>
      </c>
    </row>
    <row r="344" spans="1:7" ht="15">
      <c r="A344" s="208">
        <v>341</v>
      </c>
      <c r="B344" s="161" t="s">
        <v>17</v>
      </c>
      <c r="C344" s="117">
        <v>39052</v>
      </c>
      <c r="D344" s="128" t="s">
        <v>56</v>
      </c>
      <c r="E344" s="127" t="s">
        <v>71</v>
      </c>
      <c r="F344" s="270">
        <v>5131</v>
      </c>
      <c r="G344" s="210">
        <v>1115</v>
      </c>
    </row>
    <row r="345" spans="1:7" ht="15">
      <c r="A345" s="205">
        <v>342</v>
      </c>
      <c r="B345" s="161" t="s">
        <v>17</v>
      </c>
      <c r="C345" s="117">
        <v>39052</v>
      </c>
      <c r="D345" s="298" t="s">
        <v>56</v>
      </c>
      <c r="E345" s="299" t="s">
        <v>71</v>
      </c>
      <c r="F345" s="274">
        <v>1536</v>
      </c>
      <c r="G345" s="170">
        <v>296</v>
      </c>
    </row>
    <row r="346" spans="1:7" ht="15">
      <c r="A346" s="208">
        <v>343</v>
      </c>
      <c r="B346" s="161" t="s">
        <v>17</v>
      </c>
      <c r="C346" s="117">
        <v>39052</v>
      </c>
      <c r="D346" s="298" t="s">
        <v>56</v>
      </c>
      <c r="E346" s="299" t="s">
        <v>71</v>
      </c>
      <c r="F346" s="311">
        <v>723</v>
      </c>
      <c r="G346" s="210">
        <v>149</v>
      </c>
    </row>
    <row r="347" spans="1:7" ht="15">
      <c r="A347" s="205">
        <v>344</v>
      </c>
      <c r="B347" s="161" t="s">
        <v>17</v>
      </c>
      <c r="C347" s="117">
        <v>39052</v>
      </c>
      <c r="D347" s="128" t="s">
        <v>56</v>
      </c>
      <c r="E347" s="127" t="s">
        <v>71</v>
      </c>
      <c r="F347" s="270">
        <v>530</v>
      </c>
      <c r="G347" s="210">
        <v>106</v>
      </c>
    </row>
    <row r="348" spans="1:7" ht="15">
      <c r="A348" s="208">
        <v>345</v>
      </c>
      <c r="B348" s="163" t="s">
        <v>214</v>
      </c>
      <c r="C348" s="118">
        <v>37862</v>
      </c>
      <c r="D348" s="130" t="s">
        <v>46</v>
      </c>
      <c r="E348" s="130" t="s">
        <v>215</v>
      </c>
      <c r="F348" s="270">
        <v>354</v>
      </c>
      <c r="G348" s="210">
        <v>118</v>
      </c>
    </row>
    <row r="349" spans="1:7" ht="15">
      <c r="A349" s="205">
        <v>346</v>
      </c>
      <c r="B349" s="195" t="s">
        <v>95</v>
      </c>
      <c r="C349" s="117">
        <v>39010</v>
      </c>
      <c r="D349" s="193" t="s">
        <v>68</v>
      </c>
      <c r="E349" s="193" t="s">
        <v>40</v>
      </c>
      <c r="F349" s="279">
        <v>2615</v>
      </c>
      <c r="G349" s="214">
        <v>432</v>
      </c>
    </row>
    <row r="350" spans="1:7" ht="15">
      <c r="A350" s="208">
        <v>347</v>
      </c>
      <c r="B350" s="161" t="s">
        <v>95</v>
      </c>
      <c r="C350" s="117">
        <v>39010</v>
      </c>
      <c r="D350" s="127" t="s">
        <v>68</v>
      </c>
      <c r="E350" s="127" t="s">
        <v>40</v>
      </c>
      <c r="F350" s="280">
        <v>1100</v>
      </c>
      <c r="G350" s="175">
        <v>143</v>
      </c>
    </row>
    <row r="351" spans="1:7" ht="15">
      <c r="A351" s="205">
        <v>348</v>
      </c>
      <c r="B351" s="267" t="s">
        <v>173</v>
      </c>
      <c r="C351" s="117">
        <v>39038</v>
      </c>
      <c r="D351" s="130" t="s">
        <v>45</v>
      </c>
      <c r="E351" s="130" t="s">
        <v>174</v>
      </c>
      <c r="F351" s="274">
        <v>1188</v>
      </c>
      <c r="G351" s="210">
        <v>396</v>
      </c>
    </row>
    <row r="352" spans="1:7" ht="15">
      <c r="A352" s="208">
        <v>349</v>
      </c>
      <c r="B352" s="159" t="s">
        <v>173</v>
      </c>
      <c r="C352" s="117">
        <v>39038</v>
      </c>
      <c r="D352" s="130" t="s">
        <v>45</v>
      </c>
      <c r="E352" s="130" t="s">
        <v>174</v>
      </c>
      <c r="F352" s="270">
        <v>885</v>
      </c>
      <c r="G352" s="210">
        <v>171</v>
      </c>
    </row>
    <row r="353" spans="1:7" ht="15">
      <c r="A353" s="205">
        <v>350</v>
      </c>
      <c r="B353" s="266" t="s">
        <v>206</v>
      </c>
      <c r="C353" s="118">
        <v>38639</v>
      </c>
      <c r="D353" s="133" t="s">
        <v>23</v>
      </c>
      <c r="E353" s="132" t="s">
        <v>207</v>
      </c>
      <c r="F353" s="268">
        <v>3560</v>
      </c>
      <c r="G353" s="211">
        <v>890</v>
      </c>
    </row>
    <row r="354" spans="1:7" ht="15">
      <c r="A354" s="208">
        <v>351</v>
      </c>
      <c r="B354" s="162" t="s">
        <v>16</v>
      </c>
      <c r="C354" s="165">
        <v>39059</v>
      </c>
      <c r="D354" s="160" t="s">
        <v>58</v>
      </c>
      <c r="E354" s="160" t="s">
        <v>38</v>
      </c>
      <c r="F354" s="275">
        <v>291.5</v>
      </c>
      <c r="G354" s="171">
        <v>19</v>
      </c>
    </row>
    <row r="355" spans="1:7" ht="15">
      <c r="A355" s="205">
        <v>352</v>
      </c>
      <c r="B355" s="122" t="s">
        <v>34</v>
      </c>
      <c r="C355" s="120">
        <v>39024</v>
      </c>
      <c r="D355" s="131" t="s">
        <v>64</v>
      </c>
      <c r="E355" s="131" t="s">
        <v>62</v>
      </c>
      <c r="F355" s="278">
        <v>1186</v>
      </c>
      <c r="G355" s="174">
        <v>237</v>
      </c>
    </row>
    <row r="356" spans="1:7" ht="15">
      <c r="A356" s="208">
        <v>353</v>
      </c>
      <c r="B356" s="122" t="s">
        <v>34</v>
      </c>
      <c r="C356" s="120">
        <v>39024</v>
      </c>
      <c r="D356" s="305" t="s">
        <v>64</v>
      </c>
      <c r="E356" s="305" t="s">
        <v>62</v>
      </c>
      <c r="F356" s="278">
        <v>958</v>
      </c>
      <c r="G356" s="174">
        <v>124</v>
      </c>
    </row>
    <row r="357" spans="1:7" ht="15">
      <c r="A357" s="205">
        <v>354</v>
      </c>
      <c r="B357" s="164" t="s">
        <v>94</v>
      </c>
      <c r="C357" s="118">
        <v>39010</v>
      </c>
      <c r="D357" s="133" t="s">
        <v>23</v>
      </c>
      <c r="E357" s="132" t="s">
        <v>85</v>
      </c>
      <c r="F357" s="268">
        <v>2339</v>
      </c>
      <c r="G357" s="211">
        <v>447</v>
      </c>
    </row>
    <row r="358" spans="1:7" ht="15">
      <c r="A358" s="208">
        <v>355</v>
      </c>
      <c r="B358" s="164" t="s">
        <v>94</v>
      </c>
      <c r="C358" s="118">
        <v>39010</v>
      </c>
      <c r="D358" s="302" t="s">
        <v>23</v>
      </c>
      <c r="E358" s="303" t="s">
        <v>85</v>
      </c>
      <c r="F358" s="273">
        <v>2083</v>
      </c>
      <c r="G358" s="173">
        <v>384</v>
      </c>
    </row>
    <row r="359" spans="1:7" ht="15">
      <c r="A359" s="205">
        <v>356</v>
      </c>
      <c r="B359" s="164" t="s">
        <v>94</v>
      </c>
      <c r="C359" s="118">
        <v>39010</v>
      </c>
      <c r="D359" s="133" t="s">
        <v>23</v>
      </c>
      <c r="E359" s="132" t="s">
        <v>85</v>
      </c>
      <c r="F359" s="273">
        <v>1894</v>
      </c>
      <c r="G359" s="173">
        <v>394</v>
      </c>
    </row>
    <row r="360" spans="1:7" ht="15">
      <c r="A360" s="205">
        <v>357</v>
      </c>
      <c r="B360" s="266" t="s">
        <v>94</v>
      </c>
      <c r="C360" s="118">
        <v>39010</v>
      </c>
      <c r="D360" s="133" t="s">
        <v>23</v>
      </c>
      <c r="E360" s="132" t="s">
        <v>85</v>
      </c>
      <c r="F360" s="273">
        <v>1780</v>
      </c>
      <c r="G360" s="211">
        <v>445</v>
      </c>
    </row>
    <row r="361" spans="1:7" ht="15">
      <c r="A361" s="208">
        <v>358</v>
      </c>
      <c r="B361" s="196" t="s">
        <v>94</v>
      </c>
      <c r="C361" s="118">
        <v>39010</v>
      </c>
      <c r="D361" s="192" t="s">
        <v>23</v>
      </c>
      <c r="E361" s="192" t="s">
        <v>85</v>
      </c>
      <c r="F361" s="268">
        <v>1723</v>
      </c>
      <c r="G361" s="211">
        <v>386</v>
      </c>
    </row>
    <row r="362" spans="1:7" ht="15">
      <c r="A362" s="205">
        <v>359</v>
      </c>
      <c r="B362" s="164" t="s">
        <v>94</v>
      </c>
      <c r="C362" s="118">
        <v>39010</v>
      </c>
      <c r="D362" s="133" t="s">
        <v>23</v>
      </c>
      <c r="E362" s="132" t="s">
        <v>85</v>
      </c>
      <c r="F362" s="268">
        <v>1526</v>
      </c>
      <c r="G362" s="211">
        <v>373</v>
      </c>
    </row>
    <row r="363" spans="1:7" ht="15">
      <c r="A363" s="208">
        <v>360</v>
      </c>
      <c r="B363" s="266" t="s">
        <v>94</v>
      </c>
      <c r="C363" s="118">
        <v>39010</v>
      </c>
      <c r="D363" s="302" t="s">
        <v>23</v>
      </c>
      <c r="E363" s="303" t="s">
        <v>85</v>
      </c>
      <c r="F363" s="273">
        <v>357.5</v>
      </c>
      <c r="G363" s="173">
        <v>84</v>
      </c>
    </row>
    <row r="364" spans="1:7" ht="15">
      <c r="A364" s="205">
        <v>361</v>
      </c>
      <c r="B364" s="266" t="s">
        <v>94</v>
      </c>
      <c r="C364" s="118">
        <v>39010</v>
      </c>
      <c r="D364" s="133" t="s">
        <v>23</v>
      </c>
      <c r="E364" s="132" t="s">
        <v>85</v>
      </c>
      <c r="F364" s="268">
        <v>351</v>
      </c>
      <c r="G364" s="211">
        <v>51</v>
      </c>
    </row>
    <row r="365" spans="1:9" ht="15">
      <c r="A365" s="208">
        <v>362</v>
      </c>
      <c r="B365" s="266" t="s">
        <v>94</v>
      </c>
      <c r="C365" s="118">
        <v>39010</v>
      </c>
      <c r="D365" s="133" t="s">
        <v>23</v>
      </c>
      <c r="E365" s="132" t="s">
        <v>85</v>
      </c>
      <c r="F365" s="268">
        <v>175</v>
      </c>
      <c r="G365" s="211">
        <v>27</v>
      </c>
      <c r="I365" s="317"/>
    </row>
    <row r="366" spans="1:9" ht="15">
      <c r="A366" s="205">
        <v>363</v>
      </c>
      <c r="B366" s="164" t="s">
        <v>94</v>
      </c>
      <c r="C366" s="118">
        <v>39010</v>
      </c>
      <c r="D366" s="302" t="s">
        <v>23</v>
      </c>
      <c r="E366" s="303" t="s">
        <v>85</v>
      </c>
      <c r="F366" s="310">
        <v>159</v>
      </c>
      <c r="G366" s="211">
        <v>37</v>
      </c>
      <c r="I366" s="317"/>
    </row>
    <row r="367" spans="1:9" ht="15">
      <c r="A367" s="208">
        <v>364</v>
      </c>
      <c r="B367" s="161" t="s">
        <v>172</v>
      </c>
      <c r="C367" s="117">
        <v>38814</v>
      </c>
      <c r="D367" s="127" t="s">
        <v>48</v>
      </c>
      <c r="E367" s="127" t="s">
        <v>70</v>
      </c>
      <c r="F367" s="271">
        <v>960</v>
      </c>
      <c r="G367" s="212">
        <v>192</v>
      </c>
      <c r="I367" s="317"/>
    </row>
    <row r="368" spans="1:9" ht="15.75" thickBot="1">
      <c r="A368" s="205">
        <v>365</v>
      </c>
      <c r="B368" s="215" t="s">
        <v>133</v>
      </c>
      <c r="C368" s="216">
        <v>38996</v>
      </c>
      <c r="D368" s="217" t="s">
        <v>57</v>
      </c>
      <c r="E368" s="218" t="s">
        <v>63</v>
      </c>
      <c r="F368" s="281">
        <v>795</v>
      </c>
      <c r="G368" s="219">
        <v>159</v>
      </c>
      <c r="I368" s="317"/>
    </row>
    <row r="369" spans="1:9" ht="15">
      <c r="A369" s="373" t="s">
        <v>50</v>
      </c>
      <c r="B369" s="374"/>
      <c r="C369" s="200"/>
      <c r="D369" s="200"/>
      <c r="E369" s="200"/>
      <c r="F369" s="282">
        <f>SUM(F4:F368)</f>
        <v>9922884.699999997</v>
      </c>
      <c r="G369" s="203">
        <f>SUM(G4:G368)</f>
        <v>1448338</v>
      </c>
      <c r="I369" s="317"/>
    </row>
    <row r="370" spans="1:9" ht="12.75">
      <c r="A370" s="92"/>
      <c r="B370" s="84"/>
      <c r="C370" s="85"/>
      <c r="D370" s="85"/>
      <c r="E370" s="85"/>
      <c r="F370" s="283"/>
      <c r="G370" s="186"/>
      <c r="I370" s="317"/>
    </row>
    <row r="371" spans="1:9" ht="12.75">
      <c r="A371" s="93"/>
      <c r="B371" s="88"/>
      <c r="C371" s="50"/>
      <c r="D371" s="50"/>
      <c r="E371" s="50"/>
      <c r="F371" s="284"/>
      <c r="G371" s="187"/>
      <c r="I371" s="317"/>
    </row>
    <row r="372" spans="1:9" ht="12.75">
      <c r="A372" s="93"/>
      <c r="B372" s="88"/>
      <c r="C372" s="325" t="s">
        <v>31</v>
      </c>
      <c r="D372" s="365"/>
      <c r="E372" s="365"/>
      <c r="F372" s="365"/>
      <c r="G372" s="365"/>
      <c r="I372" s="317"/>
    </row>
    <row r="373" spans="1:7" ht="12.75">
      <c r="A373" s="93"/>
      <c r="B373" s="88"/>
      <c r="C373" s="365"/>
      <c r="D373" s="365"/>
      <c r="E373" s="365"/>
      <c r="F373" s="365"/>
      <c r="G373" s="365"/>
    </row>
    <row r="374" spans="1:7" ht="12.75">
      <c r="A374" s="93"/>
      <c r="B374" s="88"/>
      <c r="C374" s="365"/>
      <c r="D374" s="365"/>
      <c r="E374" s="365"/>
      <c r="F374" s="365"/>
      <c r="G374" s="365"/>
    </row>
    <row r="375" spans="1:7" ht="18" customHeight="1">
      <c r="A375" s="93"/>
      <c r="B375" s="88"/>
      <c r="C375" s="365"/>
      <c r="D375" s="365"/>
      <c r="E375" s="365"/>
      <c r="F375" s="365"/>
      <c r="G375" s="365"/>
    </row>
    <row r="376" spans="1:7" ht="30" customHeight="1">
      <c r="A376" s="93"/>
      <c r="B376" s="88"/>
      <c r="C376" s="365"/>
      <c r="D376" s="365"/>
      <c r="E376" s="365"/>
      <c r="F376" s="365"/>
      <c r="G376" s="365"/>
    </row>
    <row r="377" spans="1:7" ht="12.75">
      <c r="A377" s="93"/>
      <c r="B377" s="88"/>
      <c r="C377" s="365"/>
      <c r="D377" s="365"/>
      <c r="E377" s="365"/>
      <c r="F377" s="365"/>
      <c r="G377" s="365"/>
    </row>
    <row r="378" spans="1:7" ht="12.75">
      <c r="A378" s="93"/>
      <c r="B378" s="88"/>
      <c r="C378" s="105"/>
      <c r="D378" s="91"/>
      <c r="E378" s="91"/>
      <c r="F378" s="285"/>
      <c r="G378" s="188"/>
    </row>
    <row r="379" spans="1:7" ht="12.75">
      <c r="A379" s="93"/>
      <c r="B379" s="88"/>
      <c r="C379" s="366" t="s">
        <v>19</v>
      </c>
      <c r="D379" s="365"/>
      <c r="E379" s="365"/>
      <c r="F379" s="365"/>
      <c r="G379" s="365"/>
    </row>
    <row r="380" spans="1:7" ht="12.75">
      <c r="A380" s="93"/>
      <c r="B380" s="88"/>
      <c r="C380" s="365"/>
      <c r="D380" s="365"/>
      <c r="E380" s="365"/>
      <c r="F380" s="365"/>
      <c r="G380" s="365"/>
    </row>
    <row r="381" spans="1:7" ht="12.75">
      <c r="A381" s="93"/>
      <c r="B381" s="88"/>
      <c r="C381" s="365"/>
      <c r="D381" s="365"/>
      <c r="E381" s="365"/>
      <c r="F381" s="365"/>
      <c r="G381" s="365"/>
    </row>
    <row r="382" spans="1:7" ht="12.75">
      <c r="A382" s="93"/>
      <c r="B382" s="88"/>
      <c r="C382" s="365"/>
      <c r="D382" s="365"/>
      <c r="E382" s="365"/>
      <c r="F382" s="365"/>
      <c r="G382" s="365"/>
    </row>
    <row r="383" spans="1:7" ht="12.75">
      <c r="A383" s="93"/>
      <c r="B383" s="88"/>
      <c r="C383" s="365"/>
      <c r="D383" s="365"/>
      <c r="E383" s="365"/>
      <c r="F383" s="365"/>
      <c r="G383" s="365"/>
    </row>
    <row r="384" spans="1:7" ht="12.75">
      <c r="A384" s="93"/>
      <c r="B384" s="88"/>
      <c r="C384" s="365"/>
      <c r="D384" s="365"/>
      <c r="E384" s="365"/>
      <c r="F384" s="365"/>
      <c r="G384" s="365"/>
    </row>
    <row r="385" spans="1:7" ht="12.75">
      <c r="A385" s="93"/>
      <c r="B385" s="88"/>
      <c r="C385" s="367"/>
      <c r="D385" s="367"/>
      <c r="E385" s="367"/>
      <c r="F385" s="367"/>
      <c r="G385" s="367"/>
    </row>
    <row r="386" spans="1:7" ht="12.75">
      <c r="A386" s="93"/>
      <c r="B386" s="88"/>
      <c r="C386" s="50"/>
      <c r="D386" s="50"/>
      <c r="E386" s="50"/>
      <c r="F386" s="284"/>
      <c r="G386" s="187"/>
    </row>
    <row r="387" spans="1:7" ht="12.75">
      <c r="A387" s="93"/>
      <c r="B387" s="88"/>
      <c r="C387" s="50"/>
      <c r="D387" s="50"/>
      <c r="E387" s="50"/>
      <c r="F387" s="284"/>
      <c r="G387" s="187"/>
    </row>
  </sheetData>
  <mergeCells count="9">
    <mergeCell ref="C372:G377"/>
    <mergeCell ref="C379:G385"/>
    <mergeCell ref="A1:G1"/>
    <mergeCell ref="B2:B3"/>
    <mergeCell ref="C2:C3"/>
    <mergeCell ref="D2:D3"/>
    <mergeCell ref="E2:E3"/>
    <mergeCell ref="F2:G2"/>
    <mergeCell ref="A369:B3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55"/>
  <sheetViews>
    <sheetView zoomScale="90" zoomScaleNormal="90" workbookViewId="0" topLeftCell="A1">
      <selection activeCell="A54" sqref="A54:H55"/>
    </sheetView>
  </sheetViews>
  <sheetFormatPr defaultColWidth="9.140625" defaultRowHeight="12.75"/>
  <cols>
    <col min="1" max="1" width="2.7109375" style="246" bestFit="1" customWidth="1"/>
    <col min="2" max="2" width="4.7109375" style="247" bestFit="1" customWidth="1"/>
    <col min="3" max="3" width="7.57421875" style="248" bestFit="1" customWidth="1"/>
    <col min="4" max="4" width="2.7109375" style="246" bestFit="1" customWidth="1"/>
    <col min="5" max="5" width="1.8515625" style="246" bestFit="1" customWidth="1"/>
    <col min="6" max="6" width="3.421875" style="249" bestFit="1" customWidth="1"/>
    <col min="7" max="7" width="10.421875" style="250" bestFit="1" customWidth="1"/>
    <col min="8" max="8" width="8.421875" style="251" bestFit="1" customWidth="1"/>
    <col min="9" max="9" width="5.28125" style="248" bestFit="1" customWidth="1"/>
    <col min="10" max="10" width="9.7109375" style="252" bestFit="1" customWidth="1"/>
    <col min="11" max="11" width="6.28125" style="253" bestFit="1" customWidth="1"/>
    <col min="12" max="12" width="6.00390625" style="254" bestFit="1" customWidth="1"/>
    <col min="13" max="13" width="1.8515625" style="249" bestFit="1" customWidth="1"/>
    <col min="14" max="14" width="9.7109375" style="250" bestFit="1" customWidth="1"/>
    <col min="15" max="15" width="6.28125" style="251" bestFit="1" customWidth="1"/>
    <col min="16" max="16" width="6.00390625" style="255" bestFit="1" customWidth="1"/>
    <col min="17" max="17" width="2.7109375" style="246" bestFit="1" customWidth="1"/>
    <col min="18" max="18" width="10.421875" style="252" bestFit="1" customWidth="1"/>
    <col min="19" max="19" width="8.421875" style="253" bestFit="1" customWidth="1"/>
    <col min="20" max="20" width="6.00390625" style="254" bestFit="1" customWidth="1"/>
    <col min="21" max="21" width="20.57421875" style="256" bestFit="1" customWidth="1"/>
    <col min="22" max="22" width="6.28125" style="251" bestFit="1" customWidth="1"/>
    <col min="23" max="23" width="6.00390625" style="255" bestFit="1" customWidth="1"/>
    <col min="24" max="16384" width="9.140625" style="235" customWidth="1"/>
  </cols>
  <sheetData>
    <row r="1" spans="1:23" ht="14.25" thickBot="1">
      <c r="A1" s="220">
        <v>1</v>
      </c>
      <c r="B1" s="221" t="s">
        <v>140</v>
      </c>
      <c r="C1" s="222" t="s">
        <v>139</v>
      </c>
      <c r="D1" s="223">
        <v>10</v>
      </c>
      <c r="E1" s="224">
        <v>2</v>
      </c>
      <c r="F1" s="225">
        <v>56</v>
      </c>
      <c r="G1" s="226">
        <v>8691537.8</v>
      </c>
      <c r="H1" s="227">
        <v>1116749</v>
      </c>
      <c r="I1" s="228" t="s">
        <v>56</v>
      </c>
      <c r="J1" s="229">
        <v>2578324</v>
      </c>
      <c r="K1" s="230">
        <v>326212</v>
      </c>
      <c r="L1" s="231">
        <f aca="true" t="shared" si="0" ref="L1:L10">SUM(K1/H1)</f>
        <v>0.29210861169340646</v>
      </c>
      <c r="M1" s="225">
        <v>4</v>
      </c>
      <c r="N1" s="226">
        <v>3067842</v>
      </c>
      <c r="O1" s="232">
        <v>355957</v>
      </c>
      <c r="P1" s="233">
        <f aca="true" t="shared" si="1" ref="P1:P10">SUM(O1/H1)</f>
        <v>0.31874396126613946</v>
      </c>
      <c r="Q1" s="220">
        <v>15</v>
      </c>
      <c r="R1" s="229">
        <v>4982432.6</v>
      </c>
      <c r="S1" s="230">
        <v>687078</v>
      </c>
      <c r="T1" s="231">
        <f aca="true" t="shared" si="2" ref="T1:T10">SUM(S1/H1)</f>
        <v>0.6152483682546391</v>
      </c>
      <c r="U1" s="234" t="s">
        <v>141</v>
      </c>
      <c r="V1" s="232">
        <v>169709</v>
      </c>
      <c r="W1" s="233">
        <f aca="true" t="shared" si="3" ref="W1:W10">SUM(V1/H1)</f>
        <v>0.15196700422386766</v>
      </c>
    </row>
    <row r="2" spans="1:23" ht="14.25" thickBot="1">
      <c r="A2" s="220">
        <v>2</v>
      </c>
      <c r="B2" s="221" t="s">
        <v>142</v>
      </c>
      <c r="C2" s="222" t="s">
        <v>139</v>
      </c>
      <c r="D2" s="223">
        <v>11</v>
      </c>
      <c r="E2" s="224">
        <v>1</v>
      </c>
      <c r="F2" s="225">
        <v>60</v>
      </c>
      <c r="G2" s="226">
        <v>5118756.19</v>
      </c>
      <c r="H2" s="227">
        <v>659053</v>
      </c>
      <c r="I2" s="228" t="s">
        <v>57</v>
      </c>
      <c r="J2" s="229">
        <v>1728906</v>
      </c>
      <c r="K2" s="230">
        <v>201031</v>
      </c>
      <c r="L2" s="231">
        <f t="shared" si="0"/>
        <v>0.30503009621380983</v>
      </c>
      <c r="M2" s="225">
        <v>4</v>
      </c>
      <c r="N2" s="226">
        <v>1283953.79</v>
      </c>
      <c r="O2" s="232">
        <v>146284</v>
      </c>
      <c r="P2" s="233">
        <f t="shared" si="1"/>
        <v>0.22196090450995595</v>
      </c>
      <c r="Q2" s="220">
        <v>15</v>
      </c>
      <c r="R2" s="229">
        <v>2107779</v>
      </c>
      <c r="S2" s="230">
        <v>296899</v>
      </c>
      <c r="T2" s="231">
        <f t="shared" si="2"/>
        <v>0.4504933594111551</v>
      </c>
      <c r="U2" s="234" t="s">
        <v>162</v>
      </c>
      <c r="V2" s="232">
        <v>124215</v>
      </c>
      <c r="W2" s="233">
        <f t="shared" si="3"/>
        <v>0.18847497849186637</v>
      </c>
    </row>
    <row r="3" spans="1:23" ht="14.25" thickBot="1">
      <c r="A3" s="220">
        <v>3</v>
      </c>
      <c r="B3" s="221" t="s">
        <v>178</v>
      </c>
      <c r="C3" s="222" t="s">
        <v>139</v>
      </c>
      <c r="D3" s="223">
        <v>10</v>
      </c>
      <c r="E3" s="224">
        <v>2</v>
      </c>
      <c r="F3" s="225">
        <v>62</v>
      </c>
      <c r="G3" s="226">
        <v>6529602.8</v>
      </c>
      <c r="H3" s="227">
        <v>890256</v>
      </c>
      <c r="I3" s="228" t="s">
        <v>177</v>
      </c>
      <c r="J3" s="229">
        <v>3607269.5</v>
      </c>
      <c r="K3" s="230">
        <v>527388</v>
      </c>
      <c r="L3" s="231">
        <f t="shared" si="0"/>
        <v>0.5924003882029438</v>
      </c>
      <c r="M3" s="225">
        <v>5</v>
      </c>
      <c r="N3" s="226">
        <v>3682940.5</v>
      </c>
      <c r="O3" s="232">
        <v>511626</v>
      </c>
      <c r="P3" s="233">
        <f t="shared" si="1"/>
        <v>0.5746953685232113</v>
      </c>
      <c r="Q3" s="220">
        <v>16</v>
      </c>
      <c r="R3" s="229">
        <v>4246940.5</v>
      </c>
      <c r="S3" s="230">
        <v>616838</v>
      </c>
      <c r="T3" s="231">
        <f t="shared" si="2"/>
        <v>0.6928771050124908</v>
      </c>
      <c r="U3" s="234" t="s">
        <v>179</v>
      </c>
      <c r="V3" s="232">
        <v>453903</v>
      </c>
      <c r="W3" s="233">
        <f t="shared" si="3"/>
        <v>0.5098567153717583</v>
      </c>
    </row>
    <row r="4" spans="1:23" ht="14.25" thickBot="1">
      <c r="A4" s="220">
        <v>4</v>
      </c>
      <c r="B4" s="221" t="s">
        <v>181</v>
      </c>
      <c r="C4" s="222" t="s">
        <v>139</v>
      </c>
      <c r="D4" s="223">
        <v>10</v>
      </c>
      <c r="E4" s="224">
        <v>2</v>
      </c>
      <c r="F4" s="225">
        <v>61</v>
      </c>
      <c r="G4" s="226">
        <v>7092188.4</v>
      </c>
      <c r="H4" s="227">
        <v>992303</v>
      </c>
      <c r="I4" s="228" t="s">
        <v>177</v>
      </c>
      <c r="J4" s="229">
        <v>4481033</v>
      </c>
      <c r="K4" s="230">
        <v>657202</v>
      </c>
      <c r="L4" s="231">
        <f t="shared" si="0"/>
        <v>0.6622997209521688</v>
      </c>
      <c r="M4" s="225">
        <v>3</v>
      </c>
      <c r="N4" s="226">
        <v>2723182.5</v>
      </c>
      <c r="O4" s="232">
        <v>383964</v>
      </c>
      <c r="P4" s="233">
        <f t="shared" si="1"/>
        <v>0.38694229484340975</v>
      </c>
      <c r="Q4" s="220">
        <v>17</v>
      </c>
      <c r="R4" s="229">
        <v>5464750.5</v>
      </c>
      <c r="S4" s="230">
        <v>798920</v>
      </c>
      <c r="T4" s="231">
        <f t="shared" si="2"/>
        <v>0.8051169854369079</v>
      </c>
      <c r="U4" s="234" t="s">
        <v>182</v>
      </c>
      <c r="V4" s="232">
        <v>302980</v>
      </c>
      <c r="W4" s="233">
        <f t="shared" si="3"/>
        <v>0.30533012597966547</v>
      </c>
    </row>
    <row r="5" spans="1:23" ht="14.25" thickBot="1">
      <c r="A5" s="220">
        <v>5</v>
      </c>
      <c r="B5" s="221" t="s">
        <v>208</v>
      </c>
      <c r="C5" s="222" t="s">
        <v>209</v>
      </c>
      <c r="D5" s="223">
        <v>10</v>
      </c>
      <c r="E5" s="224">
        <v>2</v>
      </c>
      <c r="F5" s="225">
        <v>59</v>
      </c>
      <c r="G5" s="226">
        <v>9179330.2</v>
      </c>
      <c r="H5" s="227">
        <v>1224917</v>
      </c>
      <c r="I5" s="228" t="s">
        <v>56</v>
      </c>
      <c r="J5" s="229">
        <v>3493499</v>
      </c>
      <c r="K5" s="230">
        <v>456605</v>
      </c>
      <c r="L5" s="231">
        <f t="shared" si="0"/>
        <v>0.3727640321752413</v>
      </c>
      <c r="M5" s="225">
        <v>3</v>
      </c>
      <c r="N5" s="226">
        <v>4795747.5</v>
      </c>
      <c r="O5" s="232">
        <v>625765</v>
      </c>
      <c r="P5" s="233">
        <f t="shared" si="1"/>
        <v>0.5108631850158011</v>
      </c>
      <c r="Q5" s="220">
        <v>19</v>
      </c>
      <c r="R5" s="229">
        <v>7049057.5</v>
      </c>
      <c r="S5" s="230">
        <v>968934</v>
      </c>
      <c r="T5" s="231">
        <f t="shared" si="2"/>
        <v>0.7910201262616161</v>
      </c>
      <c r="U5" s="234" t="s">
        <v>210</v>
      </c>
      <c r="V5" s="232">
        <v>274655</v>
      </c>
      <c r="W5" s="233">
        <f t="shared" si="3"/>
        <v>0.22422335554164077</v>
      </c>
    </row>
    <row r="6" spans="1:23" ht="14.25" thickBot="1">
      <c r="A6" s="220">
        <v>6</v>
      </c>
      <c r="B6" s="221" t="s">
        <v>231</v>
      </c>
      <c r="C6" s="222" t="s">
        <v>209</v>
      </c>
      <c r="D6" s="223">
        <v>10</v>
      </c>
      <c r="E6" s="224">
        <v>2</v>
      </c>
      <c r="F6" s="225">
        <v>51</v>
      </c>
      <c r="G6" s="226">
        <v>8785416.1</v>
      </c>
      <c r="H6" s="227">
        <v>1151292</v>
      </c>
      <c r="I6" s="228" t="s">
        <v>56</v>
      </c>
      <c r="J6" s="229">
        <v>4155506</v>
      </c>
      <c r="K6" s="230">
        <v>521201</v>
      </c>
      <c r="L6" s="231">
        <f t="shared" si="0"/>
        <v>0.4527096514177116</v>
      </c>
      <c r="M6" s="225">
        <v>5</v>
      </c>
      <c r="N6" s="226">
        <v>1872291.5</v>
      </c>
      <c r="O6" s="232">
        <v>216438</v>
      </c>
      <c r="P6" s="233">
        <f t="shared" si="1"/>
        <v>0.18799574738641456</v>
      </c>
      <c r="Q6" s="220">
        <v>17</v>
      </c>
      <c r="R6" s="229">
        <v>5912605</v>
      </c>
      <c r="S6" s="230">
        <v>810354</v>
      </c>
      <c r="T6" s="231">
        <f t="shared" si="2"/>
        <v>0.7038648752879374</v>
      </c>
      <c r="U6" s="234" t="s">
        <v>210</v>
      </c>
      <c r="V6" s="232">
        <v>238848</v>
      </c>
      <c r="W6" s="233">
        <f t="shared" si="3"/>
        <v>0.2074608353050312</v>
      </c>
    </row>
    <row r="7" spans="1:23" ht="14.25" thickBot="1">
      <c r="A7" s="220">
        <v>7</v>
      </c>
      <c r="B7" s="221" t="s">
        <v>244</v>
      </c>
      <c r="C7" s="222" t="s">
        <v>209</v>
      </c>
      <c r="D7" s="223">
        <v>9</v>
      </c>
      <c r="E7" s="224">
        <v>3</v>
      </c>
      <c r="F7" s="225">
        <v>52</v>
      </c>
      <c r="G7" s="226">
        <v>6302662.94</v>
      </c>
      <c r="H7" s="227">
        <v>828699</v>
      </c>
      <c r="I7" s="228" t="s">
        <v>56</v>
      </c>
      <c r="J7" s="229">
        <v>2914628</v>
      </c>
      <c r="K7" s="230">
        <v>366924</v>
      </c>
      <c r="L7" s="231">
        <f t="shared" si="0"/>
        <v>0.44277113885741387</v>
      </c>
      <c r="M7" s="225">
        <v>4</v>
      </c>
      <c r="N7" s="226">
        <v>1331644</v>
      </c>
      <c r="O7" s="232">
        <v>154379</v>
      </c>
      <c r="P7" s="233">
        <f t="shared" si="1"/>
        <v>0.18629080039917992</v>
      </c>
      <c r="Q7" s="220">
        <v>18</v>
      </c>
      <c r="R7" s="229">
        <v>3602022.94</v>
      </c>
      <c r="S7" s="230">
        <v>511804</v>
      </c>
      <c r="T7" s="231">
        <f t="shared" si="2"/>
        <v>0.6175993937485142</v>
      </c>
      <c r="U7" s="234" t="s">
        <v>210</v>
      </c>
      <c r="V7" s="232">
        <v>139396</v>
      </c>
      <c r="W7" s="233">
        <f t="shared" si="3"/>
        <v>0.16821065308393035</v>
      </c>
    </row>
    <row r="8" spans="1:23" ht="14.25" thickBot="1">
      <c r="A8" s="220">
        <v>8</v>
      </c>
      <c r="B8" s="221" t="s">
        <v>252</v>
      </c>
      <c r="C8" s="222" t="s">
        <v>209</v>
      </c>
      <c r="D8" s="223">
        <v>9</v>
      </c>
      <c r="E8" s="224">
        <v>3</v>
      </c>
      <c r="F8" s="225">
        <v>63</v>
      </c>
      <c r="G8" s="226">
        <v>6053217.5</v>
      </c>
      <c r="H8" s="227">
        <v>775939</v>
      </c>
      <c r="I8" s="228" t="s">
        <v>56</v>
      </c>
      <c r="J8" s="229">
        <v>2583853</v>
      </c>
      <c r="K8" s="230">
        <v>311964</v>
      </c>
      <c r="L8" s="231">
        <f t="shared" si="0"/>
        <v>0.4020470681329331</v>
      </c>
      <c r="M8" s="225">
        <v>5</v>
      </c>
      <c r="N8" s="226">
        <v>2873712.5</v>
      </c>
      <c r="O8" s="232">
        <v>340864</v>
      </c>
      <c r="P8" s="233">
        <f t="shared" si="1"/>
        <v>0.4392922639537386</v>
      </c>
      <c r="Q8" s="220">
        <v>19</v>
      </c>
      <c r="R8" s="229">
        <v>2339416.5</v>
      </c>
      <c r="S8" s="230">
        <v>340194</v>
      </c>
      <c r="T8" s="231">
        <f t="shared" si="2"/>
        <v>0.43842879401602447</v>
      </c>
      <c r="U8" s="234" t="s">
        <v>270</v>
      </c>
      <c r="V8" s="232">
        <v>121457</v>
      </c>
      <c r="W8" s="233">
        <f t="shared" si="3"/>
        <v>0.1565290570521652</v>
      </c>
    </row>
    <row r="9" spans="1:23" ht="14.25" thickBot="1">
      <c r="A9" s="220">
        <v>9</v>
      </c>
      <c r="B9" s="221" t="s">
        <v>271</v>
      </c>
      <c r="C9" s="222" t="s">
        <v>284</v>
      </c>
      <c r="D9" s="223">
        <v>9</v>
      </c>
      <c r="E9" s="224">
        <v>3</v>
      </c>
      <c r="F9" s="225">
        <v>61</v>
      </c>
      <c r="G9" s="226">
        <v>5270968</v>
      </c>
      <c r="H9" s="227">
        <v>674938</v>
      </c>
      <c r="I9" s="228" t="s">
        <v>56</v>
      </c>
      <c r="J9" s="229">
        <v>1779119</v>
      </c>
      <c r="K9" s="230">
        <v>220698</v>
      </c>
      <c r="L9" s="231">
        <f t="shared" si="0"/>
        <v>0.3269900346402188</v>
      </c>
      <c r="M9" s="225">
        <v>6</v>
      </c>
      <c r="N9" s="226">
        <v>1015200</v>
      </c>
      <c r="O9" s="232">
        <v>116014</v>
      </c>
      <c r="P9" s="233">
        <f t="shared" si="1"/>
        <v>0.17188838085868627</v>
      </c>
      <c r="Q9" s="220">
        <v>17</v>
      </c>
      <c r="R9" s="229">
        <v>1651440</v>
      </c>
      <c r="S9" s="230">
        <v>243524</v>
      </c>
      <c r="T9" s="231">
        <f t="shared" si="2"/>
        <v>0.36080943731127896</v>
      </c>
      <c r="U9" s="234" t="s">
        <v>270</v>
      </c>
      <c r="V9" s="232">
        <v>81309</v>
      </c>
      <c r="W9" s="233">
        <f t="shared" si="3"/>
        <v>0.12046884306410366</v>
      </c>
    </row>
    <row r="10" spans="1:23" ht="14.25" thickBot="1">
      <c r="A10" s="220">
        <v>10</v>
      </c>
      <c r="B10" s="221" t="s">
        <v>231</v>
      </c>
      <c r="C10" s="222" t="s">
        <v>284</v>
      </c>
      <c r="D10" s="223">
        <v>9</v>
      </c>
      <c r="E10" s="224">
        <v>3</v>
      </c>
      <c r="F10" s="225">
        <v>65</v>
      </c>
      <c r="G10" s="226">
        <v>5088138.05</v>
      </c>
      <c r="H10" s="227">
        <v>653287</v>
      </c>
      <c r="I10" s="228" t="s">
        <v>56</v>
      </c>
      <c r="J10" s="229">
        <v>2301130</v>
      </c>
      <c r="K10" s="230">
        <v>286844</v>
      </c>
      <c r="L10" s="231">
        <f t="shared" si="0"/>
        <v>0.4390780774759026</v>
      </c>
      <c r="M10" s="225">
        <v>5</v>
      </c>
      <c r="N10" s="226">
        <v>2343737.5</v>
      </c>
      <c r="O10" s="232">
        <v>283835</v>
      </c>
      <c r="P10" s="233">
        <f t="shared" si="1"/>
        <v>0.43447213858533845</v>
      </c>
      <c r="Q10" s="220">
        <v>21</v>
      </c>
      <c r="R10" s="229">
        <v>1588352.55</v>
      </c>
      <c r="S10" s="230">
        <v>230463</v>
      </c>
      <c r="T10" s="231">
        <f t="shared" si="2"/>
        <v>0.3527745079880665</v>
      </c>
      <c r="U10" s="234" t="s">
        <v>289</v>
      </c>
      <c r="V10" s="232">
        <v>102037</v>
      </c>
      <c r="W10" s="233">
        <f t="shared" si="3"/>
        <v>0.1561901583836813</v>
      </c>
    </row>
    <row r="11" spans="1:23" ht="14.25" thickBot="1">
      <c r="A11" s="220"/>
      <c r="B11" s="221"/>
      <c r="C11" s="222"/>
      <c r="D11" s="223"/>
      <c r="E11" s="224"/>
      <c r="F11" s="225"/>
      <c r="G11" s="226"/>
      <c r="H11" s="227"/>
      <c r="I11" s="228"/>
      <c r="J11" s="229"/>
      <c r="K11" s="230"/>
      <c r="L11" s="231"/>
      <c r="M11" s="225"/>
      <c r="N11" s="226"/>
      <c r="O11" s="232"/>
      <c r="P11" s="233"/>
      <c r="Q11" s="220"/>
      <c r="R11" s="229"/>
      <c r="S11" s="230"/>
      <c r="T11" s="231"/>
      <c r="U11" s="234"/>
      <c r="V11" s="232"/>
      <c r="W11" s="233"/>
    </row>
    <row r="12" spans="1:23" ht="14.25" thickBot="1">
      <c r="A12" s="220"/>
      <c r="B12" s="221"/>
      <c r="C12" s="222"/>
      <c r="D12" s="223"/>
      <c r="E12" s="224"/>
      <c r="F12" s="225"/>
      <c r="G12" s="226"/>
      <c r="H12" s="227"/>
      <c r="I12" s="228"/>
      <c r="J12" s="229"/>
      <c r="K12" s="230"/>
      <c r="L12" s="231"/>
      <c r="M12" s="225"/>
      <c r="N12" s="226"/>
      <c r="O12" s="232"/>
      <c r="P12" s="233"/>
      <c r="Q12" s="220"/>
      <c r="R12" s="229"/>
      <c r="S12" s="230"/>
      <c r="T12" s="231"/>
      <c r="U12" s="234"/>
      <c r="V12" s="232"/>
      <c r="W12" s="233"/>
    </row>
    <row r="13" spans="1:23" ht="14.25" thickBot="1">
      <c r="A13" s="220"/>
      <c r="B13" s="221"/>
      <c r="C13" s="222"/>
      <c r="D13" s="223"/>
      <c r="E13" s="224"/>
      <c r="F13" s="225"/>
      <c r="G13" s="226"/>
      <c r="H13" s="227"/>
      <c r="I13" s="228"/>
      <c r="J13" s="229"/>
      <c r="K13" s="230"/>
      <c r="L13" s="231"/>
      <c r="M13" s="225"/>
      <c r="N13" s="226"/>
      <c r="O13" s="232"/>
      <c r="P13" s="233"/>
      <c r="Q13" s="220"/>
      <c r="R13" s="229"/>
      <c r="S13" s="230"/>
      <c r="T13" s="231"/>
      <c r="U13" s="234"/>
      <c r="V13" s="232"/>
      <c r="W13" s="233"/>
    </row>
    <row r="14" spans="1:23" ht="14.25" thickBot="1">
      <c r="A14" s="220"/>
      <c r="B14" s="221"/>
      <c r="C14" s="222"/>
      <c r="D14" s="223"/>
      <c r="E14" s="224"/>
      <c r="F14" s="225"/>
      <c r="G14" s="226"/>
      <c r="H14" s="227"/>
      <c r="I14" s="228"/>
      <c r="J14" s="229"/>
      <c r="K14" s="230"/>
      <c r="L14" s="231"/>
      <c r="M14" s="225"/>
      <c r="N14" s="226"/>
      <c r="O14" s="232"/>
      <c r="P14" s="233"/>
      <c r="Q14" s="220"/>
      <c r="R14" s="229"/>
      <c r="S14" s="230"/>
      <c r="T14" s="231"/>
      <c r="U14" s="234"/>
      <c r="V14" s="232"/>
      <c r="W14" s="233"/>
    </row>
    <row r="15" spans="1:23" ht="14.25" thickBot="1">
      <c r="A15" s="220"/>
      <c r="B15" s="221"/>
      <c r="C15" s="222"/>
      <c r="D15" s="223"/>
      <c r="E15" s="224"/>
      <c r="F15" s="225"/>
      <c r="G15" s="226"/>
      <c r="H15" s="227"/>
      <c r="I15" s="228"/>
      <c r="J15" s="229"/>
      <c r="K15" s="230"/>
      <c r="L15" s="231"/>
      <c r="M15" s="225"/>
      <c r="N15" s="226"/>
      <c r="O15" s="232"/>
      <c r="P15" s="233"/>
      <c r="Q15" s="220"/>
      <c r="R15" s="229"/>
      <c r="S15" s="230"/>
      <c r="T15" s="231"/>
      <c r="U15" s="234"/>
      <c r="V15" s="232"/>
      <c r="W15" s="233"/>
    </row>
    <row r="16" spans="1:23" ht="14.25" thickBot="1">
      <c r="A16" s="220"/>
      <c r="B16" s="221"/>
      <c r="C16" s="222"/>
      <c r="D16" s="223"/>
      <c r="E16" s="224"/>
      <c r="F16" s="225"/>
      <c r="G16" s="226"/>
      <c r="H16" s="227"/>
      <c r="I16" s="228"/>
      <c r="J16" s="229"/>
      <c r="K16" s="230"/>
      <c r="L16" s="231"/>
      <c r="M16" s="225"/>
      <c r="N16" s="226"/>
      <c r="O16" s="232"/>
      <c r="P16" s="233"/>
      <c r="Q16" s="220"/>
      <c r="R16" s="229"/>
      <c r="S16" s="230"/>
      <c r="T16" s="231"/>
      <c r="U16" s="234"/>
      <c r="V16" s="232"/>
      <c r="W16" s="233"/>
    </row>
    <row r="17" spans="1:23" ht="14.25" thickBot="1">
      <c r="A17" s="220"/>
      <c r="B17" s="221"/>
      <c r="C17" s="222"/>
      <c r="D17" s="223"/>
      <c r="E17" s="224"/>
      <c r="F17" s="225"/>
      <c r="G17" s="226"/>
      <c r="H17" s="227"/>
      <c r="I17" s="228"/>
      <c r="J17" s="229"/>
      <c r="K17" s="230"/>
      <c r="L17" s="231"/>
      <c r="M17" s="225"/>
      <c r="N17" s="226"/>
      <c r="O17" s="232"/>
      <c r="P17" s="233"/>
      <c r="Q17" s="220"/>
      <c r="R17" s="229"/>
      <c r="S17" s="230"/>
      <c r="T17" s="231"/>
      <c r="U17" s="234"/>
      <c r="V17" s="232"/>
      <c r="W17" s="233"/>
    </row>
    <row r="18" spans="1:23" ht="14.25" hidden="1" thickBot="1">
      <c r="A18" s="220"/>
      <c r="B18" s="221"/>
      <c r="C18" s="222"/>
      <c r="D18" s="223"/>
      <c r="E18" s="224"/>
      <c r="F18" s="225"/>
      <c r="G18" s="226"/>
      <c r="H18" s="227"/>
      <c r="I18" s="228"/>
      <c r="J18" s="229"/>
      <c r="K18" s="230"/>
      <c r="L18" s="231"/>
      <c r="M18" s="225"/>
      <c r="N18" s="226"/>
      <c r="O18" s="232"/>
      <c r="P18" s="233"/>
      <c r="Q18" s="220"/>
      <c r="R18" s="229"/>
      <c r="S18" s="230"/>
      <c r="T18" s="231"/>
      <c r="U18" s="234"/>
      <c r="V18" s="232"/>
      <c r="W18" s="233"/>
    </row>
    <row r="19" spans="1:23" ht="14.25" hidden="1" thickBot="1">
      <c r="A19" s="220"/>
      <c r="B19" s="221"/>
      <c r="C19" s="222"/>
      <c r="D19" s="223"/>
      <c r="E19" s="224"/>
      <c r="F19" s="225"/>
      <c r="G19" s="226"/>
      <c r="H19" s="227"/>
      <c r="I19" s="228"/>
      <c r="J19" s="229"/>
      <c r="K19" s="230"/>
      <c r="L19" s="231"/>
      <c r="M19" s="225"/>
      <c r="N19" s="226"/>
      <c r="O19" s="232"/>
      <c r="P19" s="233"/>
      <c r="Q19" s="220"/>
      <c r="R19" s="229"/>
      <c r="S19" s="230"/>
      <c r="T19" s="231"/>
      <c r="U19" s="234"/>
      <c r="V19" s="232"/>
      <c r="W19" s="233"/>
    </row>
    <row r="20" spans="1:23" ht="14.25" hidden="1" thickBot="1">
      <c r="A20" s="220"/>
      <c r="B20" s="221"/>
      <c r="C20" s="222"/>
      <c r="D20" s="223"/>
      <c r="E20" s="224"/>
      <c r="F20" s="225"/>
      <c r="G20" s="226"/>
      <c r="H20" s="227"/>
      <c r="I20" s="228"/>
      <c r="J20" s="229"/>
      <c r="K20" s="230"/>
      <c r="L20" s="231"/>
      <c r="M20" s="225"/>
      <c r="N20" s="226"/>
      <c r="O20" s="232"/>
      <c r="P20" s="233"/>
      <c r="Q20" s="220"/>
      <c r="R20" s="229"/>
      <c r="S20" s="230"/>
      <c r="T20" s="231"/>
      <c r="U20" s="234"/>
      <c r="V20" s="232"/>
      <c r="W20" s="233"/>
    </row>
    <row r="21" spans="1:23" ht="14.25" hidden="1" thickBot="1">
      <c r="A21" s="220"/>
      <c r="B21" s="221"/>
      <c r="C21" s="222"/>
      <c r="D21" s="223"/>
      <c r="E21" s="224"/>
      <c r="F21" s="225"/>
      <c r="G21" s="226"/>
      <c r="H21" s="227"/>
      <c r="I21" s="228"/>
      <c r="J21" s="229"/>
      <c r="K21" s="230"/>
      <c r="L21" s="231"/>
      <c r="M21" s="225"/>
      <c r="N21" s="226"/>
      <c r="O21" s="232"/>
      <c r="P21" s="233"/>
      <c r="Q21" s="220"/>
      <c r="R21" s="229"/>
      <c r="S21" s="230"/>
      <c r="T21" s="231"/>
      <c r="U21" s="234"/>
      <c r="V21" s="232"/>
      <c r="W21" s="233"/>
    </row>
    <row r="22" spans="1:23" ht="14.25" hidden="1" thickBot="1">
      <c r="A22" s="220"/>
      <c r="B22" s="221"/>
      <c r="C22" s="222"/>
      <c r="D22" s="223"/>
      <c r="E22" s="224"/>
      <c r="F22" s="225"/>
      <c r="G22" s="226"/>
      <c r="H22" s="227"/>
      <c r="I22" s="228"/>
      <c r="J22" s="229"/>
      <c r="K22" s="230"/>
      <c r="L22" s="231"/>
      <c r="M22" s="225"/>
      <c r="N22" s="226"/>
      <c r="O22" s="232"/>
      <c r="P22" s="233"/>
      <c r="Q22" s="220"/>
      <c r="R22" s="229"/>
      <c r="S22" s="230"/>
      <c r="T22" s="231"/>
      <c r="U22" s="234"/>
      <c r="V22" s="232"/>
      <c r="W22" s="233"/>
    </row>
    <row r="23" spans="1:23" ht="14.25" hidden="1" thickBot="1">
      <c r="A23" s="220"/>
      <c r="B23" s="221"/>
      <c r="C23" s="222"/>
      <c r="D23" s="223"/>
      <c r="E23" s="224"/>
      <c r="F23" s="225"/>
      <c r="G23" s="226"/>
      <c r="H23" s="227"/>
      <c r="I23" s="228"/>
      <c r="J23" s="229"/>
      <c r="K23" s="230"/>
      <c r="L23" s="231"/>
      <c r="M23" s="225"/>
      <c r="N23" s="226"/>
      <c r="O23" s="232"/>
      <c r="P23" s="233"/>
      <c r="Q23" s="220"/>
      <c r="R23" s="229"/>
      <c r="S23" s="230"/>
      <c r="T23" s="231"/>
      <c r="U23" s="234"/>
      <c r="V23" s="232"/>
      <c r="W23" s="233"/>
    </row>
    <row r="24" spans="1:23" ht="14.25" hidden="1" thickBot="1">
      <c r="A24" s="220"/>
      <c r="B24" s="221"/>
      <c r="C24" s="222"/>
      <c r="D24" s="223"/>
      <c r="E24" s="224"/>
      <c r="F24" s="225"/>
      <c r="G24" s="226"/>
      <c r="H24" s="227"/>
      <c r="I24" s="228"/>
      <c r="J24" s="229"/>
      <c r="K24" s="230"/>
      <c r="L24" s="231"/>
      <c r="M24" s="225"/>
      <c r="N24" s="226"/>
      <c r="O24" s="232"/>
      <c r="P24" s="233"/>
      <c r="Q24" s="220"/>
      <c r="R24" s="229"/>
      <c r="S24" s="230"/>
      <c r="T24" s="231"/>
      <c r="U24" s="234"/>
      <c r="V24" s="232"/>
      <c r="W24" s="233"/>
    </row>
    <row r="25" spans="1:23" ht="14.25" hidden="1" thickBot="1">
      <c r="A25" s="220"/>
      <c r="B25" s="221"/>
      <c r="C25" s="222"/>
      <c r="D25" s="223"/>
      <c r="E25" s="224"/>
      <c r="F25" s="225"/>
      <c r="G25" s="226"/>
      <c r="H25" s="227"/>
      <c r="I25" s="228"/>
      <c r="J25" s="229"/>
      <c r="K25" s="230"/>
      <c r="L25" s="231"/>
      <c r="M25" s="225"/>
      <c r="N25" s="226"/>
      <c r="O25" s="232"/>
      <c r="P25" s="233"/>
      <c r="Q25" s="220"/>
      <c r="R25" s="229"/>
      <c r="S25" s="230"/>
      <c r="T25" s="231"/>
      <c r="U25" s="234"/>
      <c r="V25" s="232"/>
      <c r="W25" s="233"/>
    </row>
    <row r="26" spans="1:23" ht="14.25" hidden="1" thickBot="1">
      <c r="A26" s="220"/>
      <c r="B26" s="221"/>
      <c r="C26" s="222"/>
      <c r="D26" s="223"/>
      <c r="E26" s="224"/>
      <c r="F26" s="225"/>
      <c r="G26" s="226"/>
      <c r="H26" s="227"/>
      <c r="I26" s="228"/>
      <c r="J26" s="229"/>
      <c r="K26" s="230"/>
      <c r="L26" s="231"/>
      <c r="M26" s="225"/>
      <c r="N26" s="226"/>
      <c r="O26" s="232"/>
      <c r="P26" s="233"/>
      <c r="Q26" s="220"/>
      <c r="R26" s="229"/>
      <c r="S26" s="230"/>
      <c r="T26" s="231"/>
      <c r="U26" s="234"/>
      <c r="V26" s="232"/>
      <c r="W26" s="233"/>
    </row>
    <row r="27" spans="1:23" ht="14.25" hidden="1" thickBot="1">
      <c r="A27" s="220"/>
      <c r="B27" s="221"/>
      <c r="C27" s="222"/>
      <c r="D27" s="223"/>
      <c r="E27" s="224"/>
      <c r="F27" s="225"/>
      <c r="G27" s="226"/>
      <c r="H27" s="227"/>
      <c r="I27" s="228"/>
      <c r="J27" s="229"/>
      <c r="K27" s="230"/>
      <c r="L27" s="231"/>
      <c r="M27" s="225"/>
      <c r="N27" s="226"/>
      <c r="O27" s="232"/>
      <c r="P27" s="233"/>
      <c r="Q27" s="220"/>
      <c r="R27" s="229"/>
      <c r="S27" s="230"/>
      <c r="T27" s="231"/>
      <c r="U27" s="234"/>
      <c r="V27" s="232"/>
      <c r="W27" s="233"/>
    </row>
    <row r="28" spans="1:23" ht="14.25" hidden="1" thickBot="1">
      <c r="A28" s="220"/>
      <c r="B28" s="221"/>
      <c r="C28" s="222"/>
      <c r="D28" s="223"/>
      <c r="E28" s="224"/>
      <c r="F28" s="225"/>
      <c r="G28" s="226"/>
      <c r="H28" s="227"/>
      <c r="I28" s="228"/>
      <c r="J28" s="229"/>
      <c r="K28" s="230"/>
      <c r="L28" s="231"/>
      <c r="M28" s="225"/>
      <c r="N28" s="226"/>
      <c r="O28" s="232"/>
      <c r="P28" s="233"/>
      <c r="Q28" s="220"/>
      <c r="R28" s="229"/>
      <c r="S28" s="230"/>
      <c r="T28" s="231"/>
      <c r="U28" s="234"/>
      <c r="V28" s="232"/>
      <c r="W28" s="233"/>
    </row>
    <row r="29" spans="1:23" ht="14.25" hidden="1" thickBot="1">
      <c r="A29" s="220"/>
      <c r="B29" s="221"/>
      <c r="C29" s="222"/>
      <c r="D29" s="223"/>
      <c r="E29" s="224"/>
      <c r="F29" s="225"/>
      <c r="G29" s="226"/>
      <c r="H29" s="227"/>
      <c r="I29" s="228"/>
      <c r="J29" s="229"/>
      <c r="K29" s="230"/>
      <c r="L29" s="231"/>
      <c r="M29" s="225"/>
      <c r="N29" s="226"/>
      <c r="O29" s="232"/>
      <c r="P29" s="233"/>
      <c r="Q29" s="220"/>
      <c r="R29" s="229"/>
      <c r="S29" s="230"/>
      <c r="T29" s="231"/>
      <c r="U29" s="234"/>
      <c r="V29" s="232"/>
      <c r="W29" s="233"/>
    </row>
    <row r="30" spans="1:23" ht="14.25" hidden="1" thickBot="1">
      <c r="A30" s="220"/>
      <c r="B30" s="221"/>
      <c r="C30" s="222"/>
      <c r="D30" s="223"/>
      <c r="E30" s="224"/>
      <c r="F30" s="225"/>
      <c r="G30" s="226"/>
      <c r="H30" s="227"/>
      <c r="I30" s="228"/>
      <c r="J30" s="229"/>
      <c r="K30" s="230"/>
      <c r="L30" s="231"/>
      <c r="M30" s="225"/>
      <c r="N30" s="226"/>
      <c r="O30" s="232"/>
      <c r="P30" s="233"/>
      <c r="Q30" s="220"/>
      <c r="R30" s="229"/>
      <c r="S30" s="230"/>
      <c r="T30" s="231"/>
      <c r="U30" s="234"/>
      <c r="V30" s="232"/>
      <c r="W30" s="233"/>
    </row>
    <row r="31" spans="1:23" ht="14.25" hidden="1" thickBot="1">
      <c r="A31" s="220"/>
      <c r="B31" s="221"/>
      <c r="C31" s="222"/>
      <c r="D31" s="223"/>
      <c r="E31" s="224"/>
      <c r="F31" s="225"/>
      <c r="G31" s="226"/>
      <c r="H31" s="227"/>
      <c r="I31" s="228"/>
      <c r="J31" s="229"/>
      <c r="K31" s="230"/>
      <c r="L31" s="231"/>
      <c r="M31" s="225"/>
      <c r="N31" s="226"/>
      <c r="O31" s="232"/>
      <c r="P31" s="233"/>
      <c r="Q31" s="220"/>
      <c r="R31" s="229"/>
      <c r="S31" s="230"/>
      <c r="T31" s="231"/>
      <c r="U31" s="234"/>
      <c r="V31" s="232"/>
      <c r="W31" s="233"/>
    </row>
    <row r="32" spans="1:23" ht="14.25" hidden="1" thickBot="1">
      <c r="A32" s="220"/>
      <c r="B32" s="221"/>
      <c r="C32" s="222"/>
      <c r="D32" s="223"/>
      <c r="E32" s="224"/>
      <c r="F32" s="225"/>
      <c r="G32" s="226"/>
      <c r="H32" s="227"/>
      <c r="I32" s="228"/>
      <c r="J32" s="229"/>
      <c r="K32" s="230"/>
      <c r="L32" s="231"/>
      <c r="M32" s="225"/>
      <c r="N32" s="226"/>
      <c r="O32" s="232"/>
      <c r="P32" s="233"/>
      <c r="Q32" s="220"/>
      <c r="R32" s="229"/>
      <c r="S32" s="230"/>
      <c r="T32" s="231"/>
      <c r="U32" s="234"/>
      <c r="V32" s="232"/>
      <c r="W32" s="233"/>
    </row>
    <row r="33" spans="1:23" ht="14.25" hidden="1" thickBot="1">
      <c r="A33" s="220"/>
      <c r="B33" s="221"/>
      <c r="C33" s="222"/>
      <c r="D33" s="223"/>
      <c r="E33" s="224"/>
      <c r="F33" s="225"/>
      <c r="G33" s="226"/>
      <c r="H33" s="227"/>
      <c r="I33" s="228"/>
      <c r="J33" s="229"/>
      <c r="K33" s="230"/>
      <c r="L33" s="231"/>
      <c r="M33" s="225"/>
      <c r="N33" s="226"/>
      <c r="O33" s="232"/>
      <c r="P33" s="233"/>
      <c r="Q33" s="220"/>
      <c r="R33" s="229"/>
      <c r="S33" s="230"/>
      <c r="T33" s="231"/>
      <c r="U33" s="234"/>
      <c r="V33" s="232"/>
      <c r="W33" s="233"/>
    </row>
    <row r="34" spans="1:23" ht="14.25" hidden="1" thickBot="1">
      <c r="A34" s="220"/>
      <c r="B34" s="221"/>
      <c r="C34" s="222"/>
      <c r="D34" s="223"/>
      <c r="E34" s="224"/>
      <c r="F34" s="225"/>
      <c r="G34" s="226"/>
      <c r="H34" s="227"/>
      <c r="I34" s="228"/>
      <c r="J34" s="229"/>
      <c r="K34" s="230"/>
      <c r="L34" s="231"/>
      <c r="M34" s="225"/>
      <c r="N34" s="226"/>
      <c r="O34" s="232"/>
      <c r="P34" s="233"/>
      <c r="Q34" s="220"/>
      <c r="R34" s="229"/>
      <c r="S34" s="230"/>
      <c r="T34" s="231"/>
      <c r="U34" s="234"/>
      <c r="V34" s="232"/>
      <c r="W34" s="233"/>
    </row>
    <row r="35" spans="1:23" ht="14.25" hidden="1" thickBot="1">
      <c r="A35" s="220"/>
      <c r="B35" s="221"/>
      <c r="C35" s="222"/>
      <c r="D35" s="223"/>
      <c r="E35" s="224"/>
      <c r="F35" s="225"/>
      <c r="G35" s="226"/>
      <c r="H35" s="227"/>
      <c r="I35" s="228"/>
      <c r="J35" s="229"/>
      <c r="K35" s="230"/>
      <c r="L35" s="231"/>
      <c r="M35" s="225"/>
      <c r="N35" s="226"/>
      <c r="O35" s="232"/>
      <c r="P35" s="233"/>
      <c r="Q35" s="220"/>
      <c r="R35" s="229"/>
      <c r="S35" s="230"/>
      <c r="T35" s="231"/>
      <c r="U35" s="234"/>
      <c r="V35" s="232"/>
      <c r="W35" s="233"/>
    </row>
    <row r="36" spans="1:23" ht="14.25" hidden="1" thickBot="1">
      <c r="A36" s="220"/>
      <c r="B36" s="221"/>
      <c r="C36" s="222"/>
      <c r="D36" s="223"/>
      <c r="E36" s="224"/>
      <c r="F36" s="225"/>
      <c r="G36" s="226"/>
      <c r="H36" s="227"/>
      <c r="I36" s="228"/>
      <c r="J36" s="229"/>
      <c r="K36" s="230"/>
      <c r="L36" s="231"/>
      <c r="M36" s="225"/>
      <c r="N36" s="226"/>
      <c r="O36" s="232"/>
      <c r="P36" s="233"/>
      <c r="Q36" s="220"/>
      <c r="R36" s="229"/>
      <c r="S36" s="230"/>
      <c r="T36" s="231"/>
      <c r="U36" s="234"/>
      <c r="V36" s="232"/>
      <c r="W36" s="233"/>
    </row>
    <row r="37" spans="1:23" ht="14.25" hidden="1" thickBot="1">
      <c r="A37" s="220"/>
      <c r="B37" s="221"/>
      <c r="C37" s="222"/>
      <c r="D37" s="223"/>
      <c r="E37" s="224"/>
      <c r="F37" s="225"/>
      <c r="G37" s="226"/>
      <c r="H37" s="227"/>
      <c r="I37" s="228"/>
      <c r="J37" s="229"/>
      <c r="K37" s="230"/>
      <c r="L37" s="231"/>
      <c r="M37" s="225"/>
      <c r="N37" s="226"/>
      <c r="O37" s="232"/>
      <c r="P37" s="233"/>
      <c r="Q37" s="220"/>
      <c r="R37" s="229"/>
      <c r="S37" s="230"/>
      <c r="T37" s="231"/>
      <c r="U37" s="234"/>
      <c r="V37" s="232"/>
      <c r="W37" s="233"/>
    </row>
    <row r="38" spans="1:23" ht="14.25" hidden="1" thickBot="1">
      <c r="A38" s="220"/>
      <c r="B38" s="221"/>
      <c r="C38" s="222"/>
      <c r="D38" s="223"/>
      <c r="E38" s="224"/>
      <c r="F38" s="225"/>
      <c r="G38" s="226"/>
      <c r="H38" s="227"/>
      <c r="I38" s="228"/>
      <c r="J38" s="229"/>
      <c r="K38" s="230"/>
      <c r="L38" s="231"/>
      <c r="M38" s="225"/>
      <c r="N38" s="226"/>
      <c r="O38" s="232"/>
      <c r="P38" s="233"/>
      <c r="Q38" s="220"/>
      <c r="R38" s="229"/>
      <c r="S38" s="230"/>
      <c r="T38" s="231"/>
      <c r="U38" s="234"/>
      <c r="V38" s="232"/>
      <c r="W38" s="233"/>
    </row>
    <row r="39" spans="1:23" ht="14.25" hidden="1" thickBot="1">
      <c r="A39" s="220"/>
      <c r="B39" s="221"/>
      <c r="C39" s="222"/>
      <c r="D39" s="223"/>
      <c r="E39" s="224"/>
      <c r="F39" s="225"/>
      <c r="G39" s="226"/>
      <c r="H39" s="227"/>
      <c r="I39" s="228"/>
      <c r="J39" s="229"/>
      <c r="K39" s="230"/>
      <c r="L39" s="231"/>
      <c r="M39" s="225"/>
      <c r="N39" s="226"/>
      <c r="O39" s="232"/>
      <c r="P39" s="233"/>
      <c r="Q39" s="220"/>
      <c r="R39" s="229"/>
      <c r="S39" s="230"/>
      <c r="T39" s="231"/>
      <c r="U39" s="234"/>
      <c r="V39" s="232"/>
      <c r="W39" s="233"/>
    </row>
    <row r="40" spans="1:23" ht="14.25" hidden="1" thickBot="1">
      <c r="A40" s="220"/>
      <c r="B40" s="221"/>
      <c r="C40" s="222"/>
      <c r="D40" s="223"/>
      <c r="E40" s="224"/>
      <c r="F40" s="225"/>
      <c r="G40" s="226"/>
      <c r="H40" s="227"/>
      <c r="I40" s="228"/>
      <c r="J40" s="229"/>
      <c r="K40" s="230"/>
      <c r="L40" s="231"/>
      <c r="M40" s="225"/>
      <c r="N40" s="226"/>
      <c r="O40" s="232"/>
      <c r="P40" s="233"/>
      <c r="Q40" s="220"/>
      <c r="R40" s="229"/>
      <c r="S40" s="230"/>
      <c r="T40" s="231"/>
      <c r="U40" s="234"/>
      <c r="V40" s="232"/>
      <c r="W40" s="233"/>
    </row>
    <row r="41" spans="1:23" ht="14.25" hidden="1" thickBot="1">
      <c r="A41" s="220"/>
      <c r="B41" s="221"/>
      <c r="C41" s="222"/>
      <c r="D41" s="223"/>
      <c r="E41" s="224"/>
      <c r="F41" s="225"/>
      <c r="G41" s="226"/>
      <c r="H41" s="227"/>
      <c r="I41" s="228"/>
      <c r="J41" s="229"/>
      <c r="K41" s="230"/>
      <c r="L41" s="231"/>
      <c r="M41" s="225"/>
      <c r="N41" s="226"/>
      <c r="O41" s="232"/>
      <c r="P41" s="233"/>
      <c r="Q41" s="220"/>
      <c r="R41" s="229"/>
      <c r="S41" s="230"/>
      <c r="T41" s="231"/>
      <c r="U41" s="234"/>
      <c r="V41" s="232"/>
      <c r="W41" s="233"/>
    </row>
    <row r="42" spans="1:23" ht="14.25" hidden="1" thickBot="1">
      <c r="A42" s="220"/>
      <c r="B42" s="221"/>
      <c r="C42" s="222"/>
      <c r="D42" s="223"/>
      <c r="E42" s="224"/>
      <c r="F42" s="225"/>
      <c r="G42" s="226"/>
      <c r="H42" s="227"/>
      <c r="I42" s="228"/>
      <c r="J42" s="229"/>
      <c r="K42" s="230"/>
      <c r="L42" s="231"/>
      <c r="M42" s="225"/>
      <c r="N42" s="226"/>
      <c r="O42" s="232"/>
      <c r="P42" s="233"/>
      <c r="Q42" s="220"/>
      <c r="R42" s="229"/>
      <c r="S42" s="230"/>
      <c r="T42" s="231"/>
      <c r="U42" s="234"/>
      <c r="V42" s="232"/>
      <c r="W42" s="233"/>
    </row>
    <row r="43" spans="1:23" ht="14.25" hidden="1" thickBot="1">
      <c r="A43" s="220"/>
      <c r="B43" s="221"/>
      <c r="C43" s="222"/>
      <c r="D43" s="223"/>
      <c r="E43" s="224"/>
      <c r="F43" s="225"/>
      <c r="G43" s="226"/>
      <c r="H43" s="227"/>
      <c r="I43" s="228"/>
      <c r="J43" s="229"/>
      <c r="K43" s="230"/>
      <c r="L43" s="231"/>
      <c r="M43" s="225"/>
      <c r="N43" s="226"/>
      <c r="O43" s="232"/>
      <c r="P43" s="233"/>
      <c r="Q43" s="220"/>
      <c r="R43" s="229"/>
      <c r="S43" s="230"/>
      <c r="T43" s="231"/>
      <c r="U43" s="234"/>
      <c r="V43" s="232"/>
      <c r="W43" s="233"/>
    </row>
    <row r="44" spans="1:23" ht="14.25" hidden="1" thickBot="1">
      <c r="A44" s="220"/>
      <c r="B44" s="221"/>
      <c r="C44" s="222"/>
      <c r="D44" s="223"/>
      <c r="E44" s="224"/>
      <c r="F44" s="225"/>
      <c r="G44" s="226"/>
      <c r="H44" s="227"/>
      <c r="I44" s="228"/>
      <c r="J44" s="229"/>
      <c r="K44" s="230"/>
      <c r="L44" s="231"/>
      <c r="M44" s="225"/>
      <c r="N44" s="226"/>
      <c r="O44" s="232"/>
      <c r="P44" s="233"/>
      <c r="Q44" s="220"/>
      <c r="R44" s="229"/>
      <c r="S44" s="230"/>
      <c r="T44" s="231"/>
      <c r="U44" s="234"/>
      <c r="V44" s="232"/>
      <c r="W44" s="233"/>
    </row>
    <row r="45" spans="1:23" ht="14.25" hidden="1" thickBot="1">
      <c r="A45" s="220"/>
      <c r="B45" s="221"/>
      <c r="C45" s="222"/>
      <c r="D45" s="223"/>
      <c r="E45" s="224"/>
      <c r="F45" s="225"/>
      <c r="G45" s="226"/>
      <c r="H45" s="227"/>
      <c r="I45" s="228"/>
      <c r="J45" s="229"/>
      <c r="K45" s="230"/>
      <c r="L45" s="231"/>
      <c r="M45" s="225"/>
      <c r="N45" s="226"/>
      <c r="O45" s="232"/>
      <c r="P45" s="233"/>
      <c r="Q45" s="220"/>
      <c r="R45" s="229"/>
      <c r="S45" s="230"/>
      <c r="T45" s="231"/>
      <c r="U45" s="234"/>
      <c r="V45" s="232"/>
      <c r="W45" s="233"/>
    </row>
    <row r="46" spans="1:23" ht="14.25" hidden="1" thickBot="1">
      <c r="A46" s="220"/>
      <c r="B46" s="221"/>
      <c r="C46" s="222"/>
      <c r="D46" s="223"/>
      <c r="E46" s="224"/>
      <c r="F46" s="225"/>
      <c r="G46" s="226"/>
      <c r="H46" s="227"/>
      <c r="I46" s="228"/>
      <c r="J46" s="229"/>
      <c r="K46" s="230"/>
      <c r="L46" s="231"/>
      <c r="M46" s="225"/>
      <c r="N46" s="226"/>
      <c r="O46" s="232"/>
      <c r="P46" s="233"/>
      <c r="Q46" s="220"/>
      <c r="R46" s="229"/>
      <c r="S46" s="230"/>
      <c r="T46" s="231"/>
      <c r="U46" s="234"/>
      <c r="V46" s="232"/>
      <c r="W46" s="233"/>
    </row>
    <row r="47" spans="1:23" ht="14.25" hidden="1" thickBot="1">
      <c r="A47" s="220"/>
      <c r="B47" s="221"/>
      <c r="C47" s="222"/>
      <c r="D47" s="223"/>
      <c r="E47" s="224"/>
      <c r="F47" s="225"/>
      <c r="G47" s="226"/>
      <c r="H47" s="227"/>
      <c r="I47" s="228"/>
      <c r="J47" s="229"/>
      <c r="K47" s="230"/>
      <c r="L47" s="231"/>
      <c r="M47" s="225"/>
      <c r="N47" s="226"/>
      <c r="O47" s="232"/>
      <c r="P47" s="233"/>
      <c r="Q47" s="220"/>
      <c r="R47" s="229"/>
      <c r="S47" s="230"/>
      <c r="T47" s="231"/>
      <c r="U47" s="234"/>
      <c r="V47" s="232"/>
      <c r="W47" s="233"/>
    </row>
    <row r="48" spans="1:23" ht="14.25" hidden="1" thickBot="1">
      <c r="A48" s="220"/>
      <c r="B48" s="221"/>
      <c r="C48" s="222"/>
      <c r="D48" s="223"/>
      <c r="E48" s="224"/>
      <c r="F48" s="225"/>
      <c r="G48" s="226"/>
      <c r="H48" s="227"/>
      <c r="I48" s="228"/>
      <c r="J48" s="229"/>
      <c r="K48" s="230"/>
      <c r="L48" s="231"/>
      <c r="M48" s="225"/>
      <c r="N48" s="226"/>
      <c r="O48" s="232"/>
      <c r="P48" s="233"/>
      <c r="Q48" s="220"/>
      <c r="R48" s="229"/>
      <c r="S48" s="230"/>
      <c r="T48" s="231"/>
      <c r="U48" s="234"/>
      <c r="V48" s="232"/>
      <c r="W48" s="233"/>
    </row>
    <row r="49" spans="1:23" ht="14.25" hidden="1" thickBot="1">
      <c r="A49" s="220"/>
      <c r="B49" s="221"/>
      <c r="C49" s="222"/>
      <c r="D49" s="223"/>
      <c r="E49" s="224"/>
      <c r="F49" s="225"/>
      <c r="G49" s="226"/>
      <c r="H49" s="227"/>
      <c r="I49" s="228"/>
      <c r="J49" s="229"/>
      <c r="K49" s="230"/>
      <c r="L49" s="231"/>
      <c r="M49" s="225"/>
      <c r="N49" s="226"/>
      <c r="O49" s="232"/>
      <c r="P49" s="233"/>
      <c r="Q49" s="220"/>
      <c r="R49" s="229"/>
      <c r="S49" s="230"/>
      <c r="T49" s="231"/>
      <c r="U49" s="234"/>
      <c r="V49" s="232"/>
      <c r="W49" s="233"/>
    </row>
    <row r="50" spans="1:23" ht="14.25" hidden="1" thickBot="1">
      <c r="A50" s="220"/>
      <c r="B50" s="221"/>
      <c r="C50" s="222"/>
      <c r="D50" s="223"/>
      <c r="E50" s="224"/>
      <c r="F50" s="225"/>
      <c r="G50" s="226"/>
      <c r="H50" s="227"/>
      <c r="I50" s="228"/>
      <c r="J50" s="229"/>
      <c r="K50" s="230"/>
      <c r="L50" s="231"/>
      <c r="M50" s="225"/>
      <c r="N50" s="226"/>
      <c r="O50" s="232"/>
      <c r="P50" s="233"/>
      <c r="Q50" s="220"/>
      <c r="R50" s="229"/>
      <c r="S50" s="230"/>
      <c r="T50" s="231"/>
      <c r="U50" s="234"/>
      <c r="V50" s="232"/>
      <c r="W50" s="233"/>
    </row>
    <row r="51" spans="1:23" ht="14.25" hidden="1" thickBot="1">
      <c r="A51" s="220"/>
      <c r="B51" s="221"/>
      <c r="C51" s="222"/>
      <c r="D51" s="223"/>
      <c r="E51" s="224"/>
      <c r="F51" s="225"/>
      <c r="G51" s="226"/>
      <c r="H51" s="227"/>
      <c r="I51" s="228"/>
      <c r="J51" s="229"/>
      <c r="K51" s="230"/>
      <c r="L51" s="231"/>
      <c r="M51" s="225"/>
      <c r="N51" s="226"/>
      <c r="O51" s="232"/>
      <c r="P51" s="233"/>
      <c r="Q51" s="220"/>
      <c r="R51" s="229"/>
      <c r="S51" s="230"/>
      <c r="T51" s="231"/>
      <c r="U51" s="234"/>
      <c r="V51" s="232"/>
      <c r="W51" s="233"/>
    </row>
    <row r="52" spans="1:23" ht="14.25" thickBot="1">
      <c r="A52" s="220"/>
      <c r="B52" s="221"/>
      <c r="C52" s="222"/>
      <c r="D52" s="223"/>
      <c r="E52" s="224"/>
      <c r="F52" s="225"/>
      <c r="G52" s="226"/>
      <c r="H52" s="227"/>
      <c r="I52" s="228"/>
      <c r="J52" s="229"/>
      <c r="K52" s="230"/>
      <c r="L52" s="231"/>
      <c r="M52" s="225"/>
      <c r="N52" s="226"/>
      <c r="O52" s="232"/>
      <c r="P52" s="233"/>
      <c r="Q52" s="220"/>
      <c r="R52" s="229"/>
      <c r="S52" s="230"/>
      <c r="T52" s="231"/>
      <c r="U52" s="234"/>
      <c r="V52" s="232"/>
      <c r="W52" s="233"/>
    </row>
    <row r="54" spans="1:23" ht="14.25" thickBot="1">
      <c r="A54" s="375">
        <v>2007</v>
      </c>
      <c r="B54" s="376"/>
      <c r="C54" s="376"/>
      <c r="D54" s="376"/>
      <c r="E54" s="376"/>
      <c r="F54" s="238">
        <f>SUM(F1:F53)</f>
        <v>590</v>
      </c>
      <c r="G54" s="239">
        <f>SUM(G1:G53)</f>
        <v>68111817.98</v>
      </c>
      <c r="H54" s="240">
        <f>SUM(H1:H53)</f>
        <v>8967433</v>
      </c>
      <c r="I54" s="237"/>
      <c r="J54" s="241"/>
      <c r="K54" s="242"/>
      <c r="L54" s="243"/>
      <c r="M54" s="238"/>
      <c r="N54" s="239"/>
      <c r="O54" s="240"/>
      <c r="P54" s="244"/>
      <c r="Q54" s="236"/>
      <c r="R54" s="241">
        <f>SUM(R1:R53)</f>
        <v>38944797.09</v>
      </c>
      <c r="S54" s="242">
        <f>SUM(S1:S53)</f>
        <v>5505008</v>
      </c>
      <c r="T54" s="243">
        <f>SUM(S54/H54)</f>
        <v>0.6138889468145455</v>
      </c>
      <c r="U54" s="245"/>
      <c r="V54" s="240"/>
      <c r="W54" s="244"/>
    </row>
    <row r="55" spans="1:23" s="389" customFormat="1" ht="14.25" thickBot="1">
      <c r="A55" s="377" t="s">
        <v>290</v>
      </c>
      <c r="B55" s="378"/>
      <c r="C55" s="378"/>
      <c r="D55" s="378"/>
      <c r="E55" s="378"/>
      <c r="F55" s="379">
        <v>493</v>
      </c>
      <c r="G55" s="380">
        <v>92832978.39</v>
      </c>
      <c r="H55" s="381">
        <v>13852318</v>
      </c>
      <c r="I55" s="382"/>
      <c r="J55" s="383"/>
      <c r="K55" s="384"/>
      <c r="L55" s="385"/>
      <c r="M55" s="379"/>
      <c r="N55" s="380"/>
      <c r="O55" s="381"/>
      <c r="P55" s="386"/>
      <c r="Q55" s="387"/>
      <c r="R55" s="383">
        <v>74335330.72</v>
      </c>
      <c r="S55" s="384">
        <v>11386865</v>
      </c>
      <c r="T55" s="385">
        <f>SUM(S55/H55)</f>
        <v>0.8220187408345665</v>
      </c>
      <c r="U55" s="388"/>
      <c r="V55" s="381"/>
      <c r="W55" s="386"/>
    </row>
  </sheetData>
  <mergeCells count="2">
    <mergeCell ref="A54:E54"/>
    <mergeCell ref="A55:E55"/>
  </mergeCells>
  <printOptions/>
  <pageMargins left="0.75" right="0.75" top="1" bottom="1" header="0.5" footer="0.5"/>
  <pageSetup orientation="portrait" paperSize="9"/>
  <ignoredErrors>
    <ignoredError sqref="B3 B7"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cp:lastModifiedBy>
  <cp:lastPrinted>2006-11-24T17:27:54Z</cp:lastPrinted>
  <dcterms:created xsi:type="dcterms:W3CDTF">2006-03-17T12:24:26Z</dcterms:created>
  <dcterms:modified xsi:type="dcterms:W3CDTF">2007-03-09T17:38:34Z</dcterms:modified>
  <cp:category/>
  <cp:version/>
  <cp:contentType/>
  <cp:contentStatus/>
</cp:coreProperties>
</file>