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699" activeTab="0"/>
  </bookViews>
  <sheets>
    <sheet name="02 - 08 Feb' (WK 06)" sheetId="1" r:id="rId1"/>
    <sheet name="29 Dec' - 08 Feb'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'02 - 08 Feb'' (WK 06)'!$A$1:$O$80</definedName>
    <definedName name="_xlnm.Print_Area" localSheetId="1">'29 Dec' - 08 Feb' (Annual)'!$A$1:$J$53</definedName>
  </definedNames>
  <calcPr fullCalcOnLoad="1"/>
</workbook>
</file>

<file path=xl/sharedStrings.xml><?xml version="1.0" encoding="utf-8"?>
<sst xmlns="http://schemas.openxmlformats.org/spreadsheetml/2006/main" count="1167" uniqueCount="268">
  <si>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</si>
  <si>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</si>
  <si>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</si>
  <si>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</si>
  <si>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</si>
  <si>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</si>
  <si>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</si>
  <si>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</si>
  <si>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</si>
  <si>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</si>
  <si>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</si>
  <si>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</si>
  <si>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</si>
  <si>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</si>
  <si>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</si>
  <si>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</si>
  <si>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</si>
  <si>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</si>
  <si>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</si>
  <si>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</si>
  <si>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</si>
  <si>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</si>
  <si>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</si>
  <si>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</si>
  <si>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</si>
  <si>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</si>
  <si>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</si>
  <si>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</si>
  <si>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</si>
  <si>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</si>
  <si>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</si>
  <si>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</si>
  <si>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</si>
  <si>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</si>
  <si>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</si>
  <si>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</si>
  <si>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</si>
  <si>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</si>
  <si>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</si>
  <si>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</si>
  <si>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</si>
  <si>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</si>
  <si>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</si>
  <si>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</si>
  <si>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</si>
  <si>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</si>
  <si>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</si>
  <si>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</si>
  <si>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</si>
  <si>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</si>
  <si>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</si>
  <si>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</si>
  <si>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</si>
  <si>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</si>
  <si>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</si>
  <si>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</si>
  <si>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</si>
  <si>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</si>
  <si>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</si>
  <si>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</si>
  <si>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</si>
  <si>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</si>
  <si>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</si>
  <si>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</si>
  <si>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</si>
  <si>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</si>
  <si>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</si>
  <si>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</si>
  <si>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</si>
  <si>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</si>
  <si>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</si>
  <si>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</si>
  <si>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</si>
  <si>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</si>
  <si>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</si>
  <si>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DEPARTED</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</si>
  <si>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</si>
  <si>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</si>
  <si>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</si>
  <si>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</si>
  <si>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</si>
  <si>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</si>
  <si>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</si>
  <si>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</si>
  <si>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</si>
  <si>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</si>
  <si>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</si>
  <si>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</si>
  <si>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</si>
  <si>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</si>
  <si>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</si>
  <si>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</si>
  <si>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</si>
  <si>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</si>
  <si>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</si>
  <si>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</si>
  <si>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</si>
  <si>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</si>
  <si>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</si>
  <si>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225</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</si>
  <si>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</si>
  <si>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</si>
  <si>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</si>
  <si>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</si>
  <si>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</si>
  <si>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</si>
  <si>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PRESTIGE</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</si>
  <si>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</si>
  <si>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</si>
  <si>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</si>
  <si>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</si>
  <si>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</si>
  <si>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</si>
  <si>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</si>
  <si>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</si>
  <si>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</si>
  <si>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</si>
  <si>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</si>
  <si>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</si>
  <si>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</si>
  <si>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</si>
  <si>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</si>
  <si>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</si>
  <si>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</si>
  <si>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</si>
  <si>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</si>
  <si>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</si>
  <si>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</si>
  <si>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</si>
  <si>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</si>
  <si>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</si>
  <si>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</si>
  <si>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</si>
  <si>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</si>
  <si>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</si>
  <si>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</si>
  <si>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</si>
  <si>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</si>
  <si>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</si>
  <si>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</si>
  <si>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</si>
  <si>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</si>
  <si>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</si>
  <si>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</si>
  <si>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</si>
  <si>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</si>
  <si>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</si>
  <si>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</si>
  <si>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</si>
  <si>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</si>
  <si>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</si>
  <si>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</si>
  <si>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</si>
  <si>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</si>
  <si>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</si>
  <si>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</si>
  <si>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</si>
  <si>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</si>
  <si>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</si>
  <si>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</si>
  <si>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</si>
  <si>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</si>
  <si>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</si>
  <si>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</si>
  <si>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</si>
  <si>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</si>
  <si>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LITTLE CHILDREN</t>
  </si>
  <si>
    <t>30</t>
  </si>
  <si>
    <t>MAN OF THE YEAR</t>
  </si>
  <si>
    <t>EVERYONE'S HERO</t>
  </si>
  <si>
    <t>12:08 EAST OF BUCHAREST</t>
  </si>
  <si>
    <t>PARADISE NOW</t>
  </si>
  <si>
    <t>ROBOTS</t>
  </si>
  <si>
    <t>PINK PANTHER</t>
  </si>
  <si>
    <t>WOLF CREEK</t>
  </si>
  <si>
    <t>UNUTULMAYANLAR</t>
  </si>
  <si>
    <t>AKADEMI</t>
  </si>
  <si>
    <t>7</t>
  </si>
  <si>
    <t>CLICK</t>
  </si>
  <si>
    <t>CRANK</t>
  </si>
  <si>
    <t>ÖZEN</t>
  </si>
  <si>
    <t>12-18</t>
  </si>
  <si>
    <t>Maskeli Beşler I.R.A.K</t>
  </si>
  <si>
    <t>HOLIDAY, THE</t>
  </si>
  <si>
    <t>*Dağıtımcı firmalardan Barbar Film ve R Film bu hafta film  dağıtmamıştır.</t>
  </si>
  <si>
    <t>19-25</t>
  </si>
  <si>
    <t>Son Osmanlı "Yandım Ali"</t>
  </si>
  <si>
    <t>MASKELİ BEŞLER I.R.A.K</t>
  </si>
  <si>
    <t>ARZU - FIDA</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</si>
  <si>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</si>
  <si>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</si>
  <si>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</si>
  <si>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</si>
  <si>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</si>
  <si>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</si>
  <si>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</si>
  <si>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</si>
  <si>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</si>
  <si>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</si>
  <si>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</si>
  <si>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</si>
  <si>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</si>
  <si>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</si>
  <si>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</si>
  <si>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</si>
  <si>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</si>
  <si>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</si>
  <si>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</si>
  <si>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</si>
  <si>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</si>
  <si>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</si>
  <si>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</si>
  <si>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</si>
  <si>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6</t>
  </si>
  <si>
    <t>5</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</si>
  <si>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</si>
  <si>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</si>
  <si>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</si>
  <si>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</si>
  <si>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</si>
  <si>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</si>
  <si>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</si>
  <si>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</si>
  <si>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</si>
  <si>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</si>
  <si>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</si>
  <si>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</si>
  <si>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</si>
  <si>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</si>
  <si>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</si>
  <si>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</si>
  <si>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</si>
  <si>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</si>
  <si>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AKSOY</t>
  </si>
  <si>
    <t>AMERİKALILAR KARADENİZ'DE 2</t>
  </si>
  <si>
    <t>ENERGY</t>
  </si>
  <si>
    <t>163</t>
  </si>
  <si>
    <t>BLOOD DIAMOND</t>
  </si>
  <si>
    <t>059 FILMS SHOWN</t>
  </si>
  <si>
    <t>9</t>
  </si>
  <si>
    <t>12</t>
  </si>
  <si>
    <t>02-08</t>
  </si>
  <si>
    <t>JOYEUX NOEL</t>
  </si>
  <si>
    <t>LES TEXTILES</t>
  </si>
  <si>
    <t>REEKER, THE</t>
  </si>
  <si>
    <t>STOLEN EYES</t>
  </si>
  <si>
    <t>YAKA FILM</t>
  </si>
  <si>
    <r>
      <t>2006 Türkiye Ex Years Releases Annual Box Office Report</t>
    </r>
    <r>
      <rPr>
        <sz val="26"/>
        <color indexed="9"/>
        <rFont val="Impact"/>
        <family val="2"/>
      </rPr>
      <t xml:space="preserve">  </t>
    </r>
    <r>
      <rPr>
        <sz val="16"/>
        <color indexed="9"/>
        <rFont val="Impact"/>
        <family val="2"/>
      </rPr>
      <t>29 Dec' 06 - 08 Feb' '07</t>
    </r>
  </si>
  <si>
    <r>
      <t xml:space="preserve">2006 Türkiye Annual Box Office Report  </t>
    </r>
    <r>
      <rPr>
        <sz val="16"/>
        <color indexed="9"/>
        <rFont val="Impact"/>
        <family val="2"/>
      </rPr>
      <t>29 Dec' '06 - 08 Feb' '07</t>
    </r>
  </si>
  <si>
    <t>CILGIN DERSANE</t>
  </si>
  <si>
    <t>4</t>
  </si>
  <si>
    <t>BARDA</t>
  </si>
  <si>
    <t>FILMAKAR</t>
  </si>
  <si>
    <t>55</t>
  </si>
  <si>
    <t>FILM POP</t>
  </si>
  <si>
    <t>INCONVENIENT TRUTH, AN</t>
  </si>
  <si>
    <t>UMUT- OZEN</t>
  </si>
  <si>
    <t>MISTRESS OF SPICES</t>
  </si>
  <si>
    <t>JOSHUA THE JEW</t>
  </si>
  <si>
    <t>051 FILMS SHOWN</t>
  </si>
  <si>
    <t>162</t>
  </si>
  <si>
    <t>56</t>
  </si>
  <si>
    <t>52</t>
  </si>
  <si>
    <t>17</t>
  </si>
  <si>
    <t>16</t>
  </si>
  <si>
    <t>45</t>
  </si>
  <si>
    <t>8</t>
  </si>
  <si>
    <t>13</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</si>
</sst>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60">
    <border>
      <left/>
      <right/>
      <top/>
      <bottom/>
      <diagonal/>
    </border>
    <border>
      <left style="hair"/>
      <right style="hair"/>
      <top style="hair"/>
      <bottom style="hair"/>
    </border>
    <border>
      <left style="hair"/>
      <right style="medium"/>
      <top style="hair"/>
      <bottom style="hair"/>
    </border>
    <border>
      <left style="thin"/>
      <right style="thin"/>
      <top style="thin"/>
      <bottom style="medium"/>
    </border>
    <border>
      <left style="thin"/>
      <right style="medium"/>
      <top style="thin"/>
      <bottom style="medium"/>
    </border>
    <border>
      <left style="thin"/>
      <right style="thin"/>
      <top style="medium"/>
      <bottom style="thin"/>
    </border>
    <border>
      <left style="hair"/>
      <right style="hair"/>
      <top style="hair"/>
      <bottom style="medium"/>
    </border>
    <border>
      <left style="hair"/>
      <right style="medium"/>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color indexed="63"/>
      </top>
      <bottom style="hair"/>
    </border>
    <border>
      <left style="medium"/>
      <right style="hair"/>
      <top style="hair"/>
      <bottom style="thin"/>
    </border>
    <border>
      <left style="medium"/>
      <right>
        <color indexed="63"/>
      </right>
      <top>
        <color indexed="63"/>
      </top>
      <bottom style="hair"/>
    </border>
    <border>
      <left style="medium"/>
      <right>
        <color indexed="63"/>
      </right>
      <top style="hair"/>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6">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9" fillId="2" borderId="1" xfId="0" applyFont="1" applyFill="1" applyBorder="1" applyAlignment="1">
      <alignment vertical="center"/>
    </xf>
    <xf numFmtId="18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192" fontId="19"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9"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187" fontId="19" fillId="2" borderId="1"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9" fillId="2" borderId="2"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2" fillId="0" borderId="0" xfId="0" applyNumberFormat="1" applyFont="1" applyFill="1" applyBorder="1" applyAlignment="1" applyProtection="1">
      <alignment horizontal="right" vertical="center"/>
      <protection/>
    </xf>
    <xf numFmtId="187" fontId="18" fillId="2" borderId="1" xfId="0" applyNumberFormat="1" applyFont="1" applyFill="1" applyBorder="1" applyAlignment="1">
      <alignment horizontal="right" vertical="center"/>
    </xf>
    <xf numFmtId="187" fontId="23" fillId="0" borderId="0" xfId="0"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horizontal="right" vertical="center"/>
      <protection locked="0"/>
    </xf>
    <xf numFmtId="187" fontId="29" fillId="0" borderId="3" xfId="0" applyNumberFormat="1" applyFont="1" applyFill="1" applyBorder="1" applyAlignment="1" applyProtection="1">
      <alignment horizontal="center" wrapText="1"/>
      <protection/>
    </xf>
    <xf numFmtId="193" fontId="29" fillId="0" borderId="3" xfId="0" applyNumberFormat="1" applyFont="1" applyFill="1" applyBorder="1" applyAlignment="1" applyProtection="1">
      <alignment horizontal="center" wrapText="1"/>
      <protection/>
    </xf>
    <xf numFmtId="192" fontId="29" fillId="0" borderId="3" xfId="0" applyNumberFormat="1" applyFont="1" applyFill="1" applyBorder="1" applyAlignment="1" applyProtection="1">
      <alignment horizontal="center" wrapText="1"/>
      <protection/>
    </xf>
    <xf numFmtId="192" fontId="29" fillId="0" borderId="4" xfId="0" applyNumberFormat="1" applyFont="1" applyFill="1" applyBorder="1" applyAlignment="1" applyProtection="1">
      <alignment horizontal="center" wrapText="1"/>
      <protection/>
    </xf>
    <xf numFmtId="0" fontId="29" fillId="0" borderId="5" xfId="0" applyNumberFormat="1" applyFont="1" applyFill="1" applyBorder="1" applyAlignment="1" applyProtection="1">
      <alignment horizontal="center" vertical="center" wrapText="1"/>
      <protection/>
    </xf>
    <xf numFmtId="4" fontId="32" fillId="0" borderId="1" xfId="0" applyNumberFormat="1" applyFont="1" applyFill="1" applyBorder="1" applyAlignment="1" applyProtection="1">
      <alignment horizontal="right" vertical="center" indent="1"/>
      <protection locked="0"/>
    </xf>
    <xf numFmtId="193" fontId="34" fillId="0" borderId="1" xfId="0" applyNumberFormat="1" applyFont="1" applyFill="1" applyBorder="1" applyAlignment="1" applyProtection="1">
      <alignment horizontal="right" vertical="center" indent="1"/>
      <protection locked="0"/>
    </xf>
    <xf numFmtId="192" fontId="34" fillId="0" borderId="2" xfId="0" applyNumberFormat="1" applyFont="1" applyFill="1" applyBorder="1" applyAlignment="1" applyProtection="1">
      <alignment horizontal="center" vertical="center"/>
      <protection locked="0"/>
    </xf>
    <xf numFmtId="4" fontId="32" fillId="0" borderId="6" xfId="0" applyNumberFormat="1" applyFont="1" applyFill="1" applyBorder="1" applyAlignment="1" applyProtection="1">
      <alignment horizontal="right" vertical="center" indent="1"/>
      <protection locked="0"/>
    </xf>
    <xf numFmtId="193" fontId="34" fillId="0" borderId="6" xfId="0" applyNumberFormat="1" applyFont="1" applyFill="1" applyBorder="1" applyAlignment="1" applyProtection="1">
      <alignment horizontal="right" vertical="center" indent="1"/>
      <protection locked="0"/>
    </xf>
    <xf numFmtId="192" fontId="34" fillId="0" borderId="7" xfId="0" applyNumberFormat="1"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4" fillId="0" borderId="9" xfId="0" applyFont="1" applyFill="1" applyBorder="1" applyAlignment="1" applyProtection="1">
      <alignment horizontal="right" vertical="center"/>
      <protection locked="0"/>
    </xf>
    <xf numFmtId="0" fontId="34" fillId="0" borderId="10" xfId="0" applyFont="1" applyFill="1" applyBorder="1" applyAlignment="1" applyProtection="1">
      <alignment horizontal="right" vertical="center"/>
      <protection locked="0"/>
    </xf>
    <xf numFmtId="1" fontId="35" fillId="0" borderId="11" xfId="0" applyNumberFormat="1" applyFont="1" applyFill="1" applyBorder="1" applyAlignment="1" applyProtection="1">
      <alignment horizontal="right" vertical="center"/>
      <protection locked="0"/>
    </xf>
    <xf numFmtId="1" fontId="35" fillId="0" borderId="12" xfId="0" applyNumberFormat="1" applyFont="1" applyFill="1" applyBorder="1" applyAlignment="1" applyProtection="1">
      <alignment horizontal="right" vertical="center"/>
      <protection/>
    </xf>
    <xf numFmtId="1" fontId="35" fillId="0" borderId="13" xfId="0" applyNumberFormat="1" applyFont="1" applyFill="1" applyBorder="1" applyAlignment="1" applyProtection="1">
      <alignment horizontal="right" vertical="center"/>
      <protection/>
    </xf>
    <xf numFmtId="1" fontId="35" fillId="0" borderId="14" xfId="0" applyNumberFormat="1" applyFont="1" applyFill="1" applyBorder="1" applyAlignment="1" applyProtection="1">
      <alignment horizontal="right" vertical="center"/>
      <protection/>
    </xf>
    <xf numFmtId="0" fontId="34" fillId="0" borderId="15" xfId="0" applyFont="1" applyFill="1" applyBorder="1" applyAlignment="1" applyProtection="1">
      <alignment horizontal="right" vertical="center"/>
      <protection locked="0"/>
    </xf>
    <xf numFmtId="4" fontId="32" fillId="0" borderId="16" xfId="0" applyNumberFormat="1" applyFont="1" applyFill="1" applyBorder="1" applyAlignment="1" applyProtection="1">
      <alignment horizontal="right" vertical="center" indent="1"/>
      <protection locked="0"/>
    </xf>
    <xf numFmtId="193" fontId="34" fillId="0" borderId="16" xfId="0" applyNumberFormat="1" applyFont="1" applyFill="1" applyBorder="1" applyAlignment="1" applyProtection="1">
      <alignment horizontal="right" vertical="center" indent="1"/>
      <protection locked="0"/>
    </xf>
    <xf numFmtId="1" fontId="35" fillId="0" borderId="17" xfId="0" applyNumberFormat="1" applyFont="1" applyFill="1" applyBorder="1" applyAlignment="1" applyProtection="1">
      <alignment horizontal="right" vertical="center"/>
      <protection locked="0"/>
    </xf>
    <xf numFmtId="0" fontId="32" fillId="0" borderId="18" xfId="0" applyFont="1" applyFill="1" applyBorder="1" applyAlignment="1" applyProtection="1">
      <alignment horizontal="center" vertical="center"/>
      <protection locked="0"/>
    </xf>
    <xf numFmtId="184" fontId="32" fillId="0" borderId="19" xfId="0" applyNumberFormat="1"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8" fillId="0" borderId="21" xfId="0" applyNumberFormat="1" applyFont="1" applyFill="1" applyBorder="1" applyAlignment="1" applyProtection="1">
      <alignment horizontal="center" vertical="center" wrapText="1"/>
      <protection/>
    </xf>
    <xf numFmtId="1" fontId="30" fillId="0" borderId="22" xfId="0" applyNumberFormat="1" applyFont="1" applyFill="1" applyBorder="1" applyAlignment="1" applyProtection="1">
      <alignment horizontal="center" vertical="center" wrapText="1"/>
      <protection/>
    </xf>
    <xf numFmtId="187" fontId="29" fillId="0" borderId="23" xfId="0" applyNumberFormat="1" applyFont="1" applyFill="1" applyBorder="1" applyAlignment="1" applyProtection="1">
      <alignment horizontal="center" vertical="center" wrapText="1"/>
      <protection/>
    </xf>
    <xf numFmtId="193" fontId="29" fillId="0" borderId="23"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193" fontId="39"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40" fillId="0" borderId="0" xfId="0" applyNumberFormat="1" applyFont="1" applyFill="1" applyBorder="1" applyAlignment="1" applyProtection="1">
      <alignment horizontal="right" vertical="center"/>
      <protection locked="0"/>
    </xf>
    <xf numFmtId="0" fontId="26" fillId="0" borderId="21" xfId="0" applyFont="1" applyFill="1" applyBorder="1" applyAlignment="1">
      <alignment horizontal="center" vertical="center"/>
    </xf>
    <xf numFmtId="0" fontId="27" fillId="0" borderId="22" xfId="0" applyFont="1" applyFill="1" applyBorder="1" applyAlignment="1">
      <alignment horizontal="center" vertical="center"/>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29" fillId="0" borderId="21" xfId="0" applyFont="1" applyFill="1" applyBorder="1" applyAlignment="1">
      <alignment horizontal="center" vertical="center"/>
    </xf>
    <xf numFmtId="0" fontId="29" fillId="0" borderId="23" xfId="0" applyNumberFormat="1" applyFont="1" applyFill="1" applyBorder="1" applyAlignment="1">
      <alignment horizontal="center" wrapText="1"/>
    </xf>
    <xf numFmtId="0" fontId="36" fillId="0" borderId="24" xfId="0" applyFont="1" applyFill="1" applyBorder="1" applyAlignment="1">
      <alignment horizontal="center" vertical="center"/>
    </xf>
    <xf numFmtId="1" fontId="26" fillId="0" borderId="25"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9" fillId="2" borderId="16" xfId="0" applyNumberFormat="1" applyFont="1" applyFill="1" applyBorder="1" applyAlignment="1">
      <alignment horizontal="center" vertical="center"/>
    </xf>
    <xf numFmtId="0" fontId="19" fillId="2" borderId="16" xfId="0" applyFont="1" applyFill="1" applyBorder="1" applyAlignment="1">
      <alignment horizontal="center" vertical="center"/>
    </xf>
    <xf numFmtId="0" fontId="19" fillId="2" borderId="16" xfId="0" applyFont="1" applyFill="1" applyBorder="1" applyAlignment="1">
      <alignment vertical="center"/>
    </xf>
    <xf numFmtId="3" fontId="19" fillId="2" borderId="16" xfId="0" applyNumberFormat="1" applyFont="1" applyFill="1" applyBorder="1" applyAlignment="1">
      <alignment horizontal="center" vertical="center"/>
    </xf>
    <xf numFmtId="187" fontId="18" fillId="2" borderId="16" xfId="0" applyNumberFormat="1" applyFont="1" applyFill="1" applyBorder="1" applyAlignment="1">
      <alignment horizontal="right" vertical="center"/>
    </xf>
    <xf numFmtId="193" fontId="18" fillId="2" borderId="16" xfId="0" applyNumberFormat="1" applyFont="1" applyFill="1" applyBorder="1" applyAlignment="1">
      <alignment horizontal="right" vertical="center"/>
    </xf>
    <xf numFmtId="193" fontId="19" fillId="2" borderId="16" xfId="0" applyNumberFormat="1" applyFont="1" applyFill="1" applyBorder="1" applyAlignment="1">
      <alignment horizontal="right" vertical="center"/>
    </xf>
    <xf numFmtId="192" fontId="19" fillId="2" borderId="16" xfId="0" applyNumberFormat="1" applyFont="1" applyFill="1" applyBorder="1" applyAlignment="1">
      <alignment vertical="center"/>
    </xf>
    <xf numFmtId="187" fontId="19" fillId="2" borderId="16" xfId="0" applyNumberFormat="1" applyFont="1" applyFill="1" applyBorder="1" applyAlignment="1">
      <alignment horizontal="right" vertical="center"/>
    </xf>
    <xf numFmtId="192" fontId="19" fillId="2" borderId="26" xfId="0" applyNumberFormat="1" applyFont="1" applyFill="1" applyBorder="1" applyAlignment="1">
      <alignment horizontal="right" vertical="center"/>
    </xf>
    <xf numFmtId="0" fontId="42" fillId="0" borderId="0" xfId="0" applyFont="1" applyFill="1" applyBorder="1" applyAlignment="1" applyProtection="1">
      <alignment vertical="center"/>
      <protection locked="0"/>
    </xf>
    <xf numFmtId="184" fontId="16" fillId="0" borderId="1" xfId="0" applyNumberFormat="1" applyFont="1" applyFill="1" applyBorder="1" applyAlignment="1" applyProtection="1">
      <alignment horizontal="center" vertical="center"/>
      <protection locked="0"/>
    </xf>
    <xf numFmtId="18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84" fontId="16" fillId="0" borderId="1" xfId="0" applyNumberFormat="1" applyFont="1" applyFill="1" applyBorder="1" applyAlignment="1" applyProtection="1">
      <alignment horizontal="center" vertical="center"/>
      <protection/>
    </xf>
    <xf numFmtId="3" fontId="16" fillId="0" borderId="1" xfId="0" applyNumberFormat="1" applyFont="1" applyFill="1" applyBorder="1" applyAlignment="1">
      <alignment horizontal="center" vertical="center"/>
    </xf>
    <xf numFmtId="0" fontId="16" fillId="0" borderId="27" xfId="0" applyFont="1" applyFill="1" applyBorder="1" applyAlignment="1" applyProtection="1">
      <alignment horizontal="left" vertical="center"/>
      <protection/>
    </xf>
    <xf numFmtId="193" fontId="43" fillId="0" borderId="1"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xf>
    <xf numFmtId="0" fontId="14" fillId="0" borderId="0" xfId="0" applyFont="1" applyAlignment="1">
      <alignment vertical="center" readingOrder="1"/>
    </xf>
    <xf numFmtId="0" fontId="16" fillId="0" borderId="1" xfId="0" applyFont="1" applyFill="1" applyBorder="1" applyAlignment="1" applyProtection="1">
      <alignment horizontal="left" vertical="center"/>
      <protection locked="0"/>
    </xf>
    <xf numFmtId="18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49"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xf>
    <xf numFmtId="49" fontId="16" fillId="0" borderId="1" xfId="0" applyNumberFormat="1" applyFont="1" applyFill="1" applyBorder="1" applyAlignment="1">
      <alignment horizontal="left" vertical="center"/>
    </xf>
    <xf numFmtId="197" fontId="16" fillId="0" borderId="1"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43" fillId="0" borderId="28" xfId="0" applyFont="1" applyFill="1" applyBorder="1" applyAlignment="1" applyProtection="1">
      <alignment horizontal="right" vertical="center"/>
      <protection/>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horizontal="center" vertical="center"/>
    </xf>
    <xf numFmtId="3" fontId="16" fillId="0" borderId="30" xfId="0" applyNumberFormat="1" applyFont="1" applyBorder="1" applyAlignment="1">
      <alignment horizontal="center" vertical="center"/>
    </xf>
    <xf numFmtId="187" fontId="43" fillId="0" borderId="30" xfId="0" applyNumberFormat="1" applyFont="1" applyBorder="1" applyAlignment="1">
      <alignment horizontal="right" vertical="center"/>
    </xf>
    <xf numFmtId="193" fontId="43" fillId="0" borderId="30" xfId="0" applyNumberFormat="1" applyFont="1" applyBorder="1" applyAlignment="1">
      <alignment vertical="center"/>
    </xf>
    <xf numFmtId="192" fontId="16" fillId="0" borderId="31" xfId="0" applyNumberFormat="1" applyFont="1" applyBorder="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3" fontId="16" fillId="0" borderId="1" xfId="0" applyNumberFormat="1" applyFont="1" applyBorder="1" applyAlignment="1">
      <alignment horizontal="center" vertical="center"/>
    </xf>
    <xf numFmtId="187" fontId="43" fillId="0" borderId="1" xfId="0" applyNumberFormat="1" applyFont="1" applyBorder="1" applyAlignment="1">
      <alignment horizontal="right" vertical="center"/>
    </xf>
    <xf numFmtId="193" fontId="43" fillId="0" borderId="1" xfId="0" applyNumberFormat="1" applyFont="1" applyBorder="1" applyAlignment="1">
      <alignment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87" fontId="18" fillId="2"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3"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6" fillId="0" borderId="0" xfId="0" applyNumberFormat="1" applyFont="1" applyBorder="1" applyAlignment="1">
      <alignment vertical="center"/>
    </xf>
    <xf numFmtId="193" fontId="0" fillId="0" borderId="0" xfId="0" applyNumberFormat="1" applyBorder="1" applyAlignment="1">
      <alignment vertical="center"/>
    </xf>
    <xf numFmtId="49" fontId="16" fillId="0" borderId="27" xfId="0" applyNumberFormat="1" applyFont="1" applyFill="1" applyBorder="1" applyAlignment="1" applyProtection="1">
      <alignment vertical="center"/>
      <protection locked="0"/>
    </xf>
    <xf numFmtId="0" fontId="16" fillId="0" borderId="1" xfId="0" applyFont="1" applyFill="1" applyBorder="1" applyAlignment="1">
      <alignment horizontal="left"/>
    </xf>
    <xf numFmtId="0" fontId="16" fillId="0" borderId="27" xfId="0" applyFont="1" applyFill="1" applyBorder="1" applyAlignment="1" applyProtection="1">
      <alignment vertical="center"/>
      <protection locked="0"/>
    </xf>
    <xf numFmtId="0" fontId="16" fillId="0" borderId="27" xfId="0" applyFont="1" applyFill="1" applyBorder="1" applyAlignment="1">
      <alignment horizontal="left"/>
    </xf>
    <xf numFmtId="0" fontId="16" fillId="0" borderId="27" xfId="0" applyFont="1" applyFill="1" applyBorder="1" applyAlignment="1">
      <alignment vertical="center"/>
    </xf>
    <xf numFmtId="49" fontId="16" fillId="0" borderId="27" xfId="0" applyNumberFormat="1" applyFont="1" applyFill="1" applyBorder="1" applyAlignment="1">
      <alignment vertical="center"/>
    </xf>
    <xf numFmtId="184" fontId="16" fillId="0" borderId="1" xfId="0" applyNumberFormat="1" applyFont="1" applyFill="1" applyBorder="1" applyAlignment="1">
      <alignment horizontal="center"/>
    </xf>
    <xf numFmtId="184" fontId="0" fillId="0" borderId="0" xfId="0" applyNumberFormat="1" applyAlignment="1">
      <alignment horizontal="center" vertical="center"/>
    </xf>
    <xf numFmtId="49" fontId="34" fillId="0" borderId="16"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193" fontId="43" fillId="0" borderId="2" xfId="15" applyNumberFormat="1" applyFont="1" applyFill="1" applyBorder="1" applyAlignment="1" applyProtection="1">
      <alignment horizontal="right" vertical="center"/>
      <protection locked="0"/>
    </xf>
    <xf numFmtId="193" fontId="43" fillId="0" borderId="2" xfId="0" applyNumberFormat="1" applyFont="1" applyFill="1" applyBorder="1" applyAlignment="1">
      <alignment horizontal="right"/>
    </xf>
    <xf numFmtId="193" fontId="43" fillId="0" borderId="2" xfId="15" applyNumberFormat="1" applyFont="1" applyFill="1" applyBorder="1" applyAlignment="1" applyProtection="1">
      <alignment horizontal="right" vertical="center"/>
      <protection/>
    </xf>
    <xf numFmtId="193" fontId="43" fillId="0" borderId="2" xfId="0" applyNumberFormat="1" applyFont="1" applyFill="1" applyBorder="1" applyAlignment="1">
      <alignment horizontal="right" vertical="center"/>
    </xf>
    <xf numFmtId="193" fontId="43" fillId="0" borderId="2" xfId="0" applyNumberFormat="1" applyFont="1" applyFill="1" applyBorder="1" applyAlignment="1" applyProtection="1">
      <alignment horizontal="right" vertical="center"/>
      <protection/>
    </xf>
    <xf numFmtId="193" fontId="43" fillId="0" borderId="2" xfId="0" applyNumberFormat="1" applyFont="1" applyFill="1" applyBorder="1" applyAlignment="1" applyProtection="1">
      <alignment horizontal="right" vertical="center"/>
      <protection locked="0"/>
    </xf>
    <xf numFmtId="0" fontId="43" fillId="0" borderId="27" xfId="0" applyFont="1" applyFill="1" applyBorder="1" applyAlignment="1" applyProtection="1">
      <alignment horizontal="right" vertical="center"/>
      <protection/>
    </xf>
    <xf numFmtId="192" fontId="16" fillId="0" borderId="2" xfId="0" applyNumberFormat="1" applyFont="1" applyBorder="1" applyAlignment="1">
      <alignment vertical="center"/>
    </xf>
    <xf numFmtId="192" fontId="18" fillId="2" borderId="2" xfId="0" applyNumberFormat="1" applyFont="1" applyFill="1" applyBorder="1" applyAlignment="1">
      <alignment horizontal="center" vertical="center"/>
    </xf>
    <xf numFmtId="0" fontId="43" fillId="0" borderId="27" xfId="0" applyFont="1" applyFill="1" applyBorder="1" applyAlignment="1">
      <alignment horizontal="right" vertical="center"/>
    </xf>
    <xf numFmtId="0" fontId="26" fillId="2" borderId="27" xfId="0" applyFont="1" applyFill="1" applyBorder="1" applyAlignment="1">
      <alignment horizontal="center" vertical="center"/>
    </xf>
    <xf numFmtId="0" fontId="43" fillId="3" borderId="32" xfId="0" applyFont="1" applyFill="1" applyBorder="1" applyAlignment="1">
      <alignment vertical="center"/>
    </xf>
    <xf numFmtId="0" fontId="43" fillId="3" borderId="6" xfId="0" applyFont="1" applyFill="1" applyBorder="1" applyAlignment="1">
      <alignment vertical="center"/>
    </xf>
    <xf numFmtId="187" fontId="43" fillId="3" borderId="6" xfId="0" applyNumberFormat="1" applyFont="1" applyFill="1" applyBorder="1" applyAlignment="1">
      <alignment vertical="center"/>
    </xf>
    <xf numFmtId="193" fontId="43" fillId="3" borderId="6" xfId="0" applyNumberFormat="1" applyFont="1" applyFill="1" applyBorder="1" applyAlignment="1">
      <alignment vertical="center"/>
    </xf>
    <xf numFmtId="192" fontId="43" fillId="3" borderId="7" xfId="0" applyNumberFormat="1" applyFont="1" applyFill="1" applyBorder="1" applyAlignment="1">
      <alignment vertical="center"/>
    </xf>
    <xf numFmtId="193" fontId="14" fillId="0" borderId="0" xfId="0" applyNumberFormat="1" applyFont="1" applyFill="1" applyBorder="1" applyAlignment="1">
      <alignment horizontal="right" vertical="center"/>
    </xf>
    <xf numFmtId="193"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wrapText="1"/>
    </xf>
    <xf numFmtId="193" fontId="14" fillId="0" borderId="0" xfId="0" applyNumberFormat="1" applyFont="1" applyAlignment="1">
      <alignment/>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NumberFormat="1" applyFont="1" applyFill="1" applyBorder="1" applyAlignment="1" applyProtection="1">
      <alignment horizontal="left" vertical="center"/>
      <protection/>
    </xf>
    <xf numFmtId="0" fontId="16" fillId="0" borderId="27" xfId="0" applyNumberFormat="1" applyFont="1" applyFill="1" applyBorder="1" applyAlignment="1" applyProtection="1">
      <alignment vertical="center"/>
      <protection locked="0"/>
    </xf>
    <xf numFmtId="0" fontId="16" fillId="0" borderId="27" xfId="0" applyNumberFormat="1" applyFont="1" applyFill="1" applyBorder="1" applyAlignment="1">
      <alignment vertical="center"/>
    </xf>
    <xf numFmtId="0" fontId="16" fillId="0" borderId="27" xfId="0" applyNumberFormat="1" applyFont="1" applyFill="1" applyBorder="1" applyAlignment="1" applyProtection="1">
      <alignment vertical="center"/>
      <protection/>
    </xf>
    <xf numFmtId="184" fontId="16" fillId="0" borderId="33" xfId="0" applyNumberFormat="1" applyFont="1" applyFill="1" applyBorder="1" applyAlignment="1">
      <alignment horizontal="center" vertical="center"/>
    </xf>
    <xf numFmtId="0" fontId="27" fillId="0" borderId="24" xfId="0" applyFont="1" applyFill="1" applyBorder="1" applyAlignment="1">
      <alignment horizontal="center" vertical="center"/>
    </xf>
    <xf numFmtId="0" fontId="18" fillId="2" borderId="16" xfId="0" applyFont="1" applyFill="1" applyBorder="1" applyAlignment="1">
      <alignment horizontal="center" vertical="center"/>
    </xf>
    <xf numFmtId="3" fontId="18" fillId="2" borderId="16" xfId="0" applyNumberFormat="1" applyFont="1" applyFill="1" applyBorder="1" applyAlignment="1">
      <alignment horizontal="center" vertical="center"/>
    </xf>
    <xf numFmtId="187" fontId="18" fillId="2" borderId="16" xfId="0" applyNumberFormat="1" applyFont="1" applyFill="1" applyBorder="1" applyAlignment="1">
      <alignment horizontal="center" vertical="center"/>
    </xf>
    <xf numFmtId="193" fontId="18" fillId="2" borderId="16" xfId="0" applyNumberFormat="1" applyFont="1" applyFill="1" applyBorder="1" applyAlignment="1">
      <alignment horizontal="center" vertical="center"/>
    </xf>
    <xf numFmtId="192" fontId="18" fillId="2" borderId="26" xfId="0" applyNumberFormat="1" applyFont="1" applyFill="1" applyBorder="1" applyAlignment="1">
      <alignment horizontal="center" vertical="center"/>
    </xf>
    <xf numFmtId="0" fontId="26" fillId="0" borderId="34" xfId="0" applyFont="1" applyFill="1" applyBorder="1" applyAlignment="1" applyProtection="1">
      <alignment horizontal="right" vertical="center"/>
      <protection/>
    </xf>
    <xf numFmtId="0" fontId="43" fillId="3" borderId="6" xfId="0" applyFont="1" applyFill="1" applyBorder="1" applyAlignment="1">
      <alignment horizontal="center" vertical="center"/>
    </xf>
    <xf numFmtId="0" fontId="26" fillId="0" borderId="25" xfId="0" applyFont="1" applyFill="1" applyBorder="1" applyAlignment="1">
      <alignment horizontal="right" vertical="center"/>
    </xf>
    <xf numFmtId="193" fontId="29" fillId="0" borderId="4" xfId="0" applyNumberFormat="1" applyFont="1" applyFill="1" applyBorder="1" applyAlignment="1" applyProtection="1">
      <alignment horizontal="center" vertical="center" wrapText="1"/>
      <protection/>
    </xf>
    <xf numFmtId="0" fontId="26" fillId="0" borderId="35" xfId="0" applyFont="1" applyFill="1" applyBorder="1" applyAlignment="1" applyProtection="1">
      <alignment horizontal="right" vertical="center"/>
      <protection/>
    </xf>
    <xf numFmtId="193" fontId="43" fillId="0" borderId="36" xfId="0" applyNumberFormat="1" applyFont="1" applyFill="1" applyBorder="1" applyAlignment="1">
      <alignment vertical="center"/>
    </xf>
    <xf numFmtId="193" fontId="43" fillId="0" borderId="2" xfId="15" applyNumberFormat="1" applyFont="1" applyFill="1" applyBorder="1" applyAlignment="1" applyProtection="1">
      <alignment vertical="center"/>
      <protection locked="0"/>
    </xf>
    <xf numFmtId="193" fontId="43" fillId="0" borderId="2" xfId="0" applyNumberFormat="1" applyFont="1" applyFill="1" applyBorder="1" applyAlignment="1">
      <alignment vertical="center"/>
    </xf>
    <xf numFmtId="193" fontId="43" fillId="0" borderId="2" xfId="15"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locked="0"/>
    </xf>
    <xf numFmtId="0" fontId="16" fillId="0" borderId="32" xfId="0" applyFont="1" applyFill="1" applyBorder="1" applyAlignment="1">
      <alignment horizontal="left"/>
    </xf>
    <xf numFmtId="184" fontId="16" fillId="0" borderId="6" xfId="0" applyNumberFormat="1" applyFont="1" applyFill="1" applyBorder="1" applyAlignment="1">
      <alignment horizontal="center"/>
    </xf>
    <xf numFmtId="0" fontId="16" fillId="0" borderId="6" xfId="0" applyFont="1" applyFill="1" applyBorder="1" applyAlignment="1">
      <alignment horizontal="left" vertical="center"/>
    </xf>
    <xf numFmtId="0" fontId="16" fillId="0" borderId="6" xfId="0" applyFont="1" applyFill="1" applyBorder="1" applyAlignment="1">
      <alignment horizontal="left"/>
    </xf>
    <xf numFmtId="193" fontId="43" fillId="0" borderId="7" xfId="0" applyNumberFormat="1" applyFont="1" applyFill="1" applyBorder="1" applyAlignment="1">
      <alignment horizontal="right"/>
    </xf>
    <xf numFmtId="0" fontId="35" fillId="4" borderId="37" xfId="0" applyFont="1" applyFill="1" applyBorder="1" applyAlignment="1">
      <alignment horizontal="right"/>
    </xf>
    <xf numFmtId="49" fontId="35" fillId="4" borderId="38" xfId="0" applyNumberFormat="1" applyFont="1" applyFill="1" applyBorder="1" applyAlignment="1">
      <alignment horizontal="right"/>
    </xf>
    <xf numFmtId="0" fontId="35" fillId="4" borderId="38" xfId="0" applyFont="1" applyFill="1" applyBorder="1" applyAlignment="1">
      <alignment/>
    </xf>
    <xf numFmtId="0" fontId="35" fillId="4" borderId="38" xfId="0" applyFont="1" applyFill="1" applyBorder="1" applyAlignment="1">
      <alignment horizontal="right"/>
    </xf>
    <xf numFmtId="0" fontId="35" fillId="4" borderId="39" xfId="0" applyFont="1" applyFill="1" applyBorder="1" applyAlignment="1">
      <alignment horizontal="right"/>
    </xf>
    <xf numFmtId="0" fontId="35" fillId="5" borderId="37" xfId="0" applyFont="1" applyFill="1" applyBorder="1" applyAlignment="1">
      <alignment horizontal="right"/>
    </xf>
    <xf numFmtId="4" fontId="35" fillId="5" borderId="38" xfId="0" applyNumberFormat="1" applyFont="1" applyFill="1" applyBorder="1" applyAlignment="1">
      <alignment horizontal="right"/>
    </xf>
    <xf numFmtId="3" fontId="35" fillId="5" borderId="39" xfId="0" applyNumberFormat="1" applyFont="1" applyFill="1" applyBorder="1" applyAlignment="1">
      <alignment horizontal="right"/>
    </xf>
    <xf numFmtId="0" fontId="35" fillId="4" borderId="37" xfId="0" applyFont="1" applyFill="1" applyBorder="1" applyAlignment="1">
      <alignment/>
    </xf>
    <xf numFmtId="4" fontId="35" fillId="4" borderId="38" xfId="0" applyNumberFormat="1" applyFont="1" applyFill="1" applyBorder="1" applyAlignment="1">
      <alignment horizontal="right"/>
    </xf>
    <xf numFmtId="3" fontId="35" fillId="4" borderId="38" xfId="0" applyNumberFormat="1" applyFont="1" applyFill="1" applyBorder="1" applyAlignment="1">
      <alignment horizontal="right"/>
    </xf>
    <xf numFmtId="10" fontId="35" fillId="4" borderId="39" xfId="0" applyNumberFormat="1" applyFont="1" applyFill="1" applyBorder="1" applyAlignment="1">
      <alignment horizontal="right"/>
    </xf>
    <xf numFmtId="3" fontId="35" fillId="5" borderId="38" xfId="0" applyNumberFormat="1" applyFont="1" applyFill="1" applyBorder="1" applyAlignment="1">
      <alignment horizontal="right"/>
    </xf>
    <xf numFmtId="10" fontId="35" fillId="5" borderId="39" xfId="0" applyNumberFormat="1" applyFont="1" applyFill="1" applyBorder="1" applyAlignment="1">
      <alignment horizontal="right"/>
    </xf>
    <xf numFmtId="0" fontId="35" fillId="5" borderId="37" xfId="0" applyFont="1" applyFill="1" applyBorder="1" applyAlignment="1">
      <alignment/>
    </xf>
    <xf numFmtId="0" fontId="35" fillId="0" borderId="0" xfId="0" applyFont="1" applyFill="1" applyAlignment="1">
      <alignment/>
    </xf>
    <xf numFmtId="0" fontId="35" fillId="4" borderId="40" xfId="0" applyFont="1" applyFill="1" applyBorder="1" applyAlignment="1">
      <alignment horizontal="right"/>
    </xf>
    <xf numFmtId="0" fontId="35" fillId="4" borderId="40" xfId="0" applyFont="1" applyFill="1" applyBorder="1" applyAlignment="1">
      <alignment/>
    </xf>
    <xf numFmtId="0" fontId="35" fillId="5" borderId="40" xfId="0" applyFont="1" applyFill="1" applyBorder="1" applyAlignment="1">
      <alignment horizontal="right"/>
    </xf>
    <xf numFmtId="4" fontId="35" fillId="5" borderId="40" xfId="0" applyNumberFormat="1" applyFont="1" applyFill="1" applyBorder="1" applyAlignment="1">
      <alignment horizontal="right"/>
    </xf>
    <xf numFmtId="3" fontId="35" fillId="5" borderId="40" xfId="0" applyNumberFormat="1" applyFont="1" applyFill="1" applyBorder="1" applyAlignment="1">
      <alignment horizontal="right"/>
    </xf>
    <xf numFmtId="4" fontId="35" fillId="4" borderId="40" xfId="0" applyNumberFormat="1" applyFont="1" applyFill="1" applyBorder="1" applyAlignment="1">
      <alignment horizontal="right"/>
    </xf>
    <xf numFmtId="3" fontId="35" fillId="4" borderId="40" xfId="0" applyNumberFormat="1" applyFont="1" applyFill="1" applyBorder="1" applyAlignment="1">
      <alignment horizontal="right"/>
    </xf>
    <xf numFmtId="10" fontId="35" fillId="4" borderId="40" xfId="0" applyNumberFormat="1" applyFont="1" applyFill="1" applyBorder="1" applyAlignment="1">
      <alignment horizontal="right"/>
    </xf>
    <xf numFmtId="10" fontId="35" fillId="5" borderId="40" xfId="0" applyNumberFormat="1" applyFont="1" applyFill="1" applyBorder="1" applyAlignment="1">
      <alignment horizontal="right"/>
    </xf>
    <xf numFmtId="0" fontId="35" fillId="5" borderId="40" xfId="0" applyFont="1" applyFill="1" applyBorder="1" applyAlignment="1">
      <alignment/>
    </xf>
    <xf numFmtId="0" fontId="35" fillId="4" borderId="0" xfId="0" applyFont="1" applyFill="1" applyAlignment="1">
      <alignment horizontal="right"/>
    </xf>
    <xf numFmtId="49" fontId="35" fillId="4" borderId="0" xfId="0" applyNumberFormat="1" applyFont="1" applyFill="1" applyAlignment="1">
      <alignment horizontal="right"/>
    </xf>
    <xf numFmtId="0" fontId="35" fillId="4" borderId="0" xfId="0" applyFont="1" applyFill="1" applyAlignment="1">
      <alignment/>
    </xf>
    <xf numFmtId="0" fontId="35" fillId="5" borderId="0" xfId="0" applyFont="1" applyFill="1" applyAlignment="1">
      <alignment horizontal="right"/>
    </xf>
    <xf numFmtId="4" fontId="35" fillId="5" borderId="0" xfId="0" applyNumberFormat="1" applyFont="1" applyFill="1" applyAlignment="1">
      <alignment horizontal="right"/>
    </xf>
    <xf numFmtId="3" fontId="35" fillId="5" borderId="0" xfId="0" applyNumberFormat="1" applyFont="1" applyFill="1" applyAlignment="1">
      <alignment horizontal="right"/>
    </xf>
    <xf numFmtId="4" fontId="35" fillId="4" borderId="0" xfId="0" applyNumberFormat="1" applyFont="1" applyFill="1" applyAlignment="1">
      <alignment horizontal="right"/>
    </xf>
    <xf numFmtId="3" fontId="35" fillId="4" borderId="0" xfId="0" applyNumberFormat="1" applyFont="1" applyFill="1" applyAlignment="1">
      <alignment horizontal="right"/>
    </xf>
    <xf numFmtId="10" fontId="35" fillId="4" borderId="0" xfId="0" applyNumberFormat="1" applyFont="1" applyFill="1" applyAlignment="1">
      <alignment horizontal="right"/>
    </xf>
    <xf numFmtId="10" fontId="35" fillId="5" borderId="0" xfId="0" applyNumberFormat="1" applyFont="1" applyFill="1" applyAlignment="1">
      <alignment horizontal="right"/>
    </xf>
    <xf numFmtId="0" fontId="35" fillId="5" borderId="0" xfId="0" applyFont="1" applyFill="1" applyAlignment="1">
      <alignment/>
    </xf>
    <xf numFmtId="0" fontId="16" fillId="0" borderId="27" xfId="0" applyFont="1" applyFill="1" applyBorder="1" applyAlignment="1" applyProtection="1">
      <alignment vertical="center"/>
      <protection/>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protection locked="0"/>
    </xf>
    <xf numFmtId="192" fontId="34" fillId="0" borderId="2" xfId="0" applyNumberFormat="1" applyFont="1" applyFill="1" applyBorder="1" applyAlignment="1" applyProtection="1">
      <alignment horizontal="right" vertical="center"/>
      <protection locked="0"/>
    </xf>
    <xf numFmtId="197" fontId="16" fillId="0" borderId="33" xfId="0" applyNumberFormat="1" applyFont="1" applyFill="1" applyBorder="1" applyAlignment="1">
      <alignment horizontal="left" vertical="center"/>
    </xf>
    <xf numFmtId="49" fontId="16" fillId="0" borderId="33" xfId="0" applyNumberFormat="1" applyFont="1" applyFill="1" applyBorder="1" applyAlignment="1">
      <alignment horizontal="left" vertical="center"/>
    </xf>
    <xf numFmtId="0" fontId="16" fillId="0" borderId="27" xfId="0" applyFont="1" applyFill="1" applyBorder="1" applyAlignment="1" applyProtection="1">
      <alignment horizontal="left" vertical="center"/>
      <protection locked="0"/>
    </xf>
    <xf numFmtId="0" fontId="16" fillId="0" borderId="27" xfId="0" applyFont="1" applyFill="1" applyBorder="1" applyAlignment="1">
      <alignment horizontal="left" vertical="center"/>
    </xf>
    <xf numFmtId="49" fontId="16" fillId="0" borderId="27" xfId="0" applyNumberFormat="1" applyFont="1" applyFill="1" applyBorder="1" applyAlignment="1">
      <alignment horizontal="left" vertical="center"/>
    </xf>
    <xf numFmtId="49" fontId="16" fillId="0" borderId="27" xfId="0" applyNumberFormat="1" applyFont="1" applyFill="1" applyBorder="1" applyAlignment="1" applyProtection="1">
      <alignment horizontal="left" vertical="center"/>
      <protection locked="0"/>
    </xf>
    <xf numFmtId="193" fontId="16" fillId="0" borderId="1" xfId="0" applyNumberFormat="1" applyFont="1" applyFill="1" applyBorder="1" applyAlignment="1">
      <alignment vertical="center"/>
    </xf>
    <xf numFmtId="193" fontId="16" fillId="0" borderId="1" xfId="15" applyNumberFormat="1" applyFont="1" applyFill="1" applyBorder="1" applyAlignment="1" applyProtection="1">
      <alignment vertical="center"/>
      <protection locked="0"/>
    </xf>
    <xf numFmtId="193" fontId="16" fillId="0" borderId="1" xfId="15" applyNumberFormat="1" applyFont="1" applyFill="1" applyBorder="1" applyAlignment="1" applyProtection="1">
      <alignment vertical="center"/>
      <protection/>
    </xf>
    <xf numFmtId="200" fontId="43" fillId="0" borderId="1" xfId="0" applyNumberFormat="1" applyFont="1" applyFill="1" applyBorder="1" applyAlignment="1">
      <alignment vertical="center"/>
    </xf>
    <xf numFmtId="193" fontId="43" fillId="0" borderId="1" xfId="0" applyNumberFormat="1" applyFont="1" applyFill="1" applyBorder="1" applyAlignment="1">
      <alignment vertical="center"/>
    </xf>
    <xf numFmtId="200" fontId="43" fillId="0" borderId="1" xfId="15" applyNumberFormat="1" applyFont="1" applyFill="1" applyBorder="1" applyAlignment="1" applyProtection="1">
      <alignment vertical="center"/>
      <protection locked="0"/>
    </xf>
    <xf numFmtId="193" fontId="43" fillId="0" borderId="1" xfId="15" applyNumberFormat="1" applyFont="1" applyFill="1" applyBorder="1" applyAlignment="1" applyProtection="1">
      <alignment vertical="center"/>
      <protection locked="0"/>
    </xf>
    <xf numFmtId="200" fontId="43" fillId="0" borderId="1" xfId="15" applyNumberFormat="1" applyFont="1" applyFill="1" applyBorder="1" applyAlignment="1" applyProtection="1">
      <alignment vertical="center"/>
      <protection/>
    </xf>
    <xf numFmtId="193" fontId="43" fillId="0" borderId="1" xfId="15" applyNumberFormat="1" applyFont="1" applyFill="1" applyBorder="1" applyAlignment="1" applyProtection="1">
      <alignment vertical="center"/>
      <protection/>
    </xf>
    <xf numFmtId="200" fontId="43" fillId="0" borderId="33" xfId="0" applyNumberFormat="1" applyFont="1" applyFill="1" applyBorder="1" applyAlignment="1">
      <alignment vertical="center"/>
    </xf>
    <xf numFmtId="193" fontId="43" fillId="0" borderId="1" xfId="0" applyNumberFormat="1" applyFont="1" applyFill="1" applyBorder="1" applyAlignment="1" applyProtection="1">
      <alignment vertical="center"/>
      <protection/>
    </xf>
    <xf numFmtId="200" fontId="29" fillId="0" borderId="3" xfId="0" applyNumberFormat="1" applyFont="1" applyFill="1" applyBorder="1" applyAlignment="1" applyProtection="1">
      <alignment horizontal="center" vertical="center" wrapText="1"/>
      <protection/>
    </xf>
    <xf numFmtId="200" fontId="43" fillId="0" borderId="1" xfId="0" applyNumberFormat="1" applyFont="1" applyFill="1" applyBorder="1" applyAlignment="1">
      <alignment horizontal="right" vertical="center"/>
    </xf>
    <xf numFmtId="200" fontId="43" fillId="0" borderId="1" xfId="15" applyNumberFormat="1" applyFont="1" applyFill="1" applyBorder="1" applyAlignment="1" applyProtection="1">
      <alignment horizontal="right" vertical="center"/>
      <protection locked="0"/>
    </xf>
    <xf numFmtId="200" fontId="43" fillId="0" borderId="1" xfId="0" applyNumberFormat="1" applyFont="1" applyFill="1" applyBorder="1" applyAlignment="1">
      <alignment horizontal="right"/>
    </xf>
    <xf numFmtId="200" fontId="43" fillId="0" borderId="1" xfId="15"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xf>
    <xf numFmtId="200" fontId="43" fillId="0" borderId="1" xfId="0"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locked="0"/>
    </xf>
    <xf numFmtId="200" fontId="43" fillId="0" borderId="1" xfId="0" applyNumberFormat="1" applyFont="1" applyFill="1" applyBorder="1" applyAlignment="1" applyProtection="1">
      <alignment horizontal="right" vertical="center"/>
      <protection locked="0"/>
    </xf>
    <xf numFmtId="200" fontId="43" fillId="0" borderId="6" xfId="0" applyNumberFormat="1" applyFont="1" applyFill="1" applyBorder="1" applyAlignment="1">
      <alignment horizontal="right"/>
    </xf>
    <xf numFmtId="200" fontId="18" fillId="2" borderId="16" xfId="0" applyNumberFormat="1" applyFont="1" applyFill="1" applyBorder="1" applyAlignment="1">
      <alignment horizontal="center" vertical="center"/>
    </xf>
    <xf numFmtId="200" fontId="14" fillId="0" borderId="0" xfId="0" applyNumberFormat="1" applyFont="1" applyFill="1" applyBorder="1" applyAlignment="1">
      <alignment horizontal="center" vertical="center"/>
    </xf>
    <xf numFmtId="200" fontId="14" fillId="0" borderId="0" xfId="0" applyNumberFormat="1" applyFont="1" applyBorder="1" applyAlignment="1">
      <alignment horizontal="center" vertical="center"/>
    </xf>
    <xf numFmtId="200" fontId="14" fillId="0" borderId="0" xfId="0" applyNumberFormat="1" applyFont="1" applyBorder="1" applyAlignment="1">
      <alignment horizontal="right" vertical="center" wrapText="1"/>
    </xf>
    <xf numFmtId="200" fontId="14" fillId="0" borderId="0" xfId="0" applyNumberFormat="1" applyFont="1" applyAlignment="1">
      <alignment/>
    </xf>
    <xf numFmtId="192" fontId="16" fillId="0" borderId="1" xfId="15" applyNumberFormat="1" applyFont="1" applyFill="1" applyBorder="1" applyAlignment="1" applyProtection="1">
      <alignment vertical="center"/>
      <protection/>
    </xf>
    <xf numFmtId="4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92" fontId="16" fillId="0" borderId="1" xfId="21" applyNumberFormat="1" applyFont="1" applyFill="1" applyBorder="1" applyAlignment="1" applyProtection="1">
      <alignment vertical="center"/>
      <protection/>
    </xf>
    <xf numFmtId="0" fontId="16" fillId="0" borderId="1" xfId="0" applyFont="1" applyFill="1" applyBorder="1" applyAlignment="1" applyProtection="1">
      <alignment horizontal="center" vertical="center"/>
      <protection/>
    </xf>
    <xf numFmtId="193" fontId="16" fillId="0" borderId="1" xfId="0" applyNumberFormat="1" applyFont="1" applyFill="1" applyBorder="1" applyAlignment="1" applyProtection="1">
      <alignment vertical="center"/>
      <protection/>
    </xf>
    <xf numFmtId="192" fontId="16" fillId="0" borderId="36" xfId="15" applyNumberFormat="1" applyFont="1" applyFill="1" applyBorder="1" applyAlignment="1" applyProtection="1">
      <alignment vertical="center"/>
      <protection/>
    </xf>
    <xf numFmtId="192" fontId="16" fillId="0" borderId="2" xfId="15" applyNumberFormat="1" applyFont="1" applyFill="1" applyBorder="1" applyAlignment="1" applyProtection="1">
      <alignment vertical="center"/>
      <protection/>
    </xf>
    <xf numFmtId="192" fontId="16" fillId="0" borderId="2" xfId="21" applyNumberFormat="1" applyFont="1" applyFill="1" applyBorder="1" applyAlignment="1" applyProtection="1">
      <alignment vertical="center"/>
      <protection/>
    </xf>
    <xf numFmtId="193" fontId="16" fillId="0" borderId="1" xfId="21" applyNumberFormat="1" applyFont="1" applyFill="1" applyBorder="1" applyAlignment="1" applyProtection="1">
      <alignment vertical="center"/>
      <protection/>
    </xf>
    <xf numFmtId="193" fontId="16" fillId="0" borderId="1" xfId="0" applyNumberFormat="1" applyFont="1" applyFill="1" applyBorder="1" applyAlignment="1" applyProtection="1">
      <alignment vertical="center"/>
      <protection locked="0"/>
    </xf>
    <xf numFmtId="184" fontId="16" fillId="0" borderId="33" xfId="0" applyNumberFormat="1" applyFont="1" applyFill="1" applyBorder="1" applyAlignment="1" applyProtection="1">
      <alignment horizontal="center" vertical="center"/>
      <protection locked="0"/>
    </xf>
    <xf numFmtId="184" fontId="16" fillId="0" borderId="33" xfId="0" applyNumberFormat="1"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locked="0"/>
    </xf>
    <xf numFmtId="0" fontId="16" fillId="0" borderId="33" xfId="0" applyFont="1" applyFill="1" applyBorder="1" applyAlignment="1" applyProtection="1">
      <alignment horizontal="center" vertical="center"/>
      <protection locked="0"/>
    </xf>
    <xf numFmtId="193" fontId="43" fillId="0" borderId="33" xfId="15" applyNumberFormat="1" applyFont="1" applyFill="1" applyBorder="1" applyAlignment="1" applyProtection="1">
      <alignment vertical="center"/>
      <protection locked="0"/>
    </xf>
    <xf numFmtId="193" fontId="16" fillId="0" borderId="33" xfId="15" applyNumberFormat="1" applyFont="1" applyFill="1" applyBorder="1" applyAlignment="1" applyProtection="1">
      <alignment vertical="center"/>
      <protection/>
    </xf>
    <xf numFmtId="192" fontId="16" fillId="0" borderId="33" xfId="15" applyNumberFormat="1" applyFont="1" applyFill="1" applyBorder="1" applyAlignment="1" applyProtection="1">
      <alignment vertical="center"/>
      <protection/>
    </xf>
    <xf numFmtId="193" fontId="16" fillId="0" borderId="33" xfId="15" applyNumberFormat="1" applyFont="1" applyFill="1" applyBorder="1" applyAlignment="1" applyProtection="1">
      <alignment vertical="center"/>
      <protection locked="0"/>
    </xf>
    <xf numFmtId="184" fontId="16" fillId="0" borderId="6" xfId="0" applyNumberFormat="1" applyFont="1" applyFill="1" applyBorder="1" applyAlignment="1">
      <alignment horizontal="center" vertical="center"/>
    </xf>
    <xf numFmtId="197" fontId="16" fillId="0" borderId="6" xfId="0" applyNumberFormat="1" applyFont="1" applyFill="1" applyBorder="1" applyAlignment="1">
      <alignment horizontal="left" vertical="center"/>
    </xf>
    <xf numFmtId="49" fontId="16" fillId="0" borderId="6" xfId="0" applyNumberFormat="1" applyFont="1" applyFill="1" applyBorder="1" applyAlignment="1">
      <alignment horizontal="left" vertical="center"/>
    </xf>
    <xf numFmtId="3" fontId="16" fillId="0" borderId="6" xfId="0" applyNumberFormat="1" applyFont="1" applyFill="1" applyBorder="1" applyAlignment="1">
      <alignment horizontal="center" vertical="center"/>
    </xf>
    <xf numFmtId="193" fontId="43" fillId="0" borderId="6" xfId="0" applyNumberFormat="1" applyFont="1" applyFill="1" applyBorder="1" applyAlignment="1">
      <alignment vertical="center"/>
    </xf>
    <xf numFmtId="193" fontId="16" fillId="0" borderId="6" xfId="15" applyNumberFormat="1" applyFont="1" applyFill="1" applyBorder="1" applyAlignment="1" applyProtection="1">
      <alignment vertical="center"/>
      <protection/>
    </xf>
    <xf numFmtId="192" fontId="16" fillId="0" borderId="6" xfId="15" applyNumberFormat="1" applyFont="1" applyFill="1" applyBorder="1" applyAlignment="1" applyProtection="1">
      <alignment vertical="center"/>
      <protection/>
    </xf>
    <xf numFmtId="193" fontId="16" fillId="0" borderId="6" xfId="0" applyNumberFormat="1" applyFont="1" applyFill="1" applyBorder="1" applyAlignment="1">
      <alignment vertical="center"/>
    </xf>
    <xf numFmtId="184" fontId="16" fillId="0" borderId="16" xfId="0" applyNumberFormat="1" applyFont="1" applyFill="1" applyBorder="1" applyAlignment="1" applyProtection="1">
      <alignment horizontal="center" vertical="center"/>
      <protection locked="0"/>
    </xf>
    <xf numFmtId="193" fontId="43" fillId="0" borderId="16" xfId="15" applyNumberFormat="1" applyFont="1" applyFill="1" applyBorder="1" applyAlignment="1" applyProtection="1">
      <alignment vertical="center"/>
      <protection locked="0"/>
    </xf>
    <xf numFmtId="193" fontId="16" fillId="0" borderId="16" xfId="15" applyNumberFormat="1" applyFont="1" applyFill="1" applyBorder="1" applyAlignment="1" applyProtection="1">
      <alignment vertical="center"/>
      <protection/>
    </xf>
    <xf numFmtId="192" fontId="16" fillId="0" borderId="16" xfId="15" applyNumberFormat="1" applyFont="1" applyFill="1" applyBorder="1" applyAlignment="1" applyProtection="1">
      <alignment vertical="center"/>
      <protection/>
    </xf>
    <xf numFmtId="193" fontId="16" fillId="0" borderId="16" xfId="15" applyNumberFormat="1" applyFont="1" applyFill="1" applyBorder="1" applyAlignment="1" applyProtection="1">
      <alignment vertical="center"/>
      <protection locked="0"/>
    </xf>
    <xf numFmtId="192" fontId="16" fillId="0" borderId="26" xfId="15" applyNumberFormat="1" applyFont="1" applyFill="1" applyBorder="1" applyAlignment="1" applyProtection="1">
      <alignment vertical="center"/>
      <protection/>
    </xf>
    <xf numFmtId="193" fontId="16" fillId="0" borderId="19" xfId="15" applyNumberFormat="1" applyFont="1" applyFill="1" applyBorder="1" applyAlignment="1" applyProtection="1">
      <alignment vertical="center"/>
      <protection/>
    </xf>
    <xf numFmtId="192" fontId="16" fillId="0" borderId="19" xfId="15" applyNumberFormat="1" applyFont="1" applyFill="1" applyBorder="1" applyAlignment="1" applyProtection="1">
      <alignment vertical="center"/>
      <protection/>
    </xf>
    <xf numFmtId="192" fontId="16" fillId="0" borderId="20" xfId="15" applyNumberFormat="1" applyFont="1" applyFill="1" applyBorder="1" applyAlignment="1" applyProtection="1">
      <alignment vertical="center"/>
      <protection/>
    </xf>
    <xf numFmtId="0" fontId="19" fillId="2" borderId="41" xfId="0" applyFont="1" applyFill="1" applyBorder="1" applyAlignment="1">
      <alignment horizontal="right" vertical="center"/>
    </xf>
    <xf numFmtId="193" fontId="43" fillId="0" borderId="1" xfId="0" applyNumberFormat="1" applyFont="1" applyFill="1" applyBorder="1" applyAlignment="1" applyProtection="1">
      <alignment vertical="center"/>
      <protection locked="0"/>
    </xf>
    <xf numFmtId="49" fontId="16" fillId="0" borderId="42" xfId="0" applyNumberFormat="1" applyFont="1" applyFill="1" applyBorder="1" applyAlignment="1">
      <alignment horizontal="left" vertical="center"/>
    </xf>
    <xf numFmtId="0" fontId="13" fillId="0" borderId="0" xfId="0" applyFont="1" applyAlignment="1">
      <alignment horizontal="right" vertical="center" wrapText="1"/>
    </xf>
    <xf numFmtId="0" fontId="16" fillId="0" borderId="0" xfId="0" applyFont="1" applyFill="1" applyBorder="1" applyAlignment="1">
      <alignment horizontal="left" vertical="center"/>
    </xf>
    <xf numFmtId="184" fontId="16" fillId="0" borderId="0" xfId="0" applyNumberFormat="1" applyFont="1" applyFill="1" applyBorder="1" applyAlignment="1">
      <alignment horizontal="center" vertical="center"/>
    </xf>
    <xf numFmtId="200" fontId="43" fillId="0" borderId="0" xfId="0" applyNumberFormat="1" applyFont="1" applyFill="1" applyBorder="1" applyAlignment="1">
      <alignment horizontal="right" vertical="center"/>
    </xf>
    <xf numFmtId="193" fontId="43" fillId="0" borderId="0" xfId="0" applyNumberFormat="1" applyFont="1" applyFill="1" applyBorder="1" applyAlignment="1">
      <alignment vertical="center"/>
    </xf>
    <xf numFmtId="0" fontId="16" fillId="0" borderId="0" xfId="0" applyFont="1" applyFill="1" applyBorder="1" applyAlignment="1" applyProtection="1">
      <alignment horizontal="left" vertical="center"/>
      <protection locked="0"/>
    </xf>
    <xf numFmtId="184" fontId="16" fillId="0" borderId="0" xfId="0" applyNumberFormat="1" applyFont="1" applyFill="1" applyBorder="1" applyAlignment="1" applyProtection="1">
      <alignment horizontal="center" vertical="center"/>
      <protection locked="0"/>
    </xf>
    <xf numFmtId="184" fontId="16" fillId="0"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protection locked="0"/>
    </xf>
    <xf numFmtId="200" fontId="43" fillId="0" borderId="0" xfId="15" applyNumberFormat="1" applyFont="1" applyFill="1" applyBorder="1" applyAlignment="1" applyProtection="1">
      <alignment horizontal="right" vertical="center"/>
      <protection locked="0"/>
    </xf>
    <xf numFmtId="193" fontId="43" fillId="0" borderId="0" xfId="15" applyNumberFormat="1" applyFont="1" applyFill="1" applyBorder="1" applyAlignment="1" applyProtection="1">
      <alignment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lignment horizontal="left" vertical="center"/>
    </xf>
    <xf numFmtId="197" fontId="16" fillId="0" borderId="0" xfId="0" applyNumberFormat="1" applyFont="1" applyFill="1" applyBorder="1" applyAlignment="1">
      <alignment horizontal="left" vertical="center"/>
    </xf>
    <xf numFmtId="3" fontId="16" fillId="0" borderId="0" xfId="0" applyNumberFormat="1" applyFont="1" applyFill="1" applyBorder="1" applyAlignment="1">
      <alignment horizontal="center" vertical="center"/>
    </xf>
    <xf numFmtId="200" fontId="43" fillId="0" borderId="0" xfId="15" applyNumberFormat="1" applyFont="1" applyFill="1" applyBorder="1" applyAlignment="1" applyProtection="1">
      <alignment vertical="center"/>
      <protection locked="0"/>
    </xf>
    <xf numFmtId="200" fontId="43" fillId="0" borderId="0" xfId="0" applyNumberFormat="1" applyFont="1" applyFill="1" applyBorder="1" applyAlignment="1" applyProtection="1">
      <alignment horizontal="right" vertical="center"/>
      <protection locked="0"/>
    </xf>
    <xf numFmtId="193" fontId="43"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horizontal="left" vertical="center"/>
      <protection/>
    </xf>
    <xf numFmtId="184"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200" fontId="43" fillId="0" borderId="0" xfId="0" applyNumberFormat="1" applyFont="1" applyFill="1" applyBorder="1" applyAlignment="1" applyProtection="1">
      <alignment horizontal="right" vertical="center"/>
      <protection/>
    </xf>
    <xf numFmtId="193" fontId="43" fillId="0" borderId="0" xfId="0" applyNumberFormat="1" applyFont="1" applyFill="1" applyBorder="1" applyAlignment="1" applyProtection="1">
      <alignment vertical="center"/>
      <protection/>
    </xf>
    <xf numFmtId="0" fontId="16" fillId="0" borderId="21" xfId="0" applyFont="1" applyFill="1" applyBorder="1" applyAlignment="1">
      <alignment horizontal="left" vertical="center"/>
    </xf>
    <xf numFmtId="184" fontId="16" fillId="0" borderId="43" xfId="0" applyNumberFormat="1" applyFont="1" applyFill="1" applyBorder="1" applyAlignment="1">
      <alignment horizontal="center" vertical="center"/>
    </xf>
    <xf numFmtId="0" fontId="16" fillId="0" borderId="43" xfId="0" applyFont="1" applyFill="1" applyBorder="1" applyAlignment="1">
      <alignment horizontal="left" vertical="center"/>
    </xf>
    <xf numFmtId="0" fontId="16" fillId="0" borderId="43" xfId="0" applyFont="1" applyFill="1" applyBorder="1" applyAlignment="1">
      <alignment horizontal="center" vertical="center"/>
    </xf>
    <xf numFmtId="200" fontId="43" fillId="0" borderId="43" xfId="0" applyNumberFormat="1" applyFont="1" applyFill="1" applyBorder="1" applyAlignment="1">
      <alignment horizontal="right" vertical="center"/>
    </xf>
    <xf numFmtId="193" fontId="43" fillId="0" borderId="43" xfId="0" applyNumberFormat="1" applyFont="1" applyFill="1" applyBorder="1" applyAlignment="1">
      <alignment vertical="center"/>
    </xf>
    <xf numFmtId="192" fontId="16" fillId="0" borderId="44" xfId="21" applyNumberFormat="1" applyFont="1" applyFill="1" applyBorder="1" applyAlignment="1" applyProtection="1">
      <alignment vertical="center"/>
      <protection/>
    </xf>
    <xf numFmtId="0" fontId="16" fillId="0" borderId="24" xfId="0" applyFont="1" applyFill="1" applyBorder="1" applyAlignment="1">
      <alignment horizontal="left" vertical="center"/>
    </xf>
    <xf numFmtId="192" fontId="16" fillId="0" borderId="45" xfId="15" applyNumberFormat="1" applyFont="1" applyFill="1" applyBorder="1" applyAlignment="1" applyProtection="1">
      <alignment vertical="center"/>
      <protection/>
    </xf>
    <xf numFmtId="0" fontId="16" fillId="0" borderId="24" xfId="0" applyFont="1" applyFill="1" applyBorder="1" applyAlignment="1" applyProtection="1">
      <alignment horizontal="left" vertical="center"/>
      <protection locked="0"/>
    </xf>
    <xf numFmtId="49" fontId="16" fillId="0" borderId="24" xfId="0" applyNumberFormat="1" applyFont="1" applyFill="1" applyBorder="1" applyAlignment="1" applyProtection="1">
      <alignment horizontal="left" vertical="center"/>
      <protection locked="0"/>
    </xf>
    <xf numFmtId="192" fontId="16" fillId="0" borderId="45" xfId="21" applyNumberFormat="1" applyFont="1" applyFill="1" applyBorder="1" applyAlignment="1" applyProtection="1">
      <alignment vertical="center"/>
      <protection/>
    </xf>
    <xf numFmtId="49" fontId="16" fillId="0" borderId="24" xfId="0" applyNumberFormat="1" applyFont="1" applyFill="1" applyBorder="1" applyAlignment="1">
      <alignment horizontal="left" vertical="center"/>
    </xf>
    <xf numFmtId="192" fontId="16" fillId="0" borderId="45" xfId="0" applyNumberFormat="1" applyFont="1" applyFill="1" applyBorder="1" applyAlignment="1">
      <alignment vertical="center"/>
    </xf>
    <xf numFmtId="0" fontId="16" fillId="0" borderId="24" xfId="0" applyFont="1" applyFill="1" applyBorder="1" applyAlignment="1" applyProtection="1">
      <alignment vertical="center"/>
      <protection locked="0"/>
    </xf>
    <xf numFmtId="0" fontId="16" fillId="0" borderId="24" xfId="0" applyFont="1" applyFill="1" applyBorder="1" applyAlignment="1" applyProtection="1">
      <alignment horizontal="left" vertical="center"/>
      <protection/>
    </xf>
    <xf numFmtId="192" fontId="16" fillId="0" borderId="45" xfId="0" applyNumberFormat="1" applyFont="1" applyFill="1" applyBorder="1" applyAlignment="1" applyProtection="1">
      <alignment vertical="center"/>
      <protection/>
    </xf>
    <xf numFmtId="49" fontId="16" fillId="0" borderId="22" xfId="0" applyNumberFormat="1" applyFont="1" applyFill="1" applyBorder="1" applyAlignment="1">
      <alignment vertical="center"/>
    </xf>
    <xf numFmtId="184" fontId="16" fillId="0" borderId="40" xfId="0" applyNumberFormat="1" applyFont="1" applyFill="1" applyBorder="1" applyAlignment="1">
      <alignment horizontal="center" vertical="center"/>
    </xf>
    <xf numFmtId="197" fontId="16" fillId="0" borderId="40" xfId="0" applyNumberFormat="1" applyFont="1" applyFill="1" applyBorder="1" applyAlignment="1">
      <alignment horizontal="left" vertical="center"/>
    </xf>
    <xf numFmtId="49" fontId="16" fillId="0" borderId="40" xfId="0" applyNumberFormat="1" applyFont="1" applyFill="1" applyBorder="1" applyAlignment="1">
      <alignment horizontal="left" vertical="center"/>
    </xf>
    <xf numFmtId="3" fontId="16" fillId="0" borderId="40" xfId="0" applyNumberFormat="1" applyFont="1" applyFill="1" applyBorder="1" applyAlignment="1">
      <alignment horizontal="center" vertical="center"/>
    </xf>
    <xf numFmtId="200" fontId="43" fillId="0" borderId="40" xfId="0" applyNumberFormat="1" applyFont="1" applyFill="1" applyBorder="1" applyAlignment="1">
      <alignment vertical="center"/>
    </xf>
    <xf numFmtId="193" fontId="43" fillId="0" borderId="40" xfId="0" applyNumberFormat="1" applyFont="1" applyFill="1" applyBorder="1" applyAlignment="1">
      <alignment vertical="center"/>
    </xf>
    <xf numFmtId="192" fontId="16" fillId="0" borderId="46" xfId="15" applyNumberFormat="1" applyFont="1" applyFill="1" applyBorder="1" applyAlignment="1" applyProtection="1">
      <alignment vertical="center"/>
      <protection/>
    </xf>
    <xf numFmtId="200" fontId="16" fillId="0" borderId="1" xfId="15" applyNumberFormat="1" applyFont="1" applyFill="1" applyBorder="1" applyAlignment="1" applyProtection="1">
      <alignment horizontal="right" vertical="center"/>
      <protection locked="0"/>
    </xf>
    <xf numFmtId="200" fontId="16" fillId="0" borderId="1" xfId="0" applyNumberFormat="1" applyFont="1" applyFill="1" applyBorder="1" applyAlignment="1">
      <alignment horizontal="right" vertical="center"/>
    </xf>
    <xf numFmtId="200" fontId="16" fillId="0" borderId="1" xfId="15" applyNumberFormat="1" applyFont="1" applyFill="1" applyBorder="1" applyAlignment="1" applyProtection="1">
      <alignment horizontal="right" vertical="center"/>
      <protection/>
    </xf>
    <xf numFmtId="200" fontId="16" fillId="0" borderId="1" xfId="0" applyNumberFormat="1" applyFont="1" applyFill="1" applyBorder="1" applyAlignment="1" applyProtection="1">
      <alignment horizontal="right" vertical="center"/>
      <protection locked="0"/>
    </xf>
    <xf numFmtId="192" fontId="16" fillId="0" borderId="1" xfId="0" applyNumberFormat="1" applyFont="1" applyFill="1" applyBorder="1" applyAlignment="1" applyProtection="1">
      <alignment vertical="center"/>
      <protection/>
    </xf>
    <xf numFmtId="200" fontId="16" fillId="0" borderId="1" xfId="0" applyNumberFormat="1" applyFont="1" applyFill="1" applyBorder="1" applyAlignment="1" applyProtection="1">
      <alignment horizontal="right" vertical="center"/>
      <protection/>
    </xf>
    <xf numFmtId="0" fontId="16" fillId="0" borderId="42" xfId="0" applyFont="1" applyFill="1" applyBorder="1" applyAlignment="1" applyProtection="1">
      <alignment horizontal="left" vertical="center"/>
      <protection locked="0"/>
    </xf>
    <xf numFmtId="200" fontId="43" fillId="0" borderId="33" xfId="15" applyNumberFormat="1" applyFont="1" applyFill="1" applyBorder="1" applyAlignment="1" applyProtection="1">
      <alignment horizontal="right" vertical="center"/>
      <protection locked="0"/>
    </xf>
    <xf numFmtId="200" fontId="16" fillId="0" borderId="33" xfId="15" applyNumberFormat="1" applyFont="1" applyFill="1" applyBorder="1" applyAlignment="1" applyProtection="1">
      <alignment horizontal="right" vertical="center"/>
      <protection locked="0"/>
    </xf>
    <xf numFmtId="192" fontId="16" fillId="0" borderId="2" xfId="0" applyNumberFormat="1" applyFont="1" applyFill="1" applyBorder="1" applyAlignment="1">
      <alignment vertical="center"/>
    </xf>
    <xf numFmtId="192" fontId="16" fillId="0" borderId="2" xfId="0" applyNumberFormat="1" applyFont="1" applyFill="1" applyBorder="1" applyAlignment="1" applyProtection="1">
      <alignment vertical="center"/>
      <protection/>
    </xf>
    <xf numFmtId="49" fontId="16" fillId="0" borderId="32" xfId="0" applyNumberFormat="1" applyFont="1" applyFill="1" applyBorder="1" applyAlignment="1">
      <alignment horizontal="left" vertical="center"/>
    </xf>
    <xf numFmtId="200" fontId="43" fillId="0" borderId="6" xfId="0" applyNumberFormat="1" applyFont="1" applyFill="1" applyBorder="1" applyAlignment="1">
      <alignment horizontal="right" vertical="center"/>
    </xf>
    <xf numFmtId="200" fontId="16" fillId="0" borderId="6" xfId="0" applyNumberFormat="1" applyFont="1" applyFill="1" applyBorder="1" applyAlignment="1">
      <alignment horizontal="right" vertical="center"/>
    </xf>
    <xf numFmtId="192" fontId="16" fillId="0" borderId="7" xfId="0" applyNumberFormat="1" applyFont="1" applyFill="1" applyBorder="1" applyAlignment="1">
      <alignment vertical="center"/>
    </xf>
    <xf numFmtId="0" fontId="16" fillId="0" borderId="47" xfId="0" applyFont="1" applyFill="1" applyBorder="1" applyAlignment="1" applyProtection="1">
      <alignment horizontal="left" vertical="center"/>
      <protection locked="0"/>
    </xf>
    <xf numFmtId="184" fontId="16" fillId="0" borderId="16" xfId="0" applyNumberFormat="1"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16" xfId="0" applyFont="1" applyFill="1" applyBorder="1" applyAlignment="1" applyProtection="1">
      <alignment horizontal="center" vertical="center"/>
      <protection locked="0"/>
    </xf>
    <xf numFmtId="200" fontId="43" fillId="0" borderId="16" xfId="15" applyNumberFormat="1" applyFont="1" applyFill="1" applyBorder="1" applyAlignment="1" applyProtection="1">
      <alignment horizontal="right" vertical="center"/>
      <protection locked="0"/>
    </xf>
    <xf numFmtId="200" fontId="16" fillId="0" borderId="16" xfId="15" applyNumberFormat="1" applyFont="1" applyFill="1" applyBorder="1" applyAlignment="1" applyProtection="1">
      <alignment horizontal="right" vertical="center"/>
      <protection locked="0"/>
    </xf>
    <xf numFmtId="0" fontId="16" fillId="0" borderId="48" xfId="0" applyFont="1" applyFill="1" applyBorder="1" applyAlignment="1" applyProtection="1">
      <alignment horizontal="left" vertical="center"/>
      <protection locked="0"/>
    </xf>
    <xf numFmtId="184" fontId="16" fillId="0" borderId="19" xfId="0" applyNumberFormat="1" applyFont="1" applyFill="1" applyBorder="1" applyAlignment="1" applyProtection="1">
      <alignment horizontal="center" vertical="center"/>
      <protection locked="0"/>
    </xf>
    <xf numFmtId="184" fontId="16" fillId="0" borderId="19" xfId="0" applyNumberFormat="1" applyFont="1" applyFill="1" applyBorder="1" applyAlignment="1" applyProtection="1">
      <alignment horizontal="left" vertical="center"/>
      <protection locked="0"/>
    </xf>
    <xf numFmtId="0" fontId="16" fillId="0" borderId="19" xfId="0" applyFont="1" applyFill="1" applyBorder="1" applyAlignment="1" applyProtection="1">
      <alignment horizontal="left" vertical="center"/>
      <protection locked="0"/>
    </xf>
    <xf numFmtId="0" fontId="16" fillId="0" borderId="19" xfId="0" applyFont="1" applyFill="1" applyBorder="1" applyAlignment="1" applyProtection="1">
      <alignment horizontal="center" vertical="center"/>
      <protection locked="0"/>
    </xf>
    <xf numFmtId="200" fontId="43" fillId="0" borderId="19" xfId="15" applyNumberFormat="1" applyFont="1" applyFill="1" applyBorder="1" applyAlignment="1" applyProtection="1">
      <alignment horizontal="right" vertical="center"/>
      <protection locked="0"/>
    </xf>
    <xf numFmtId="193" fontId="43" fillId="0" borderId="19" xfId="15" applyNumberFormat="1" applyFont="1" applyFill="1" applyBorder="1" applyAlignment="1" applyProtection="1">
      <alignment vertical="center"/>
      <protection locked="0"/>
    </xf>
    <xf numFmtId="200" fontId="16" fillId="0" borderId="19" xfId="15" applyNumberFormat="1" applyFont="1" applyFill="1" applyBorder="1" applyAlignment="1" applyProtection="1">
      <alignment horizontal="right" vertical="center"/>
      <protection locked="0"/>
    </xf>
    <xf numFmtId="193" fontId="16" fillId="0" borderId="19" xfId="15" applyNumberFormat="1" applyFont="1" applyFill="1" applyBorder="1" applyAlignment="1" applyProtection="1">
      <alignment vertical="center"/>
      <protection locked="0"/>
    </xf>
    <xf numFmtId="1" fontId="26" fillId="0" borderId="49" xfId="0" applyNumberFormat="1" applyFont="1" applyFill="1" applyBorder="1" applyAlignment="1" applyProtection="1">
      <alignment horizontal="right" vertical="center"/>
      <protection/>
    </xf>
    <xf numFmtId="1" fontId="26" fillId="0" borderId="50" xfId="0" applyNumberFormat="1" applyFont="1" applyFill="1" applyBorder="1" applyAlignment="1" applyProtection="1">
      <alignment horizontal="right" vertical="center"/>
      <protection/>
    </xf>
    <xf numFmtId="0" fontId="44" fillId="2" borderId="0" xfId="0" applyFont="1" applyFill="1" applyBorder="1" applyAlignment="1" applyProtection="1">
      <alignment horizontal="center" vertical="center"/>
      <protection/>
    </xf>
    <xf numFmtId="0" fontId="0" fillId="0" borderId="0" xfId="0" applyAlignment="1">
      <alignment horizontal="center"/>
    </xf>
    <xf numFmtId="181" fontId="29" fillId="0" borderId="5" xfId="0" applyNumberFormat="1" applyFont="1" applyFill="1" applyBorder="1" applyAlignment="1" applyProtection="1">
      <alignment horizontal="center" vertical="center" wrapText="1"/>
      <protection/>
    </xf>
    <xf numFmtId="181" fontId="29" fillId="0" borderId="51"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31" fillId="0" borderId="3" xfId="0" applyFont="1" applyBorder="1" applyAlignment="1">
      <alignment horizontal="center" vertical="center"/>
    </xf>
    <xf numFmtId="43" fontId="29" fillId="0" borderId="5" xfId="15" applyFont="1" applyFill="1" applyBorder="1" applyAlignment="1" applyProtection="1">
      <alignment horizontal="center" vertical="center" wrapText="1"/>
      <protection/>
    </xf>
    <xf numFmtId="0" fontId="29" fillId="0" borderId="5" xfId="0" applyFont="1" applyFill="1" applyBorder="1" applyAlignment="1" applyProtection="1">
      <alignment horizontal="center" vertical="center" wrapText="1"/>
      <protection/>
    </xf>
    <xf numFmtId="0" fontId="29" fillId="0" borderId="52" xfId="0" applyNumberFormat="1" applyFont="1" applyFill="1" applyBorder="1" applyAlignment="1" applyProtection="1">
      <alignment horizontal="center" vertical="center" wrapText="1"/>
      <protection/>
    </xf>
    <xf numFmtId="0" fontId="31" fillId="0" borderId="53" xfId="0" applyFont="1" applyBorder="1" applyAlignment="1">
      <alignment horizontal="center" vertical="center" wrapText="1"/>
    </xf>
    <xf numFmtId="4" fontId="29" fillId="0" borderId="5" xfId="0" applyNumberFormat="1" applyFont="1" applyFill="1" applyBorder="1" applyAlignment="1" applyProtection="1">
      <alignment horizontal="center" vertical="center" wrapText="1"/>
      <protection/>
    </xf>
    <xf numFmtId="184" fontId="29" fillId="0" borderId="5" xfId="0" applyNumberFormat="1" applyFont="1" applyFill="1" applyBorder="1" applyAlignment="1" applyProtection="1">
      <alignment horizontal="center" vertical="center" wrapText="1"/>
      <protection/>
    </xf>
    <xf numFmtId="184" fontId="31" fillId="0" borderId="3" xfId="0" applyNumberFormat="1" applyFont="1" applyBorder="1" applyAlignment="1">
      <alignment horizontal="center" vertical="center"/>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41" fillId="0" borderId="15" xfId="0" applyFont="1" applyBorder="1" applyAlignment="1">
      <alignment horizontal="right" vertical="center"/>
    </xf>
    <xf numFmtId="0" fontId="19" fillId="2" borderId="25" xfId="0" applyFont="1" applyFill="1" applyBorder="1" applyAlignment="1">
      <alignment horizontal="right" vertical="center"/>
    </xf>
    <xf numFmtId="0" fontId="0" fillId="0" borderId="9" xfId="0" applyBorder="1" applyAlignment="1">
      <alignment horizontal="right" vertical="center"/>
    </xf>
    <xf numFmtId="184" fontId="32" fillId="0" borderId="33" xfId="0" applyNumberFormat="1" applyFont="1" applyFill="1" applyBorder="1" applyAlignment="1" applyProtection="1">
      <alignment horizontal="center" vertical="center"/>
      <protection locked="0"/>
    </xf>
    <xf numFmtId="0" fontId="33" fillId="0" borderId="33" xfId="0" applyFont="1" applyBorder="1" applyAlignment="1">
      <alignment horizontal="center"/>
    </xf>
    <xf numFmtId="0" fontId="33" fillId="0" borderId="36" xfId="0" applyFont="1" applyBorder="1" applyAlignment="1">
      <alignment horizontal="center"/>
    </xf>
    <xf numFmtId="0" fontId="21" fillId="0" borderId="0" xfId="0" applyFont="1" applyBorder="1" applyAlignment="1" applyProtection="1">
      <alignment horizontal="right" vertical="center" wrapText="1"/>
      <protection locked="0"/>
    </xf>
    <xf numFmtId="184" fontId="32"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32" fillId="0" borderId="0" xfId="0" applyFont="1" applyFill="1" applyBorder="1" applyAlignment="1" applyProtection="1">
      <alignment horizontal="center" vertical="center"/>
      <protection locked="0"/>
    </xf>
    <xf numFmtId="0" fontId="29" fillId="0" borderId="52" xfId="0" applyNumberFormat="1" applyFont="1" applyFill="1" applyBorder="1" applyAlignment="1">
      <alignment horizontal="center" vertical="center" wrapText="1"/>
    </xf>
    <xf numFmtId="0" fontId="29" fillId="0" borderId="53" xfId="0" applyNumberFormat="1" applyFont="1" applyFill="1" applyBorder="1" applyAlignment="1">
      <alignment horizontal="center" vertical="center" wrapText="1"/>
    </xf>
    <xf numFmtId="0" fontId="29" fillId="0" borderId="53" xfId="0" applyNumberFormat="1" applyFont="1" applyFill="1" applyBorder="1" applyAlignment="1" applyProtection="1">
      <alignment horizontal="center" vertical="center" wrapText="1"/>
      <protection/>
    </xf>
    <xf numFmtId="0" fontId="29" fillId="0" borderId="54" xfId="0" applyNumberFormat="1" applyFont="1" applyFill="1" applyBorder="1" applyAlignment="1" applyProtection="1">
      <alignment horizontal="center" vertical="center" wrapText="1"/>
      <protection/>
    </xf>
    <xf numFmtId="0" fontId="29" fillId="0" borderId="55" xfId="0" applyNumberFormat="1" applyFont="1" applyFill="1" applyBorder="1" applyAlignment="1" applyProtection="1">
      <alignment horizontal="center" vertical="center" wrapText="1"/>
      <protection/>
    </xf>
    <xf numFmtId="0" fontId="29" fillId="0" borderId="56" xfId="0" applyNumberFormat="1" applyFont="1" applyFill="1" applyBorder="1" applyAlignment="1" applyProtection="1">
      <alignment horizontal="center" vertical="center" wrapText="1"/>
      <protection/>
    </xf>
    <xf numFmtId="192" fontId="29" fillId="0" borderId="57" xfId="0" applyNumberFormat="1" applyFont="1" applyFill="1" applyBorder="1" applyAlignment="1" applyProtection="1">
      <alignment horizontal="center" vertical="center" wrapText="1"/>
      <protection/>
    </xf>
    <xf numFmtId="192" fontId="29" fillId="0" borderId="58" xfId="0" applyNumberFormat="1" applyFont="1" applyFill="1" applyBorder="1" applyAlignment="1" applyProtection="1">
      <alignment horizontal="center" vertical="center" wrapText="1"/>
      <protection/>
    </xf>
    <xf numFmtId="192" fontId="29" fillId="0" borderId="59" xfId="0" applyNumberFormat="1" applyFont="1" applyFill="1" applyBorder="1" applyAlignment="1" applyProtection="1">
      <alignment horizontal="center" vertical="center" wrapText="1"/>
      <protection/>
    </xf>
    <xf numFmtId="0" fontId="13" fillId="0" borderId="0" xfId="0" applyFont="1" applyBorder="1" applyAlignment="1">
      <alignment horizontal="right" vertical="center" wrapText="1"/>
    </xf>
    <xf numFmtId="0" fontId="9" fillId="6" borderId="40" xfId="0" applyFont="1" applyFill="1" applyBorder="1" applyAlignment="1">
      <alignment horizontal="center" vertical="center" wrapText="1"/>
    </xf>
    <xf numFmtId="0" fontId="18" fillId="2" borderId="49" xfId="0" applyFont="1" applyFill="1" applyBorder="1" applyAlignment="1">
      <alignment horizontal="center" vertical="center"/>
    </xf>
    <xf numFmtId="0" fontId="18" fillId="2" borderId="15"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9" xfId="0" applyFont="1" applyFill="1" applyBorder="1" applyAlignment="1">
      <alignment horizontal="center" vertical="center"/>
    </xf>
    <xf numFmtId="0" fontId="29" fillId="0" borderId="54" xfId="0" applyNumberFormat="1" applyFont="1" applyFill="1" applyBorder="1" applyAlignment="1">
      <alignment horizontal="center" vertical="center" wrapText="1"/>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11" fillId="6" borderId="0" xfId="0" applyFont="1" applyFill="1" applyBorder="1" applyAlignment="1">
      <alignment horizontal="center" vertical="center" wrapText="1"/>
    </xf>
    <xf numFmtId="0" fontId="37" fillId="6" borderId="0" xfId="0" applyFont="1" applyFill="1" applyAlignment="1">
      <alignment vertical="center"/>
    </xf>
    <xf numFmtId="0" fontId="29" fillId="0" borderId="5"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29" fillId="0" borderId="51" xfId="0" applyNumberFormat="1" applyFont="1" applyFill="1" applyBorder="1" applyAlignment="1" applyProtection="1">
      <alignment horizontal="center" vertical="center" wrapText="1"/>
      <protection/>
    </xf>
    <xf numFmtId="0" fontId="18" fillId="2" borderId="47" xfId="0" applyFont="1" applyFill="1" applyBorder="1" applyAlignment="1">
      <alignment horizontal="center" vertical="center"/>
    </xf>
    <xf numFmtId="0" fontId="41" fillId="0" borderId="16" xfId="0" applyFont="1" applyBorder="1" applyAlignment="1">
      <alignment horizontal="center" vertical="center"/>
    </xf>
    <xf numFmtId="0" fontId="35" fillId="4" borderId="40" xfId="0" applyNumberFormat="1" applyFont="1" applyFill="1" applyBorder="1" applyAlignment="1">
      <alignment horizontal="center" wrapText="1"/>
    </xf>
    <xf numFmtId="0" fontId="0" fillId="0" borderId="40" xfId="0" applyNumberFormat="1" applyBorder="1" applyAlignment="1">
      <alignment horizont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50632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039350" y="466725"/>
          <a:ext cx="24098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06
</a:t>
          </a:r>
          <a:r>
            <a:rPr lang="en-US" cap="none" sz="1600" b="0" i="0" u="none" baseline="0">
              <a:solidFill>
                <a:srgbClr val="FFFFFF"/>
              </a:solidFill>
              <a:latin typeface="Impact"/>
              <a:ea typeface="Impact"/>
              <a:cs typeface="Impact"/>
            </a:rPr>
            <a:t>02 - 08 Feb'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161925</xdr:rowOff>
    </xdr:from>
    <xdr:to>
      <xdr:col>22</xdr:col>
      <xdr:colOff>209550</xdr:colOff>
      <xdr:row>16</xdr:row>
      <xdr:rowOff>66675</xdr:rowOff>
    </xdr:to>
    <xdr:sp>
      <xdr:nvSpPr>
        <xdr:cNvPr id="1" name="TextBox 1"/>
        <xdr:cNvSpPr txBox="1">
          <a:spLocks noChangeArrowheads="1"/>
        </xdr:cNvSpPr>
      </xdr:nvSpPr>
      <xdr:spPr>
        <a:xfrm>
          <a:off x="57150" y="1609725"/>
          <a:ext cx="897255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70" zoomScaleNormal="7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52" bestFit="1" customWidth="1"/>
    <col min="2" max="2" width="39.7109375" style="4" customWidth="1"/>
    <col min="3" max="3" width="9.421875" style="12" bestFit="1" customWidth="1"/>
    <col min="4" max="5" width="17.00390625" style="16" bestFit="1" customWidth="1"/>
    <col min="6" max="6" width="10.28125" style="6" customWidth="1"/>
    <col min="7" max="7" width="8.421875" style="6" bestFit="1" customWidth="1"/>
    <col min="8" max="8" width="9.00390625" style="6" customWidth="1"/>
    <col min="9" max="9" width="14.8515625" style="48" bestFit="1" customWidth="1"/>
    <col min="10" max="10" width="11.140625" style="103" bestFit="1" customWidth="1"/>
    <col min="11" max="11" width="9.421875" style="37" customWidth="1"/>
    <col min="12" max="12" width="7.140625" style="25" bestFit="1" customWidth="1"/>
    <col min="13" max="13" width="14.28125" style="19" bestFit="1" customWidth="1"/>
    <col min="14" max="14" width="10.28125" style="37" bestFit="1" customWidth="1"/>
    <col min="15" max="15" width="7.140625" style="44" customWidth="1"/>
    <col min="16" max="16" width="3.00390625" style="266" bestFit="1" customWidth="1"/>
    <col min="17" max="16384" width="9.140625" style="4" customWidth="1"/>
  </cols>
  <sheetData>
    <row r="1" spans="1:16" s="2" customFormat="1" ht="90.75" customHeight="1">
      <c r="A1" s="51"/>
      <c r="B1" s="1"/>
      <c r="C1" s="10"/>
      <c r="D1" s="14"/>
      <c r="E1" s="14"/>
      <c r="F1" s="5"/>
      <c r="G1" s="5"/>
      <c r="H1" s="5"/>
      <c r="I1" s="45"/>
      <c r="J1" s="101"/>
      <c r="K1" s="35"/>
      <c r="L1" s="24"/>
      <c r="M1" s="17"/>
      <c r="N1" s="20"/>
      <c r="O1" s="41"/>
      <c r="P1" s="266"/>
    </row>
    <row r="2" spans="1:16" s="9" customFormat="1" ht="30.75" customHeight="1" thickBot="1">
      <c r="A2" s="422" t="s">
        <v>72</v>
      </c>
      <c r="B2" s="423"/>
      <c r="C2" s="423"/>
      <c r="D2" s="423"/>
      <c r="E2" s="423"/>
      <c r="F2" s="423"/>
      <c r="G2" s="423"/>
      <c r="H2" s="423"/>
      <c r="I2" s="423"/>
      <c r="J2" s="423"/>
      <c r="K2" s="423"/>
      <c r="L2" s="423"/>
      <c r="M2" s="423"/>
      <c r="N2" s="423"/>
      <c r="O2" s="423"/>
      <c r="P2" s="266"/>
    </row>
    <row r="3" spans="1:16" s="38" customFormat="1" ht="16.5">
      <c r="A3" s="81"/>
      <c r="B3" s="428" t="s">
        <v>1</v>
      </c>
      <c r="C3" s="433" t="s">
        <v>2</v>
      </c>
      <c r="D3" s="429" t="s">
        <v>54</v>
      </c>
      <c r="E3" s="429" t="s">
        <v>53</v>
      </c>
      <c r="F3" s="426" t="s">
        <v>3</v>
      </c>
      <c r="G3" s="426" t="s">
        <v>10</v>
      </c>
      <c r="H3" s="430" t="s">
        <v>18</v>
      </c>
      <c r="I3" s="432" t="s">
        <v>4</v>
      </c>
      <c r="J3" s="432"/>
      <c r="K3" s="432"/>
      <c r="L3" s="432"/>
      <c r="M3" s="424" t="s">
        <v>5</v>
      </c>
      <c r="N3" s="424"/>
      <c r="O3" s="425"/>
      <c r="P3" s="267"/>
    </row>
    <row r="4" spans="1:16" s="38" customFormat="1" ht="43.5" thickBot="1">
      <c r="A4" s="82"/>
      <c r="B4" s="427"/>
      <c r="C4" s="434"/>
      <c r="D4" s="427"/>
      <c r="E4" s="427"/>
      <c r="F4" s="427"/>
      <c r="G4" s="427"/>
      <c r="H4" s="431"/>
      <c r="I4" s="53" t="s">
        <v>6</v>
      </c>
      <c r="J4" s="54" t="s">
        <v>7</v>
      </c>
      <c r="K4" s="54" t="s">
        <v>109</v>
      </c>
      <c r="L4" s="55" t="s">
        <v>8</v>
      </c>
      <c r="M4" s="53" t="s">
        <v>6</v>
      </c>
      <c r="N4" s="54" t="s">
        <v>7</v>
      </c>
      <c r="O4" s="56" t="s">
        <v>9</v>
      </c>
      <c r="P4" s="267"/>
    </row>
    <row r="5" spans="1:16" s="3" customFormat="1" ht="15">
      <c r="A5" s="420">
        <v>1</v>
      </c>
      <c r="B5" s="396" t="s">
        <v>249</v>
      </c>
      <c r="C5" s="313">
        <v>39108</v>
      </c>
      <c r="D5" s="314" t="s">
        <v>56</v>
      </c>
      <c r="E5" s="315" t="s">
        <v>233</v>
      </c>
      <c r="F5" s="316">
        <v>148</v>
      </c>
      <c r="G5" s="316">
        <v>153</v>
      </c>
      <c r="H5" s="316">
        <v>2</v>
      </c>
      <c r="I5" s="397">
        <v>1729339</v>
      </c>
      <c r="J5" s="317">
        <v>238848</v>
      </c>
      <c r="K5" s="318">
        <f aca="true" t="shared" si="0" ref="K5:K52">J5/G5</f>
        <v>1561.0980392156862</v>
      </c>
      <c r="L5" s="319">
        <f aca="true" t="shared" si="1" ref="L5:L52">I5/J5</f>
        <v>7.240332763933548</v>
      </c>
      <c r="M5" s="398">
        <f>1992651+1729339</f>
        <v>3721990</v>
      </c>
      <c r="N5" s="320">
        <f>274655+238848</f>
        <v>513503</v>
      </c>
      <c r="O5" s="308">
        <f>+M5/N5</f>
        <v>7.248234187531524</v>
      </c>
      <c r="P5" s="266"/>
    </row>
    <row r="6" spans="1:16" s="3" customFormat="1" ht="15">
      <c r="A6" s="111">
        <v>2</v>
      </c>
      <c r="B6" s="273" t="s">
        <v>189</v>
      </c>
      <c r="C6" s="125">
        <v>39101</v>
      </c>
      <c r="D6" s="136" t="s">
        <v>58</v>
      </c>
      <c r="E6" s="136" t="s">
        <v>58</v>
      </c>
      <c r="F6" s="126">
        <v>160</v>
      </c>
      <c r="G6" s="126">
        <v>197</v>
      </c>
      <c r="H6" s="126">
        <v>3</v>
      </c>
      <c r="I6" s="288">
        <v>1300103.5</v>
      </c>
      <c r="J6" s="280">
        <v>176034</v>
      </c>
      <c r="K6" s="278">
        <f t="shared" si="0"/>
        <v>893.5736040609137</v>
      </c>
      <c r="L6" s="302">
        <f t="shared" si="1"/>
        <v>7.385524955406342</v>
      </c>
      <c r="M6" s="391">
        <f>3815016+1300103.5</f>
        <v>5115119.5</v>
      </c>
      <c r="N6" s="276">
        <f>302979+231870+176034</f>
        <v>710883</v>
      </c>
      <c r="O6" s="309">
        <f>+M6/N6</f>
        <v>7.195444960703801</v>
      </c>
      <c r="P6" s="266"/>
    </row>
    <row r="7" spans="1:16" s="3" customFormat="1" ht="15">
      <c r="A7" s="421">
        <v>3</v>
      </c>
      <c r="B7" s="411" t="s">
        <v>195</v>
      </c>
      <c r="C7" s="412">
        <v>39108</v>
      </c>
      <c r="D7" s="413" t="s">
        <v>56</v>
      </c>
      <c r="E7" s="414" t="s">
        <v>11</v>
      </c>
      <c r="F7" s="415">
        <v>131</v>
      </c>
      <c r="G7" s="415">
        <v>133</v>
      </c>
      <c r="H7" s="415">
        <v>2</v>
      </c>
      <c r="I7" s="416">
        <v>1183148</v>
      </c>
      <c r="J7" s="417">
        <v>145432</v>
      </c>
      <c r="K7" s="335">
        <f t="shared" si="0"/>
        <v>1093.4736842105262</v>
      </c>
      <c r="L7" s="336">
        <f t="shared" si="1"/>
        <v>8.135403487540568</v>
      </c>
      <c r="M7" s="418">
        <f>3063+1388108+1183148</f>
        <v>2574319</v>
      </c>
      <c r="N7" s="419">
        <f>313+167433+145432</f>
        <v>313178</v>
      </c>
      <c r="O7" s="337">
        <f>+M7/N7</f>
        <v>8.21998671681919</v>
      </c>
      <c r="P7" s="266"/>
    </row>
    <row r="8" spans="1:16" s="3" customFormat="1" ht="15">
      <c r="A8" s="420">
        <v>4</v>
      </c>
      <c r="B8" s="405" t="s">
        <v>237</v>
      </c>
      <c r="C8" s="329">
        <v>39115</v>
      </c>
      <c r="D8" s="406" t="s">
        <v>56</v>
      </c>
      <c r="E8" s="407" t="s">
        <v>11</v>
      </c>
      <c r="F8" s="408">
        <v>81</v>
      </c>
      <c r="G8" s="408">
        <v>82</v>
      </c>
      <c r="H8" s="408">
        <v>1</v>
      </c>
      <c r="I8" s="409">
        <v>1174464</v>
      </c>
      <c r="J8" s="330">
        <v>128246</v>
      </c>
      <c r="K8" s="331">
        <f t="shared" si="0"/>
        <v>1563.9756097560976</v>
      </c>
      <c r="L8" s="332">
        <f t="shared" si="1"/>
        <v>9.157899661587885</v>
      </c>
      <c r="M8" s="410">
        <f>3091+1174464</f>
        <v>1177555</v>
      </c>
      <c r="N8" s="333">
        <f>289+128246</f>
        <v>128535</v>
      </c>
      <c r="O8" s="334">
        <f>+M8/N8</f>
        <v>9.161356828879294</v>
      </c>
      <c r="P8" s="266"/>
    </row>
    <row r="9" spans="1:16" s="7" customFormat="1" ht="15">
      <c r="A9" s="111">
        <v>5</v>
      </c>
      <c r="B9" s="273" t="s">
        <v>187</v>
      </c>
      <c r="C9" s="125">
        <v>39094</v>
      </c>
      <c r="D9" s="136" t="s">
        <v>58</v>
      </c>
      <c r="E9" s="136" t="s">
        <v>188</v>
      </c>
      <c r="F9" s="126">
        <v>226</v>
      </c>
      <c r="G9" s="126">
        <v>219</v>
      </c>
      <c r="H9" s="126">
        <v>4</v>
      </c>
      <c r="I9" s="288">
        <v>1085018.5</v>
      </c>
      <c r="J9" s="280">
        <v>152725</v>
      </c>
      <c r="K9" s="278">
        <f t="shared" si="0"/>
        <v>697.3744292237443</v>
      </c>
      <c r="L9" s="302">
        <f t="shared" si="1"/>
        <v>7.104393517760681</v>
      </c>
      <c r="M9" s="391">
        <f>3142328+2138928+1454143+1085018.5-637</f>
        <v>7819780.5</v>
      </c>
      <c r="N9" s="276">
        <f>453903+300559+202455+152725+101</f>
        <v>1109743</v>
      </c>
      <c r="O9" s="310">
        <f>IF(M9&lt;&gt;0,M9/N9,"")</f>
        <v>7.046478779320978</v>
      </c>
      <c r="P9" s="266"/>
    </row>
    <row r="10" spans="1:16" s="7" customFormat="1" ht="15">
      <c r="A10" s="111">
        <v>6</v>
      </c>
      <c r="B10" s="275" t="s">
        <v>234</v>
      </c>
      <c r="C10" s="124">
        <v>39108</v>
      </c>
      <c r="D10" s="137" t="s">
        <v>45</v>
      </c>
      <c r="E10" s="137" t="s">
        <v>235</v>
      </c>
      <c r="F10" s="303" t="s">
        <v>236</v>
      </c>
      <c r="G10" s="303" t="s">
        <v>260</v>
      </c>
      <c r="H10" s="303" t="s">
        <v>37</v>
      </c>
      <c r="I10" s="289">
        <v>920013</v>
      </c>
      <c r="J10" s="282">
        <v>121336</v>
      </c>
      <c r="K10" s="278">
        <f t="shared" si="0"/>
        <v>748.9876543209876</v>
      </c>
      <c r="L10" s="302">
        <f t="shared" si="1"/>
        <v>7.582358080042197</v>
      </c>
      <c r="M10" s="390">
        <v>2335001.5</v>
      </c>
      <c r="N10" s="277">
        <v>305013</v>
      </c>
      <c r="O10" s="309">
        <f>+M10/N10</f>
        <v>7.655416326517231</v>
      </c>
      <c r="P10" s="266"/>
    </row>
    <row r="11" spans="1:16" s="7" customFormat="1" ht="15">
      <c r="A11" s="111">
        <v>7</v>
      </c>
      <c r="B11" s="275" t="s">
        <v>251</v>
      </c>
      <c r="C11" s="124">
        <v>39115</v>
      </c>
      <c r="D11" s="137" t="s">
        <v>45</v>
      </c>
      <c r="E11" s="137" t="s">
        <v>252</v>
      </c>
      <c r="F11" s="303" t="s">
        <v>253</v>
      </c>
      <c r="G11" s="303" t="s">
        <v>261</v>
      </c>
      <c r="H11" s="303" t="s">
        <v>20</v>
      </c>
      <c r="I11" s="289">
        <v>560309.5</v>
      </c>
      <c r="J11" s="282">
        <v>70396</v>
      </c>
      <c r="K11" s="278">
        <f t="shared" si="0"/>
        <v>1257.0714285714287</v>
      </c>
      <c r="L11" s="302">
        <f t="shared" si="1"/>
        <v>7.9593939996590715</v>
      </c>
      <c r="M11" s="390">
        <v>560309.5</v>
      </c>
      <c r="N11" s="277">
        <v>70396</v>
      </c>
      <c r="O11" s="309">
        <f>+M11/N11</f>
        <v>7.9593939996590715</v>
      </c>
      <c r="P11" s="266"/>
    </row>
    <row r="12" spans="1:16" s="7" customFormat="1" ht="15">
      <c r="A12" s="111">
        <v>8</v>
      </c>
      <c r="B12" s="273" t="s">
        <v>190</v>
      </c>
      <c r="C12" s="125">
        <v>39101</v>
      </c>
      <c r="D12" s="136" t="s">
        <v>57</v>
      </c>
      <c r="E12" s="136" t="s">
        <v>191</v>
      </c>
      <c r="F12" s="126">
        <v>151</v>
      </c>
      <c r="G12" s="126">
        <v>146</v>
      </c>
      <c r="H12" s="126">
        <v>3</v>
      </c>
      <c r="I12" s="288">
        <v>154073</v>
      </c>
      <c r="J12" s="280">
        <v>22364</v>
      </c>
      <c r="K12" s="278">
        <f t="shared" si="0"/>
        <v>153.17808219178082</v>
      </c>
      <c r="L12" s="302">
        <f t="shared" si="1"/>
        <v>6.8893310677875155</v>
      </c>
      <c r="M12" s="391">
        <v>973280</v>
      </c>
      <c r="N12" s="276">
        <v>136712</v>
      </c>
      <c r="O12" s="310">
        <f>IF(M12&lt;&gt;0,M12/N12,"")</f>
        <v>7.119199485048862</v>
      </c>
      <c r="P12" s="266"/>
    </row>
    <row r="13" spans="1:16" s="7" customFormat="1" ht="15">
      <c r="A13" s="111">
        <v>9</v>
      </c>
      <c r="B13" s="273" t="s">
        <v>145</v>
      </c>
      <c r="C13" s="125">
        <v>39087</v>
      </c>
      <c r="D13" s="136" t="s">
        <v>57</v>
      </c>
      <c r="E13" s="136" t="s">
        <v>60</v>
      </c>
      <c r="F13" s="126">
        <v>90</v>
      </c>
      <c r="G13" s="126">
        <v>39</v>
      </c>
      <c r="H13" s="126">
        <v>5</v>
      </c>
      <c r="I13" s="288">
        <v>141987</v>
      </c>
      <c r="J13" s="280">
        <v>15385</v>
      </c>
      <c r="K13" s="278">
        <f t="shared" si="0"/>
        <v>394.4871794871795</v>
      </c>
      <c r="L13" s="302">
        <f t="shared" si="1"/>
        <v>9.228924276893078</v>
      </c>
      <c r="M13" s="391">
        <v>2864461</v>
      </c>
      <c r="N13" s="276">
        <v>329094</v>
      </c>
      <c r="O13" s="309">
        <f aca="true" t="shared" si="2" ref="O13:O18">+M13/N13</f>
        <v>8.704081508626714</v>
      </c>
      <c r="P13" s="266"/>
    </row>
    <row r="14" spans="1:16" s="7" customFormat="1" ht="15">
      <c r="A14" s="111">
        <v>10</v>
      </c>
      <c r="B14" s="273" t="s">
        <v>255</v>
      </c>
      <c r="C14" s="125">
        <v>39115</v>
      </c>
      <c r="D14" s="136" t="s">
        <v>57</v>
      </c>
      <c r="E14" s="136" t="s">
        <v>65</v>
      </c>
      <c r="F14" s="126">
        <v>12</v>
      </c>
      <c r="G14" s="126">
        <v>12</v>
      </c>
      <c r="H14" s="126">
        <v>1</v>
      </c>
      <c r="I14" s="288">
        <v>102999</v>
      </c>
      <c r="J14" s="280">
        <v>14172</v>
      </c>
      <c r="K14" s="278">
        <f t="shared" si="0"/>
        <v>1181</v>
      </c>
      <c r="L14" s="302">
        <f t="shared" si="1"/>
        <v>7.267781541066893</v>
      </c>
      <c r="M14" s="391">
        <v>102999</v>
      </c>
      <c r="N14" s="276">
        <v>14172</v>
      </c>
      <c r="O14" s="309">
        <f t="shared" si="2"/>
        <v>7.267781541066893</v>
      </c>
      <c r="P14" s="266"/>
    </row>
    <row r="15" spans="1:16" s="7" customFormat="1" ht="15">
      <c r="A15" s="111">
        <v>11</v>
      </c>
      <c r="B15" s="275" t="s">
        <v>126</v>
      </c>
      <c r="C15" s="124">
        <v>39080</v>
      </c>
      <c r="D15" s="137" t="s">
        <v>45</v>
      </c>
      <c r="E15" s="137" t="s">
        <v>98</v>
      </c>
      <c r="F15" s="303" t="s">
        <v>127</v>
      </c>
      <c r="G15" s="303" t="s">
        <v>262</v>
      </c>
      <c r="H15" s="303" t="s">
        <v>213</v>
      </c>
      <c r="I15" s="289">
        <v>86288</v>
      </c>
      <c r="J15" s="282">
        <v>14234</v>
      </c>
      <c r="K15" s="278">
        <f t="shared" si="0"/>
        <v>273.7307692307692</v>
      </c>
      <c r="L15" s="302">
        <f t="shared" si="1"/>
        <v>6.062104819446396</v>
      </c>
      <c r="M15" s="390">
        <v>2829144</v>
      </c>
      <c r="N15" s="277">
        <v>369799</v>
      </c>
      <c r="O15" s="309">
        <f t="shared" si="2"/>
        <v>7.650491212793978</v>
      </c>
      <c r="P15" s="266"/>
    </row>
    <row r="16" spans="1:16" s="7" customFormat="1" ht="15">
      <c r="A16" s="111">
        <v>12</v>
      </c>
      <c r="B16" s="272" t="s">
        <v>121</v>
      </c>
      <c r="C16" s="124">
        <v>39080</v>
      </c>
      <c r="D16" s="135" t="s">
        <v>56</v>
      </c>
      <c r="E16" s="134" t="s">
        <v>61</v>
      </c>
      <c r="F16" s="304">
        <v>80</v>
      </c>
      <c r="G16" s="304">
        <v>20</v>
      </c>
      <c r="H16" s="304">
        <v>6</v>
      </c>
      <c r="I16" s="289">
        <v>63759</v>
      </c>
      <c r="J16" s="282">
        <v>7685</v>
      </c>
      <c r="K16" s="278">
        <f t="shared" si="0"/>
        <v>384.25</v>
      </c>
      <c r="L16" s="302">
        <f t="shared" si="1"/>
        <v>8.296551724137931</v>
      </c>
      <c r="M16" s="390">
        <f>1367+686114+384405+247619+146119+85619+63759-1</f>
        <v>1615001</v>
      </c>
      <c r="N16" s="277">
        <f>80773+116+46317+29887+17891+10484+7685</f>
        <v>193153</v>
      </c>
      <c r="O16" s="309">
        <f t="shared" si="2"/>
        <v>8.361252478605044</v>
      </c>
      <c r="P16" s="266"/>
    </row>
    <row r="17" spans="1:16" s="7" customFormat="1" ht="15">
      <c r="A17" s="111">
        <v>13</v>
      </c>
      <c r="B17" s="275" t="s">
        <v>166</v>
      </c>
      <c r="C17" s="124">
        <v>39094</v>
      </c>
      <c r="D17" s="137" t="s">
        <v>73</v>
      </c>
      <c r="E17" s="137" t="s">
        <v>138</v>
      </c>
      <c r="F17" s="303" t="s">
        <v>167</v>
      </c>
      <c r="G17" s="303" t="s">
        <v>263</v>
      </c>
      <c r="H17" s="303" t="s">
        <v>250</v>
      </c>
      <c r="I17" s="289">
        <v>53155</v>
      </c>
      <c r="J17" s="282">
        <v>5353</v>
      </c>
      <c r="K17" s="278">
        <f t="shared" si="0"/>
        <v>314.88235294117646</v>
      </c>
      <c r="L17" s="302">
        <f t="shared" si="1"/>
        <v>9.929945824771156</v>
      </c>
      <c r="M17" s="390">
        <v>688318.5</v>
      </c>
      <c r="N17" s="277">
        <v>71070</v>
      </c>
      <c r="O17" s="309">
        <f t="shared" si="2"/>
        <v>9.68507809202195</v>
      </c>
      <c r="P17" s="266"/>
    </row>
    <row r="18" spans="1:16" s="7" customFormat="1" ht="15">
      <c r="A18" s="111">
        <v>14</v>
      </c>
      <c r="B18" s="275" t="s">
        <v>97</v>
      </c>
      <c r="C18" s="124">
        <v>39010</v>
      </c>
      <c r="D18" s="137" t="s">
        <v>45</v>
      </c>
      <c r="E18" s="137" t="s">
        <v>98</v>
      </c>
      <c r="F18" s="303" t="s">
        <v>99</v>
      </c>
      <c r="G18" s="303" t="s">
        <v>37</v>
      </c>
      <c r="H18" s="303" t="s">
        <v>264</v>
      </c>
      <c r="I18" s="289">
        <v>37033.5</v>
      </c>
      <c r="J18" s="282">
        <v>5902</v>
      </c>
      <c r="K18" s="278">
        <f t="shared" si="0"/>
        <v>2951</v>
      </c>
      <c r="L18" s="302">
        <f t="shared" si="1"/>
        <v>6.274737377160284</v>
      </c>
      <c r="M18" s="390">
        <v>12910730</v>
      </c>
      <c r="N18" s="312">
        <v>1692159.3333333335</v>
      </c>
      <c r="O18" s="309">
        <f t="shared" si="2"/>
        <v>7.629736600848068</v>
      </c>
      <c r="P18" s="266"/>
    </row>
    <row r="19" spans="1:16" s="7" customFormat="1" ht="15">
      <c r="A19" s="111">
        <v>15</v>
      </c>
      <c r="B19" s="274" t="s">
        <v>169</v>
      </c>
      <c r="C19" s="125">
        <v>39094</v>
      </c>
      <c r="D19" s="140" t="s">
        <v>23</v>
      </c>
      <c r="E19" s="139" t="s">
        <v>69</v>
      </c>
      <c r="F19" s="128">
        <v>42</v>
      </c>
      <c r="G19" s="128">
        <v>39</v>
      </c>
      <c r="H19" s="128">
        <v>4</v>
      </c>
      <c r="I19" s="288">
        <v>32990</v>
      </c>
      <c r="J19" s="280">
        <v>5091</v>
      </c>
      <c r="K19" s="278">
        <f t="shared" si="0"/>
        <v>130.53846153846155</v>
      </c>
      <c r="L19" s="302">
        <f t="shared" si="1"/>
        <v>6.480062856020428</v>
      </c>
      <c r="M19" s="391">
        <f>116992.5+114120.5+59552+32990</f>
        <v>323655</v>
      </c>
      <c r="N19" s="276">
        <f>13983+14934+8576+5091</f>
        <v>42584</v>
      </c>
      <c r="O19" s="399">
        <f>M19/N19</f>
        <v>7.600389817771933</v>
      </c>
      <c r="P19" s="266"/>
    </row>
    <row r="20" spans="1:16" s="7" customFormat="1" ht="15">
      <c r="A20" s="111">
        <v>16</v>
      </c>
      <c r="B20" s="273" t="s">
        <v>183</v>
      </c>
      <c r="C20" s="125">
        <v>39080</v>
      </c>
      <c r="D20" s="136" t="s">
        <v>57</v>
      </c>
      <c r="E20" s="136" t="s">
        <v>63</v>
      </c>
      <c r="F20" s="126">
        <v>56</v>
      </c>
      <c r="G20" s="126">
        <v>10</v>
      </c>
      <c r="H20" s="126">
        <v>7</v>
      </c>
      <c r="I20" s="288">
        <v>20628</v>
      </c>
      <c r="J20" s="280">
        <v>2804</v>
      </c>
      <c r="K20" s="278">
        <f t="shared" si="0"/>
        <v>280.4</v>
      </c>
      <c r="L20" s="302">
        <f t="shared" si="1"/>
        <v>7.356633380884451</v>
      </c>
      <c r="M20" s="391">
        <v>2054615</v>
      </c>
      <c r="N20" s="276">
        <v>223349</v>
      </c>
      <c r="O20" s="310">
        <f>IF(M20&lt;&gt;0,M20/N20,"")</f>
        <v>9.199123345078778</v>
      </c>
      <c r="P20" s="266"/>
    </row>
    <row r="21" spans="1:16" s="7" customFormat="1" ht="15">
      <c r="A21" s="111">
        <v>17</v>
      </c>
      <c r="B21" s="273" t="s">
        <v>114</v>
      </c>
      <c r="C21" s="125">
        <v>39066</v>
      </c>
      <c r="D21" s="136" t="s">
        <v>57</v>
      </c>
      <c r="E21" s="136" t="s">
        <v>65</v>
      </c>
      <c r="F21" s="126">
        <v>91</v>
      </c>
      <c r="G21" s="126">
        <v>22</v>
      </c>
      <c r="H21" s="126">
        <v>8</v>
      </c>
      <c r="I21" s="288">
        <v>18828</v>
      </c>
      <c r="J21" s="280">
        <v>3600</v>
      </c>
      <c r="K21" s="278">
        <f t="shared" si="0"/>
        <v>163.63636363636363</v>
      </c>
      <c r="L21" s="302">
        <f t="shared" si="1"/>
        <v>5.23</v>
      </c>
      <c r="M21" s="391">
        <v>1768437</v>
      </c>
      <c r="N21" s="276">
        <v>237291</v>
      </c>
      <c r="O21" s="309">
        <f>+M21/N21</f>
        <v>7.4526088220792195</v>
      </c>
      <c r="P21" s="266"/>
    </row>
    <row r="22" spans="1:16" s="7" customFormat="1" ht="15">
      <c r="A22" s="111">
        <v>18</v>
      </c>
      <c r="B22" s="274" t="s">
        <v>257</v>
      </c>
      <c r="C22" s="125">
        <v>39115</v>
      </c>
      <c r="D22" s="140" t="s">
        <v>23</v>
      </c>
      <c r="E22" s="139" t="s">
        <v>33</v>
      </c>
      <c r="F22" s="128">
        <v>7</v>
      </c>
      <c r="G22" s="128">
        <v>7</v>
      </c>
      <c r="H22" s="128">
        <v>1</v>
      </c>
      <c r="I22" s="288">
        <v>17653</v>
      </c>
      <c r="J22" s="280">
        <v>1861</v>
      </c>
      <c r="K22" s="278">
        <f t="shared" si="0"/>
        <v>265.85714285714283</v>
      </c>
      <c r="L22" s="302">
        <f t="shared" si="1"/>
        <v>9.485760343901129</v>
      </c>
      <c r="M22" s="391">
        <f>17653</f>
        <v>17653</v>
      </c>
      <c r="N22" s="276">
        <f>1861</f>
        <v>1861</v>
      </c>
      <c r="O22" s="399">
        <f>M22/N22</f>
        <v>9.485760343901129</v>
      </c>
      <c r="P22" s="266"/>
    </row>
    <row r="23" spans="1:16" s="7" customFormat="1" ht="15">
      <c r="A23" s="111">
        <v>19</v>
      </c>
      <c r="B23" s="273" t="s">
        <v>258</v>
      </c>
      <c r="C23" s="125">
        <v>39115</v>
      </c>
      <c r="D23" s="136" t="s">
        <v>58</v>
      </c>
      <c r="E23" s="136" t="s">
        <v>38</v>
      </c>
      <c r="F23" s="126">
        <v>10</v>
      </c>
      <c r="G23" s="126">
        <v>10</v>
      </c>
      <c r="H23" s="126">
        <v>1</v>
      </c>
      <c r="I23" s="288">
        <v>17496</v>
      </c>
      <c r="J23" s="280">
        <v>1763</v>
      </c>
      <c r="K23" s="278">
        <f t="shared" si="0"/>
        <v>176.3</v>
      </c>
      <c r="L23" s="302">
        <f t="shared" si="1"/>
        <v>9.923993193420307</v>
      </c>
      <c r="M23" s="391">
        <f>17496</f>
        <v>17496</v>
      </c>
      <c r="N23" s="276">
        <f>1763</f>
        <v>1763</v>
      </c>
      <c r="O23" s="309">
        <f>+M23/N23</f>
        <v>9.923993193420307</v>
      </c>
      <c r="P23" s="266"/>
    </row>
    <row r="24" spans="1:16" s="7" customFormat="1" ht="15">
      <c r="A24" s="111">
        <v>20</v>
      </c>
      <c r="B24" s="272" t="s">
        <v>124</v>
      </c>
      <c r="C24" s="124">
        <v>39073</v>
      </c>
      <c r="D24" s="134" t="s">
        <v>48</v>
      </c>
      <c r="E24" s="134" t="s">
        <v>33</v>
      </c>
      <c r="F24" s="304">
        <v>112</v>
      </c>
      <c r="G24" s="304">
        <v>11</v>
      </c>
      <c r="H24" s="304">
        <v>7</v>
      </c>
      <c r="I24" s="291">
        <v>13202</v>
      </c>
      <c r="J24" s="284">
        <v>2814</v>
      </c>
      <c r="K24" s="278">
        <f t="shared" si="0"/>
        <v>255.8181818181818</v>
      </c>
      <c r="L24" s="302">
        <f t="shared" si="1"/>
        <v>4.691542288557214</v>
      </c>
      <c r="M24" s="392">
        <f>789768+1289903.5+386658+174047.5+53640.5+11222+13202</f>
        <v>2718441.5</v>
      </c>
      <c r="N24" s="276">
        <f>106210+169709+52723+26534+10972+2184+2814</f>
        <v>371146</v>
      </c>
      <c r="O24" s="310">
        <f>IF(M24&lt;&gt;0,M24/N24,"")</f>
        <v>7.32445318015013</v>
      </c>
      <c r="P24" s="266"/>
    </row>
    <row r="25" spans="1:16" s="7" customFormat="1" ht="15">
      <c r="A25" s="111">
        <v>21</v>
      </c>
      <c r="B25" s="273" t="s">
        <v>119</v>
      </c>
      <c r="C25" s="125">
        <v>39073</v>
      </c>
      <c r="D25" s="136" t="s">
        <v>58</v>
      </c>
      <c r="E25" s="136" t="s">
        <v>66</v>
      </c>
      <c r="F25" s="126">
        <v>50</v>
      </c>
      <c r="G25" s="126">
        <v>22</v>
      </c>
      <c r="H25" s="126">
        <v>7</v>
      </c>
      <c r="I25" s="288">
        <v>11300.5</v>
      </c>
      <c r="J25" s="280">
        <v>2010</v>
      </c>
      <c r="K25" s="278">
        <f t="shared" si="0"/>
        <v>91.36363636363636</v>
      </c>
      <c r="L25" s="302">
        <f t="shared" si="1"/>
        <v>5.622139303482587</v>
      </c>
      <c r="M25" s="391">
        <f>145565+155630+55982+15271+7453.5+9440+11300.5</f>
        <v>400642</v>
      </c>
      <c r="N25" s="276">
        <f>17748+18932+7628+2641+1317+1724+2010</f>
        <v>52000</v>
      </c>
      <c r="O25" s="309">
        <f>+M25/N25</f>
        <v>7.704653846153846</v>
      </c>
      <c r="P25" s="266"/>
    </row>
    <row r="26" spans="1:16" s="7" customFormat="1" ht="15">
      <c r="A26" s="111">
        <v>22</v>
      </c>
      <c r="B26" s="273" t="s">
        <v>80</v>
      </c>
      <c r="C26" s="125">
        <v>39052</v>
      </c>
      <c r="D26" s="136" t="s">
        <v>58</v>
      </c>
      <c r="E26" s="136" t="s">
        <v>14</v>
      </c>
      <c r="F26" s="126">
        <v>90</v>
      </c>
      <c r="G26" s="126">
        <v>5</v>
      </c>
      <c r="H26" s="126">
        <v>10</v>
      </c>
      <c r="I26" s="288">
        <v>10984.5</v>
      </c>
      <c r="J26" s="280">
        <v>2101</v>
      </c>
      <c r="K26" s="278">
        <f t="shared" si="0"/>
        <v>420.2</v>
      </c>
      <c r="L26" s="302">
        <f t="shared" si="1"/>
        <v>5.228224654926225</v>
      </c>
      <c r="M26" s="391">
        <f>806671+699007+428408.5+133320+137891.5+96374+73504+30884+17454.5+10984.5</f>
        <v>2434499</v>
      </c>
      <c r="N26" s="276">
        <f>108387+92156+56693+19301+21080+15913+13224+6184+3648+2101</f>
        <v>338687</v>
      </c>
      <c r="O26" s="309">
        <f>+M26/N26</f>
        <v>7.188049733234521</v>
      </c>
      <c r="P26" s="266"/>
    </row>
    <row r="27" spans="1:16" s="7" customFormat="1" ht="15">
      <c r="A27" s="111">
        <v>23</v>
      </c>
      <c r="B27" s="273" t="s">
        <v>129</v>
      </c>
      <c r="C27" s="125">
        <v>39080</v>
      </c>
      <c r="D27" s="136" t="s">
        <v>58</v>
      </c>
      <c r="E27" s="136" t="s">
        <v>59</v>
      </c>
      <c r="F27" s="126">
        <v>51</v>
      </c>
      <c r="G27" s="126">
        <v>4</v>
      </c>
      <c r="H27" s="126">
        <v>6</v>
      </c>
      <c r="I27" s="288">
        <v>5794.5</v>
      </c>
      <c r="J27" s="280">
        <v>1471</v>
      </c>
      <c r="K27" s="278">
        <f t="shared" si="0"/>
        <v>367.75</v>
      </c>
      <c r="L27" s="302">
        <f t="shared" si="1"/>
        <v>3.9391570360299117</v>
      </c>
      <c r="M27" s="391">
        <f>443484+172504.5+77130.5+14404+4813+5794.5+20</f>
        <v>718150.5</v>
      </c>
      <c r="N27" s="276">
        <f>50755+20967+9569+1855+705+1471+1</f>
        <v>85323</v>
      </c>
      <c r="O27" s="309">
        <f>+M27/N27</f>
        <v>8.416845399247565</v>
      </c>
      <c r="P27" s="266"/>
    </row>
    <row r="28" spans="1:16" s="7" customFormat="1" ht="15">
      <c r="A28" s="111">
        <v>24</v>
      </c>
      <c r="B28" s="273" t="s">
        <v>134</v>
      </c>
      <c r="C28" s="125">
        <v>39024</v>
      </c>
      <c r="D28" s="136" t="s">
        <v>58</v>
      </c>
      <c r="E28" s="136" t="s">
        <v>33</v>
      </c>
      <c r="F28" s="126">
        <v>77</v>
      </c>
      <c r="G28" s="126">
        <v>2</v>
      </c>
      <c r="H28" s="126">
        <v>14</v>
      </c>
      <c r="I28" s="288">
        <v>5313</v>
      </c>
      <c r="J28" s="280">
        <v>1142</v>
      </c>
      <c r="K28" s="278">
        <f t="shared" si="0"/>
        <v>571</v>
      </c>
      <c r="L28" s="302">
        <f t="shared" si="1"/>
        <v>4.6523642732049035</v>
      </c>
      <c r="M28" s="391">
        <f>530823.5+393324.5+246673+142047.5+90279+66707.5+37936.5+13029.5+1598+2927+1434+1198+3126+1126+5313</f>
        <v>1537543</v>
      </c>
      <c r="N28" s="276">
        <f>72012+52585+34010+23715+16736+14148+8160+2798+301+723+591+434+289+363+1142</f>
        <v>228007</v>
      </c>
      <c r="O28" s="310">
        <f>IF(M28&lt;&gt;0,M28/N28,"")</f>
        <v>6.743402614832001</v>
      </c>
      <c r="P28" s="266"/>
    </row>
    <row r="29" spans="1:16" s="7" customFormat="1" ht="15">
      <c r="A29" s="111">
        <v>25</v>
      </c>
      <c r="B29" s="274" t="s">
        <v>242</v>
      </c>
      <c r="C29" s="125">
        <v>38814</v>
      </c>
      <c r="D29" s="140" t="s">
        <v>23</v>
      </c>
      <c r="E29" s="139" t="s">
        <v>200</v>
      </c>
      <c r="F29" s="128">
        <v>14</v>
      </c>
      <c r="G29" s="128">
        <v>3</v>
      </c>
      <c r="H29" s="128">
        <v>22</v>
      </c>
      <c r="I29" s="288">
        <v>4276</v>
      </c>
      <c r="J29" s="280">
        <v>1069</v>
      </c>
      <c r="K29" s="278">
        <f t="shared" si="0"/>
        <v>356.3333333333333</v>
      </c>
      <c r="L29" s="302">
        <f t="shared" si="1"/>
        <v>4</v>
      </c>
      <c r="M29" s="391">
        <f>43111+13278+6067.5+7325+7474+6516.5+154+328+3068+571+1240+894+596+476+168+213+1188+1784+180+592+592+4276</f>
        <v>100092</v>
      </c>
      <c r="N29" s="276">
        <f>4620+1821+1003+1445+1813+1225+30+68+737+144+310+211+149+119+21+46+297+446+45+148+148+1069</f>
        <v>15915</v>
      </c>
      <c r="O29" s="399">
        <f>M29/N29</f>
        <v>6.289161168708765</v>
      </c>
      <c r="P29" s="266"/>
    </row>
    <row r="30" spans="1:16" s="7" customFormat="1" ht="15">
      <c r="A30" s="111">
        <v>26</v>
      </c>
      <c r="B30" s="274" t="s">
        <v>150</v>
      </c>
      <c r="C30" s="125">
        <v>39087</v>
      </c>
      <c r="D30" s="140" t="s">
        <v>23</v>
      </c>
      <c r="E30" s="139" t="s">
        <v>151</v>
      </c>
      <c r="F30" s="128">
        <v>1</v>
      </c>
      <c r="G30" s="128">
        <v>1</v>
      </c>
      <c r="H30" s="128">
        <v>5</v>
      </c>
      <c r="I30" s="288">
        <v>3872.5</v>
      </c>
      <c r="J30" s="280">
        <v>476</v>
      </c>
      <c r="K30" s="278">
        <f t="shared" si="0"/>
        <v>476</v>
      </c>
      <c r="L30" s="302">
        <f t="shared" si="1"/>
        <v>8.135504201680673</v>
      </c>
      <c r="M30" s="391">
        <f>22095+9204+7326+5702+4828+3872.5</f>
        <v>53027.5</v>
      </c>
      <c r="N30" s="276">
        <f>2920+1031+821+648+551+476</f>
        <v>6447</v>
      </c>
      <c r="O30" s="399">
        <f>M30/N30</f>
        <v>8.225143477586474</v>
      </c>
      <c r="P30" s="266"/>
    </row>
    <row r="31" spans="1:16" s="7" customFormat="1" ht="15">
      <c r="A31" s="111">
        <v>27</v>
      </c>
      <c r="B31" s="274" t="s">
        <v>245</v>
      </c>
      <c r="C31" s="125">
        <v>38758</v>
      </c>
      <c r="D31" s="140" t="s">
        <v>23</v>
      </c>
      <c r="E31" s="139" t="s">
        <v>246</v>
      </c>
      <c r="F31" s="128">
        <v>4</v>
      </c>
      <c r="G31" s="128">
        <v>2</v>
      </c>
      <c r="H31" s="128">
        <v>26</v>
      </c>
      <c r="I31" s="288">
        <v>3560</v>
      </c>
      <c r="J31" s="280">
        <v>890</v>
      </c>
      <c r="K31" s="278">
        <f t="shared" si="0"/>
        <v>445</v>
      </c>
      <c r="L31" s="302">
        <f t="shared" si="1"/>
        <v>4</v>
      </c>
      <c r="M31" s="391">
        <f>12456+7990+4147+1031+2942.5+1687.5+5526.5+3841.5+1352.5+925+2425+2735+1963+2610.5+374+1948+1054+1475.5+196+636+243+4015+1428+427+594+3560</f>
        <v>67583.5</v>
      </c>
      <c r="N31" s="276">
        <f>1552+1090+669+166+430+252+1516+804+308+163+443+768+612+467+81+595+318+329+55+115+81+1046+248+68+198+890</f>
        <v>13264</v>
      </c>
      <c r="O31" s="399">
        <f>M31/N31</f>
        <v>5.095257840772015</v>
      </c>
      <c r="P31" s="266"/>
    </row>
    <row r="32" spans="1:16" s="7" customFormat="1" ht="15">
      <c r="A32" s="111">
        <v>28</v>
      </c>
      <c r="B32" s="272" t="s">
        <v>125</v>
      </c>
      <c r="C32" s="124">
        <v>39066</v>
      </c>
      <c r="D32" s="135" t="s">
        <v>56</v>
      </c>
      <c r="E32" s="134" t="s">
        <v>69</v>
      </c>
      <c r="F32" s="304">
        <v>183</v>
      </c>
      <c r="G32" s="304">
        <v>6</v>
      </c>
      <c r="H32" s="304">
        <v>8</v>
      </c>
      <c r="I32" s="289">
        <v>2937</v>
      </c>
      <c r="J32" s="282">
        <v>674</v>
      </c>
      <c r="K32" s="278">
        <f t="shared" si="0"/>
        <v>112.33333333333333</v>
      </c>
      <c r="L32" s="302">
        <f t="shared" si="1"/>
        <v>4.357566765578635</v>
      </c>
      <c r="M32" s="390">
        <f>1182111.5+571701+1057112+222438-23+32518+14705+6718+2937-1</f>
        <v>3090216.5</v>
      </c>
      <c r="N32" s="277">
        <f>169230+82491+151061+33037+6240+4042+1655+674</f>
        <v>448430</v>
      </c>
      <c r="O32" s="309">
        <f>+M32/N32</f>
        <v>6.891190375309413</v>
      </c>
      <c r="P32" s="266"/>
    </row>
    <row r="33" spans="1:16" s="7" customFormat="1" ht="15">
      <c r="A33" s="111">
        <v>29</v>
      </c>
      <c r="B33" s="273" t="s">
        <v>26</v>
      </c>
      <c r="C33" s="125">
        <v>38975</v>
      </c>
      <c r="D33" s="136" t="s">
        <v>57</v>
      </c>
      <c r="E33" s="136" t="s">
        <v>60</v>
      </c>
      <c r="F33" s="126">
        <v>125</v>
      </c>
      <c r="G33" s="126">
        <v>3</v>
      </c>
      <c r="H33" s="126">
        <v>21</v>
      </c>
      <c r="I33" s="288">
        <v>2635</v>
      </c>
      <c r="J33" s="280">
        <v>667</v>
      </c>
      <c r="K33" s="278">
        <f t="shared" si="0"/>
        <v>222.33333333333334</v>
      </c>
      <c r="L33" s="302">
        <f t="shared" si="1"/>
        <v>3.9505247376311843</v>
      </c>
      <c r="M33" s="391">
        <v>2371898</v>
      </c>
      <c r="N33" s="276">
        <v>327826</v>
      </c>
      <c r="O33" s="309">
        <f>+M33/N33</f>
        <v>7.235234545155052</v>
      </c>
      <c r="P33" s="266"/>
    </row>
    <row r="34" spans="1:16" s="7" customFormat="1" ht="15">
      <c r="A34" s="111">
        <v>30</v>
      </c>
      <c r="B34" s="273" t="s">
        <v>128</v>
      </c>
      <c r="C34" s="125">
        <v>39073</v>
      </c>
      <c r="D34" s="136" t="s">
        <v>58</v>
      </c>
      <c r="E34" s="136" t="s">
        <v>58</v>
      </c>
      <c r="F34" s="126">
        <v>186</v>
      </c>
      <c r="G34" s="126">
        <v>9</v>
      </c>
      <c r="H34" s="126">
        <v>7</v>
      </c>
      <c r="I34" s="288">
        <v>2380</v>
      </c>
      <c r="J34" s="280">
        <v>430</v>
      </c>
      <c r="K34" s="278">
        <f t="shared" si="0"/>
        <v>47.77777777777778</v>
      </c>
      <c r="L34" s="302">
        <f t="shared" si="1"/>
        <v>5.534883720930233</v>
      </c>
      <c r="M34" s="391">
        <f>585035+996891+491242.5+184490.5+17956.5+82961.5+2380</f>
        <v>2360957</v>
      </c>
      <c r="N34" s="276">
        <f>86553+140459+66355+26647+3232+11969+430</f>
        <v>335645</v>
      </c>
      <c r="O34" s="310">
        <f>IF(M34&lt;&gt;0,M34/N34,"")</f>
        <v>7.034089588702349</v>
      </c>
      <c r="P34" s="266"/>
    </row>
    <row r="35" spans="1:16" s="7" customFormat="1" ht="15">
      <c r="A35" s="111">
        <v>31</v>
      </c>
      <c r="B35" s="273" t="s">
        <v>93</v>
      </c>
      <c r="C35" s="125">
        <v>39010</v>
      </c>
      <c r="D35" s="136" t="s">
        <v>57</v>
      </c>
      <c r="E35" s="136" t="s">
        <v>65</v>
      </c>
      <c r="F35" s="126">
        <v>106</v>
      </c>
      <c r="G35" s="126">
        <v>1</v>
      </c>
      <c r="H35" s="126">
        <v>16</v>
      </c>
      <c r="I35" s="288">
        <v>2375</v>
      </c>
      <c r="J35" s="280">
        <v>705</v>
      </c>
      <c r="K35" s="278">
        <f t="shared" si="0"/>
        <v>705</v>
      </c>
      <c r="L35" s="302">
        <f t="shared" si="1"/>
        <v>3.368794326241135</v>
      </c>
      <c r="M35" s="391">
        <v>1276084</v>
      </c>
      <c r="N35" s="276">
        <v>171034</v>
      </c>
      <c r="O35" s="310">
        <f>IF(M35&lt;&gt;0,M35/N35,"")</f>
        <v>7.460996059263071</v>
      </c>
      <c r="P35" s="266"/>
    </row>
    <row r="36" spans="1:16" s="7" customFormat="1" ht="15">
      <c r="A36" s="111">
        <v>32</v>
      </c>
      <c r="B36" s="273" t="s">
        <v>76</v>
      </c>
      <c r="C36" s="125">
        <v>39045</v>
      </c>
      <c r="D36" s="136" t="s">
        <v>58</v>
      </c>
      <c r="E36" s="136" t="s">
        <v>77</v>
      </c>
      <c r="F36" s="126">
        <v>59</v>
      </c>
      <c r="G36" s="126">
        <v>3</v>
      </c>
      <c r="H36" s="126">
        <v>11</v>
      </c>
      <c r="I36" s="288">
        <v>2267.5</v>
      </c>
      <c r="J36" s="280">
        <v>561</v>
      </c>
      <c r="K36" s="278">
        <f t="shared" si="0"/>
        <v>187</v>
      </c>
      <c r="L36" s="302">
        <f t="shared" si="1"/>
        <v>4.041889483065954</v>
      </c>
      <c r="M36" s="391">
        <f>923228.5+937012.5+950194+628448.5+336851+386155+185586+7528+78557+38487.5+19951.5+79+2267.5-1008</f>
        <v>4493338</v>
      </c>
      <c r="N36" s="276">
        <f>117837+123027+120667+81172+47916+61261+32646+795+14471+9345+4644+35+561-336</f>
        <v>614041</v>
      </c>
      <c r="O36" s="310">
        <f>IF(M36&lt;&gt;0,M36/N36,"")</f>
        <v>7.317651427184829</v>
      </c>
      <c r="P36" s="266"/>
    </row>
    <row r="37" spans="1:16" s="7" customFormat="1" ht="15">
      <c r="A37" s="111">
        <v>33</v>
      </c>
      <c r="B37" s="273" t="s">
        <v>130</v>
      </c>
      <c r="C37" s="125">
        <v>39066</v>
      </c>
      <c r="D37" s="136" t="s">
        <v>58</v>
      </c>
      <c r="E37" s="136" t="s">
        <v>117</v>
      </c>
      <c r="F37" s="126">
        <v>42</v>
      </c>
      <c r="G37" s="126">
        <v>5</v>
      </c>
      <c r="H37" s="126">
        <v>8</v>
      </c>
      <c r="I37" s="288">
        <v>2025</v>
      </c>
      <c r="J37" s="280">
        <v>379</v>
      </c>
      <c r="K37" s="278">
        <f t="shared" si="0"/>
        <v>75.8</v>
      </c>
      <c r="L37" s="302">
        <f t="shared" si="1"/>
        <v>5.3430079155672825</v>
      </c>
      <c r="M37" s="391">
        <f>209701.5+109863.5+41050.5+19306.5+225+6896.5+1781+2843+2025</f>
        <v>393692.5</v>
      </c>
      <c r="N37" s="276">
        <f>27729+14260+5261+3088+18+1472+334+581+379</f>
        <v>53122</v>
      </c>
      <c r="O37" s="309">
        <f>+M37/N37</f>
        <v>7.411100862166334</v>
      </c>
      <c r="P37" s="266"/>
    </row>
    <row r="38" spans="1:16" s="7" customFormat="1" ht="15">
      <c r="A38" s="111">
        <v>34</v>
      </c>
      <c r="B38" s="272" t="s">
        <v>148</v>
      </c>
      <c r="C38" s="124">
        <v>39087</v>
      </c>
      <c r="D38" s="134" t="s">
        <v>192</v>
      </c>
      <c r="E38" s="134" t="s">
        <v>192</v>
      </c>
      <c r="F38" s="304">
        <v>11</v>
      </c>
      <c r="G38" s="304">
        <v>1</v>
      </c>
      <c r="H38" s="304">
        <v>5</v>
      </c>
      <c r="I38" s="295">
        <v>1966</v>
      </c>
      <c r="J38" s="339">
        <v>202</v>
      </c>
      <c r="K38" s="278">
        <f t="shared" si="0"/>
        <v>202</v>
      </c>
      <c r="L38" s="302">
        <f t="shared" si="1"/>
        <v>9.732673267326733</v>
      </c>
      <c r="M38" s="393">
        <v>101472.29</v>
      </c>
      <c r="N38" s="312">
        <v>9903</v>
      </c>
      <c r="O38" s="310">
        <f>IF(M38&lt;&gt;0,M38/N38,"")</f>
        <v>10.246621225891143</v>
      </c>
      <c r="P38" s="266"/>
    </row>
    <row r="39" spans="1:16" s="7" customFormat="1" ht="15">
      <c r="A39" s="111">
        <v>35</v>
      </c>
      <c r="B39" s="129" t="s">
        <v>193</v>
      </c>
      <c r="C39" s="127">
        <v>39101</v>
      </c>
      <c r="D39" s="138" t="s">
        <v>64</v>
      </c>
      <c r="E39" s="138" t="s">
        <v>194</v>
      </c>
      <c r="F39" s="306">
        <v>14</v>
      </c>
      <c r="G39" s="306">
        <v>1</v>
      </c>
      <c r="H39" s="306">
        <v>3</v>
      </c>
      <c r="I39" s="293">
        <v>1950</v>
      </c>
      <c r="J39" s="286">
        <v>311</v>
      </c>
      <c r="K39" s="307">
        <f t="shared" si="0"/>
        <v>311</v>
      </c>
      <c r="L39" s="394">
        <f t="shared" si="1"/>
        <v>6.270096463022508</v>
      </c>
      <c r="M39" s="395">
        <v>70598</v>
      </c>
      <c r="N39" s="307">
        <v>6940</v>
      </c>
      <c r="O39" s="400">
        <f>M39/N39</f>
        <v>10.172622478386167</v>
      </c>
      <c r="P39" s="266"/>
    </row>
    <row r="40" spans="1:16" s="7" customFormat="1" ht="15">
      <c r="A40" s="111">
        <v>36</v>
      </c>
      <c r="B40" s="274" t="s">
        <v>95</v>
      </c>
      <c r="C40" s="125">
        <v>39010</v>
      </c>
      <c r="D40" s="140" t="s">
        <v>23</v>
      </c>
      <c r="E40" s="139" t="s">
        <v>86</v>
      </c>
      <c r="F40" s="128">
        <v>4</v>
      </c>
      <c r="G40" s="128">
        <v>1</v>
      </c>
      <c r="H40" s="128">
        <v>16</v>
      </c>
      <c r="I40" s="288">
        <v>1780</v>
      </c>
      <c r="J40" s="280">
        <v>445</v>
      </c>
      <c r="K40" s="278">
        <f t="shared" si="0"/>
        <v>445</v>
      </c>
      <c r="L40" s="302">
        <f t="shared" si="1"/>
        <v>4</v>
      </c>
      <c r="M40" s="391">
        <f>29917+16679+11125+3878+2666+4428+2241.5+1511+3063+970+820+1894+1723+1526+175+2339+1780</f>
        <v>86735.5</v>
      </c>
      <c r="N40" s="276">
        <f>3239+2157+1429+524+500+1570+699+278+431+179+191+394+386+373+27+447+445</f>
        <v>13269</v>
      </c>
      <c r="O40" s="399">
        <f>M40/N40</f>
        <v>6.536702087572538</v>
      </c>
      <c r="P40" s="266"/>
    </row>
    <row r="41" spans="1:16" s="7" customFormat="1" ht="15">
      <c r="A41" s="111">
        <v>37</v>
      </c>
      <c r="B41" s="273" t="s">
        <v>115</v>
      </c>
      <c r="C41" s="125">
        <v>39066</v>
      </c>
      <c r="D41" s="136" t="s">
        <v>58</v>
      </c>
      <c r="E41" s="136" t="s">
        <v>59</v>
      </c>
      <c r="F41" s="126">
        <v>51</v>
      </c>
      <c r="G41" s="126">
        <v>1</v>
      </c>
      <c r="H41" s="126">
        <v>8</v>
      </c>
      <c r="I41" s="288">
        <v>1425</v>
      </c>
      <c r="J41" s="280">
        <v>168</v>
      </c>
      <c r="K41" s="278">
        <f t="shared" si="0"/>
        <v>168</v>
      </c>
      <c r="L41" s="302">
        <f t="shared" si="1"/>
        <v>8.482142857142858</v>
      </c>
      <c r="M41" s="391">
        <f>413847+223134.5+144826+34457+11124+4855+6963+1425</f>
        <v>840631.5</v>
      </c>
      <c r="N41" s="276">
        <f>50367+26840+18766+4967+1852+788+1244+168</f>
        <v>104992</v>
      </c>
      <c r="O41" s="310">
        <f>IF(M41&lt;&gt;0,M41/N41,"")</f>
        <v>8.006624314233465</v>
      </c>
      <c r="P41" s="266"/>
    </row>
    <row r="42" spans="1:16" s="7" customFormat="1" ht="15">
      <c r="A42" s="111">
        <v>38</v>
      </c>
      <c r="B42" s="275" t="s">
        <v>175</v>
      </c>
      <c r="C42" s="124">
        <v>39038</v>
      </c>
      <c r="D42" s="137" t="s">
        <v>45</v>
      </c>
      <c r="E42" s="137" t="s">
        <v>176</v>
      </c>
      <c r="F42" s="303" t="s">
        <v>265</v>
      </c>
      <c r="G42" s="303" t="s">
        <v>20</v>
      </c>
      <c r="H42" s="303" t="s">
        <v>266</v>
      </c>
      <c r="I42" s="289">
        <v>1188</v>
      </c>
      <c r="J42" s="282">
        <v>396</v>
      </c>
      <c r="K42" s="278">
        <f t="shared" si="0"/>
        <v>396</v>
      </c>
      <c r="L42" s="302">
        <f t="shared" si="1"/>
        <v>3</v>
      </c>
      <c r="M42" s="390">
        <v>43793.5</v>
      </c>
      <c r="N42" s="277">
        <v>7714</v>
      </c>
      <c r="O42" s="309">
        <f>+M42/N42</f>
        <v>5.6771454498314755</v>
      </c>
      <c r="P42" s="266"/>
    </row>
    <row r="43" spans="1:16" s="7" customFormat="1" ht="15">
      <c r="A43" s="111">
        <v>39</v>
      </c>
      <c r="B43" s="272" t="s">
        <v>106</v>
      </c>
      <c r="C43" s="124">
        <v>39073</v>
      </c>
      <c r="D43" s="135" t="s">
        <v>56</v>
      </c>
      <c r="E43" s="134" t="s">
        <v>11</v>
      </c>
      <c r="F43" s="304">
        <v>60</v>
      </c>
      <c r="G43" s="304">
        <v>1</v>
      </c>
      <c r="H43" s="304">
        <v>7</v>
      </c>
      <c r="I43" s="289">
        <v>1073</v>
      </c>
      <c r="J43" s="282">
        <v>200</v>
      </c>
      <c r="K43" s="278">
        <f t="shared" si="0"/>
        <v>200</v>
      </c>
      <c r="L43" s="302">
        <f t="shared" si="1"/>
        <v>5.365</v>
      </c>
      <c r="M43" s="390">
        <f>699081+736993+318216+148350+83269+13464+1073-2.5</f>
        <v>2000443.5</v>
      </c>
      <c r="N43" s="277">
        <f>78037+80041+36145+17661+10172+1277+200</f>
        <v>223533</v>
      </c>
      <c r="O43" s="309">
        <f>+M43/N43</f>
        <v>8.949208841647541</v>
      </c>
      <c r="P43" s="266"/>
    </row>
    <row r="44" spans="1:16" s="7" customFormat="1" ht="15">
      <c r="A44" s="111">
        <v>40</v>
      </c>
      <c r="B44" s="274" t="s">
        <v>160</v>
      </c>
      <c r="C44" s="125">
        <v>39045</v>
      </c>
      <c r="D44" s="140" t="s">
        <v>23</v>
      </c>
      <c r="E44" s="139" t="s">
        <v>161</v>
      </c>
      <c r="F44" s="128">
        <v>4</v>
      </c>
      <c r="G44" s="128">
        <v>1</v>
      </c>
      <c r="H44" s="128">
        <v>9</v>
      </c>
      <c r="I44" s="288">
        <v>1068</v>
      </c>
      <c r="J44" s="280">
        <v>267</v>
      </c>
      <c r="K44" s="278">
        <f t="shared" si="0"/>
        <v>267</v>
      </c>
      <c r="L44" s="302">
        <f t="shared" si="1"/>
        <v>4</v>
      </c>
      <c r="M44" s="391">
        <f>4508+1771+883+1554+851.5+290.5+236+176+1068</f>
        <v>11338</v>
      </c>
      <c r="N44" s="276">
        <f>484+239+139+406+142+39+97+68+267</f>
        <v>1881</v>
      </c>
      <c r="O44" s="399">
        <f>M44/N44</f>
        <v>6.027644869750133</v>
      </c>
      <c r="P44" s="266"/>
    </row>
    <row r="45" spans="1:16" s="7" customFormat="1" ht="15">
      <c r="A45" s="111">
        <v>41</v>
      </c>
      <c r="B45" s="274" t="s">
        <v>226</v>
      </c>
      <c r="C45" s="125">
        <v>38191</v>
      </c>
      <c r="D45" s="140" t="s">
        <v>23</v>
      </c>
      <c r="E45" s="139" t="s">
        <v>200</v>
      </c>
      <c r="F45" s="128">
        <v>3</v>
      </c>
      <c r="G45" s="128">
        <v>1</v>
      </c>
      <c r="H45" s="128">
        <v>36</v>
      </c>
      <c r="I45" s="288">
        <v>476</v>
      </c>
      <c r="J45" s="280">
        <v>119</v>
      </c>
      <c r="K45" s="278">
        <f t="shared" si="0"/>
        <v>119</v>
      </c>
      <c r="L45" s="302">
        <f t="shared" si="1"/>
        <v>4</v>
      </c>
      <c r="M45" s="391">
        <f>44809+939+1634+438+363+435+381+3327+826+257+76+414+70+126+1425+2370+1830+247+1881+1257+293+158+874+1298+210+125+120+803.2+476</f>
        <v>67462.2</v>
      </c>
      <c r="N45" s="276">
        <f>6652+184+308+91+121+145+107+608+160+57+19+117+20+36+475+414+320+44+284+194+77+21+125+216+42+25+24+502+119</f>
        <v>11507</v>
      </c>
      <c r="O45" s="399">
        <f>M45/N45</f>
        <v>5.862709654992613</v>
      </c>
      <c r="P45" s="266"/>
    </row>
    <row r="46" spans="1:16" s="7" customFormat="1" ht="15">
      <c r="A46" s="111">
        <v>42</v>
      </c>
      <c r="B46" s="273" t="s">
        <v>244</v>
      </c>
      <c r="C46" s="125">
        <v>38989</v>
      </c>
      <c r="D46" s="136" t="s">
        <v>58</v>
      </c>
      <c r="E46" s="136" t="s">
        <v>66</v>
      </c>
      <c r="F46" s="126">
        <v>40</v>
      </c>
      <c r="G46" s="126">
        <v>1</v>
      </c>
      <c r="H46" s="126">
        <v>10</v>
      </c>
      <c r="I46" s="288">
        <v>397</v>
      </c>
      <c r="J46" s="280">
        <v>77</v>
      </c>
      <c r="K46" s="278">
        <f t="shared" si="0"/>
        <v>77</v>
      </c>
      <c r="L46" s="302">
        <f t="shared" si="1"/>
        <v>5.1558441558441555</v>
      </c>
      <c r="M46" s="391">
        <f>165996+109228+65029.5+4604.5+5145+4011+3133+1316+846+397</f>
        <v>359706</v>
      </c>
      <c r="N46" s="276">
        <f>19746+13243+8058+957+1080+827+557+222+173+77</f>
        <v>44940</v>
      </c>
      <c r="O46" s="309">
        <f>+M46/N46</f>
        <v>8.004138851802404</v>
      </c>
      <c r="P46" s="266"/>
    </row>
    <row r="47" spans="1:16" s="7" customFormat="1" ht="15">
      <c r="A47" s="111">
        <v>43</v>
      </c>
      <c r="B47" s="272" t="s">
        <v>41</v>
      </c>
      <c r="C47" s="124">
        <v>39038</v>
      </c>
      <c r="D47" s="135" t="s">
        <v>56</v>
      </c>
      <c r="E47" s="134" t="s">
        <v>61</v>
      </c>
      <c r="F47" s="304">
        <v>103</v>
      </c>
      <c r="G47" s="304">
        <v>1</v>
      </c>
      <c r="H47" s="304">
        <v>12</v>
      </c>
      <c r="I47" s="289">
        <v>362</v>
      </c>
      <c r="J47" s="282">
        <v>51</v>
      </c>
      <c r="K47" s="278">
        <f t="shared" si="0"/>
        <v>51</v>
      </c>
      <c r="L47" s="302">
        <f t="shared" si="1"/>
        <v>7.098039215686274</v>
      </c>
      <c r="M47" s="390">
        <f>936218+573053+384209+225007+43677-1.5+14817+7970-0.5+2372+1812+6458+406+362</f>
        <v>2196359</v>
      </c>
      <c r="N47" s="277">
        <f>104381+65348+45327+26825+6248+3223+1455+338+360+1814+59+51</f>
        <v>255429</v>
      </c>
      <c r="O47" s="309">
        <f>+M47/N47</f>
        <v>8.598706489866068</v>
      </c>
      <c r="P47" s="266"/>
    </row>
    <row r="48" spans="1:16" s="7" customFormat="1" ht="15">
      <c r="A48" s="111">
        <v>44</v>
      </c>
      <c r="B48" s="274" t="s">
        <v>201</v>
      </c>
      <c r="C48" s="125">
        <v>38863</v>
      </c>
      <c r="D48" s="140" t="s">
        <v>23</v>
      </c>
      <c r="E48" s="139" t="s">
        <v>13</v>
      </c>
      <c r="F48" s="128">
        <v>35</v>
      </c>
      <c r="G48" s="128">
        <v>1</v>
      </c>
      <c r="H48" s="128">
        <v>28</v>
      </c>
      <c r="I48" s="288">
        <v>353.6</v>
      </c>
      <c r="J48" s="280">
        <v>221</v>
      </c>
      <c r="K48" s="278">
        <f t="shared" si="0"/>
        <v>221</v>
      </c>
      <c r="L48" s="302">
        <f t="shared" si="1"/>
        <v>1.6</v>
      </c>
      <c r="M48" s="391">
        <f>149883.5+135641.5+82301.5+72589.5+39819+39540+36570.5+16522+7667.5+7505+3512+4803+1880+716+4840+2288+337.5+291+2062+303+1509+197+2862+711+1068+594+952+353.6</f>
        <v>617319.1</v>
      </c>
      <c r="N48" s="276">
        <f>19608+17668+11309+10378+6088+6513+6684+3212+1345+1482+722+1193+358+130+881+616+56+49+654+101+267+49+953+237+356+198+238+221</f>
        <v>91566</v>
      </c>
      <c r="O48" s="399">
        <f>M48/N48</f>
        <v>6.741793897298123</v>
      </c>
      <c r="P48" s="266"/>
    </row>
    <row r="49" spans="1:16" s="7" customFormat="1" ht="15">
      <c r="A49" s="111">
        <v>45</v>
      </c>
      <c r="B49" s="274" t="s">
        <v>243</v>
      </c>
      <c r="C49" s="125">
        <v>38548</v>
      </c>
      <c r="D49" s="140" t="s">
        <v>23</v>
      </c>
      <c r="E49" s="139" t="s">
        <v>212</v>
      </c>
      <c r="F49" s="128">
        <v>5</v>
      </c>
      <c r="G49" s="128">
        <v>1</v>
      </c>
      <c r="H49" s="128">
        <v>19</v>
      </c>
      <c r="I49" s="288">
        <v>236</v>
      </c>
      <c r="J49" s="280">
        <v>59</v>
      </c>
      <c r="K49" s="278">
        <f t="shared" si="0"/>
        <v>59</v>
      </c>
      <c r="L49" s="302">
        <f t="shared" si="1"/>
        <v>4</v>
      </c>
      <c r="M49" s="391">
        <f>12907+8305+3709+9521+5595+4291.5+2313.5+2410+2771+3491+829+102+364+256+314+461+277+276+236</f>
        <v>58429</v>
      </c>
      <c r="N49" s="276">
        <f>1417+942+490+1547+820+734+453+492+521+723+171+34+68+64+56+79+46+48+59</f>
        <v>8764</v>
      </c>
      <c r="O49" s="399">
        <f>M49/N49</f>
        <v>6.666932907348243</v>
      </c>
      <c r="P49" s="266"/>
    </row>
    <row r="50" spans="1:16" s="7" customFormat="1" ht="15">
      <c r="A50" s="111">
        <v>46</v>
      </c>
      <c r="B50" s="272" t="s">
        <v>116</v>
      </c>
      <c r="C50" s="124">
        <v>39066</v>
      </c>
      <c r="D50" s="135" t="s">
        <v>56</v>
      </c>
      <c r="E50" s="134" t="s">
        <v>71</v>
      </c>
      <c r="F50" s="304">
        <v>40</v>
      </c>
      <c r="G50" s="304">
        <v>1</v>
      </c>
      <c r="H50" s="304">
        <v>8</v>
      </c>
      <c r="I50" s="289">
        <v>234</v>
      </c>
      <c r="J50" s="282">
        <v>27</v>
      </c>
      <c r="K50" s="278">
        <f t="shared" si="0"/>
        <v>27</v>
      </c>
      <c r="L50" s="302">
        <f t="shared" si="1"/>
        <v>8.666666666666666</v>
      </c>
      <c r="M50" s="390">
        <f>257213+151003+41071+3039+1124+2600+762+234-1</f>
        <v>457045</v>
      </c>
      <c r="N50" s="277">
        <f>28845+15597+3570+371+164+361+96+27</f>
        <v>49031</v>
      </c>
      <c r="O50" s="309">
        <f>+M50/N50</f>
        <v>9.32155167139157</v>
      </c>
      <c r="P50" s="266"/>
    </row>
    <row r="51" spans="1:16" s="7" customFormat="1" ht="15">
      <c r="A51" s="111">
        <v>47</v>
      </c>
      <c r="B51" s="272" t="s">
        <v>79</v>
      </c>
      <c r="C51" s="124">
        <v>39059</v>
      </c>
      <c r="D51" s="135" t="s">
        <v>56</v>
      </c>
      <c r="E51" s="134" t="s">
        <v>11</v>
      </c>
      <c r="F51" s="304">
        <v>32</v>
      </c>
      <c r="G51" s="304">
        <v>1</v>
      </c>
      <c r="H51" s="304">
        <v>8</v>
      </c>
      <c r="I51" s="289">
        <v>190</v>
      </c>
      <c r="J51" s="282">
        <v>38</v>
      </c>
      <c r="K51" s="278">
        <f t="shared" si="0"/>
        <v>38</v>
      </c>
      <c r="L51" s="302">
        <f t="shared" si="1"/>
        <v>5</v>
      </c>
      <c r="M51" s="390">
        <f>280+256+110424+58120+3154+1109+911+1910+492+190-0.5</f>
        <v>176845.5</v>
      </c>
      <c r="N51" s="277">
        <f>25+29+12021+6283+297+168+163+284+70+38</f>
        <v>19378</v>
      </c>
      <c r="O51" s="309">
        <f>+M51/N51</f>
        <v>9.12609660439674</v>
      </c>
      <c r="P51" s="266"/>
    </row>
    <row r="52" spans="1:16" s="7" customFormat="1" ht="15">
      <c r="A52" s="111">
        <v>48</v>
      </c>
      <c r="B52" s="274" t="s">
        <v>232</v>
      </c>
      <c r="C52" s="125">
        <v>38996</v>
      </c>
      <c r="D52" s="140" t="s">
        <v>23</v>
      </c>
      <c r="E52" s="139" t="s">
        <v>196</v>
      </c>
      <c r="F52" s="128">
        <v>3</v>
      </c>
      <c r="G52" s="128">
        <v>1</v>
      </c>
      <c r="H52" s="128">
        <v>13</v>
      </c>
      <c r="I52" s="288">
        <v>170</v>
      </c>
      <c r="J52" s="280">
        <v>34</v>
      </c>
      <c r="K52" s="278">
        <f t="shared" si="0"/>
        <v>34</v>
      </c>
      <c r="L52" s="302">
        <f t="shared" si="1"/>
        <v>5</v>
      </c>
      <c r="M52" s="391">
        <f>10863.75+6916+6396+452+3034+1816+1662+291+902+2590+1209+247+34+170</f>
        <v>36582.75</v>
      </c>
      <c r="N52" s="276">
        <f>2246+865+798+56+383+419+554+86+266+722+403+45+6+34</f>
        <v>6883</v>
      </c>
      <c r="O52" s="399">
        <f>M52/N52</f>
        <v>5.314942612233038</v>
      </c>
      <c r="P52" s="266"/>
    </row>
    <row r="53" spans="1:16" s="7" customFormat="1" ht="15">
      <c r="A53" s="111">
        <v>49</v>
      </c>
      <c r="B53" s="273" t="s">
        <v>168</v>
      </c>
      <c r="C53" s="125">
        <v>39094</v>
      </c>
      <c r="D53" s="136" t="s">
        <v>55</v>
      </c>
      <c r="E53" s="136" t="s">
        <v>63</v>
      </c>
      <c r="F53" s="126">
        <v>30</v>
      </c>
      <c r="G53" s="126">
        <v>1</v>
      </c>
      <c r="H53" s="126">
        <v>9</v>
      </c>
      <c r="I53" s="288">
        <v>150</v>
      </c>
      <c r="J53" s="280">
        <v>15</v>
      </c>
      <c r="K53" s="311">
        <f>+J53/G53</f>
        <v>15</v>
      </c>
      <c r="L53" s="305">
        <f>+I53/J53</f>
        <v>10</v>
      </c>
      <c r="M53" s="391">
        <f>241275+150</f>
        <v>241425</v>
      </c>
      <c r="N53" s="276">
        <v>23795</v>
      </c>
      <c r="O53" s="310">
        <f>+M53/N53</f>
        <v>10.146039083841144</v>
      </c>
      <c r="P53" s="266"/>
    </row>
    <row r="54" spans="1:16" s="7" customFormat="1" ht="15">
      <c r="A54" s="111">
        <v>50</v>
      </c>
      <c r="B54" s="273" t="s">
        <v>83</v>
      </c>
      <c r="C54" s="125">
        <v>39010</v>
      </c>
      <c r="D54" s="136" t="s">
        <v>58</v>
      </c>
      <c r="E54" s="136" t="s">
        <v>71</v>
      </c>
      <c r="F54" s="126">
        <v>249</v>
      </c>
      <c r="G54" s="126">
        <v>1</v>
      </c>
      <c r="H54" s="126">
        <v>15</v>
      </c>
      <c r="I54" s="288">
        <v>130</v>
      </c>
      <c r="J54" s="280">
        <v>18</v>
      </c>
      <c r="K54" s="278">
        <f>J54/G54</f>
        <v>18</v>
      </c>
      <c r="L54" s="302">
        <f>I54/J54</f>
        <v>7.222222222222222</v>
      </c>
      <c r="M54" s="391">
        <f>2091324+1603944+1186300.5+991717.5+717901+573177.5+337639.5+220215+96901+28369.5+13340+3471+3453+2097+5274.5+130</f>
        <v>7875255</v>
      </c>
      <c r="N54" s="276">
        <f>295082+234355+172754+142027+106368+86447+53316+35787+14919+3959+1914+491+674+307+1016+18</f>
        <v>1149434</v>
      </c>
      <c r="O54" s="310">
        <f>IF(M54&lt;&gt;0,M54/N54,"")</f>
        <v>6.851419916237035</v>
      </c>
      <c r="P54" s="266"/>
    </row>
    <row r="55" spans="1:16" s="7" customFormat="1" ht="15.75" thickBot="1">
      <c r="A55" s="111">
        <v>51</v>
      </c>
      <c r="B55" s="401" t="s">
        <v>104</v>
      </c>
      <c r="C55" s="321">
        <v>39059</v>
      </c>
      <c r="D55" s="322" t="s">
        <v>23</v>
      </c>
      <c r="E55" s="323" t="s">
        <v>105</v>
      </c>
      <c r="F55" s="324">
        <v>4</v>
      </c>
      <c r="G55" s="324">
        <v>1</v>
      </c>
      <c r="H55" s="324">
        <v>8</v>
      </c>
      <c r="I55" s="402">
        <v>60</v>
      </c>
      <c r="J55" s="325">
        <v>24</v>
      </c>
      <c r="K55" s="326">
        <f>J55/G55</f>
        <v>24</v>
      </c>
      <c r="L55" s="327">
        <f>I55/J55</f>
        <v>2.5</v>
      </c>
      <c r="M55" s="403">
        <f>5003+5487+2620+995+115+453+952+1068+60</f>
        <v>16753</v>
      </c>
      <c r="N55" s="328">
        <f>1000+688+315+110+14+91+238+267+24</f>
        <v>2747</v>
      </c>
      <c r="O55" s="404">
        <f>M55/N55</f>
        <v>6.098653076083</v>
      </c>
      <c r="P55" s="266"/>
    </row>
    <row r="56" spans="1:16" s="123" customFormat="1" ht="15">
      <c r="A56" s="338" t="s">
        <v>50</v>
      </c>
      <c r="B56" s="437"/>
      <c r="C56" s="113"/>
      <c r="D56" s="114" t="s">
        <v>259</v>
      </c>
      <c r="E56" s="115"/>
      <c r="F56" s="114"/>
      <c r="G56" s="116">
        <f>SUM(G5:G55)</f>
        <v>1183</v>
      </c>
      <c r="H56" s="114"/>
      <c r="I56" s="117">
        <f>SUM(I5:I55)</f>
        <v>8785416.1</v>
      </c>
      <c r="J56" s="118">
        <f>SUM(J5:J55)</f>
        <v>1151292</v>
      </c>
      <c r="K56" s="119">
        <f>J56/G56</f>
        <v>973.1969568892646</v>
      </c>
      <c r="L56" s="120">
        <f>I56/J56</f>
        <v>7.630919089162436</v>
      </c>
      <c r="M56" s="121"/>
      <c r="N56" s="119"/>
      <c r="O56" s="122"/>
      <c r="P56" s="268"/>
    </row>
    <row r="57" spans="1:16" s="13" customFormat="1" ht="15">
      <c r="A57" s="438" t="s">
        <v>49</v>
      </c>
      <c r="B57" s="439"/>
      <c r="C57" s="29"/>
      <c r="D57" s="30" t="s">
        <v>238</v>
      </c>
      <c r="E57" s="28"/>
      <c r="F57" s="30"/>
      <c r="G57" s="31">
        <v>1196</v>
      </c>
      <c r="H57" s="30"/>
      <c r="I57" s="46">
        <v>9179330.2</v>
      </c>
      <c r="J57" s="102">
        <v>1224917</v>
      </c>
      <c r="K57" s="36">
        <f>J57/G57</f>
        <v>1024.178093645485</v>
      </c>
      <c r="L57" s="32">
        <f>I57/J57</f>
        <v>7.493838521303892</v>
      </c>
      <c r="M57" s="39"/>
      <c r="N57" s="36"/>
      <c r="O57" s="42"/>
      <c r="P57" s="266"/>
    </row>
    <row r="58" spans="1:16" s="7" customFormat="1" ht="13.5">
      <c r="A58" s="52"/>
      <c r="C58" s="11"/>
      <c r="D58" s="15"/>
      <c r="E58" s="15"/>
      <c r="F58" s="8"/>
      <c r="G58" s="8"/>
      <c r="H58" s="8"/>
      <c r="I58" s="47"/>
      <c r="J58" s="33"/>
      <c r="K58" s="34"/>
      <c r="L58" s="21"/>
      <c r="M58" s="40"/>
      <c r="N58" s="34"/>
      <c r="O58" s="43"/>
      <c r="P58" s="266"/>
    </row>
    <row r="59" spans="1:16" s="7" customFormat="1" ht="15">
      <c r="A59" s="52"/>
      <c r="B59" s="444"/>
      <c r="C59" s="444"/>
      <c r="D59" s="447"/>
      <c r="E59" s="447"/>
      <c r="F59" s="447"/>
      <c r="G59" s="22"/>
      <c r="H59" s="8"/>
      <c r="I59" s="47"/>
      <c r="J59" s="33"/>
      <c r="K59" s="445" t="s">
        <v>47</v>
      </c>
      <c r="L59" s="446"/>
      <c r="M59" s="446"/>
      <c r="N59" s="446"/>
      <c r="O59" s="446"/>
      <c r="P59" s="266"/>
    </row>
    <row r="60" spans="1:16" s="7" customFormat="1" ht="15.75" thickBot="1">
      <c r="A60" s="52"/>
      <c r="B60" s="444"/>
      <c r="C60" s="444"/>
      <c r="D60" s="197"/>
      <c r="E60" s="198"/>
      <c r="F60" s="198"/>
      <c r="G60" s="8"/>
      <c r="H60" s="23"/>
      <c r="I60" s="47"/>
      <c r="J60" s="33"/>
      <c r="K60" s="446"/>
      <c r="L60" s="446"/>
      <c r="M60" s="446"/>
      <c r="N60" s="446"/>
      <c r="O60" s="446"/>
      <c r="P60" s="266"/>
    </row>
    <row r="61" spans="1:16" s="7" customFormat="1" ht="15">
      <c r="A61" s="67"/>
      <c r="B61" s="64" t="s">
        <v>51</v>
      </c>
      <c r="C61" s="440" t="s">
        <v>89</v>
      </c>
      <c r="D61" s="441"/>
      <c r="E61" s="441"/>
      <c r="F61" s="442"/>
      <c r="G61" s="8"/>
      <c r="H61" s="23"/>
      <c r="I61" s="47"/>
      <c r="J61" s="33"/>
      <c r="K61" s="446"/>
      <c r="L61" s="446"/>
      <c r="M61" s="446"/>
      <c r="N61" s="446"/>
      <c r="O61" s="446"/>
      <c r="P61" s="266"/>
    </row>
    <row r="62" spans="1:16" s="7" customFormat="1" ht="15">
      <c r="A62" s="74"/>
      <c r="B62" s="75"/>
      <c r="C62" s="76" t="s">
        <v>90</v>
      </c>
      <c r="D62" s="77" t="s">
        <v>6</v>
      </c>
      <c r="E62" s="77" t="s">
        <v>91</v>
      </c>
      <c r="F62" s="78" t="s">
        <v>0</v>
      </c>
      <c r="G62" s="8"/>
      <c r="H62" s="23"/>
      <c r="I62" s="47"/>
      <c r="J62" s="33"/>
      <c r="K62" s="443" t="s">
        <v>184</v>
      </c>
      <c r="L62" s="443"/>
      <c r="M62" s="443"/>
      <c r="N62" s="443"/>
      <c r="O62" s="443"/>
      <c r="P62" s="266"/>
    </row>
    <row r="63" spans="1:16" s="7" customFormat="1" ht="15">
      <c r="A63" s="70">
        <v>1</v>
      </c>
      <c r="B63" s="71" t="s">
        <v>11</v>
      </c>
      <c r="C63" s="174" t="s">
        <v>239</v>
      </c>
      <c r="D63" s="72">
        <v>4155506</v>
      </c>
      <c r="E63" s="73">
        <v>521201</v>
      </c>
      <c r="F63" s="269">
        <f aca="true" t="shared" si="3" ref="F63:F72">D63/E63</f>
        <v>7.972943259893976</v>
      </c>
      <c r="G63" s="8"/>
      <c r="H63" s="23"/>
      <c r="I63" s="47"/>
      <c r="J63" s="33"/>
      <c r="K63" s="443"/>
      <c r="L63" s="443"/>
      <c r="M63" s="443"/>
      <c r="N63" s="443"/>
      <c r="O63" s="443"/>
      <c r="P63" s="266"/>
    </row>
    <row r="64" spans="1:16" s="7" customFormat="1" ht="15">
      <c r="A64" s="68">
        <v>2</v>
      </c>
      <c r="B64" s="65" t="s">
        <v>12</v>
      </c>
      <c r="C64" s="175" t="s">
        <v>267</v>
      </c>
      <c r="D64" s="58">
        <v>2444635</v>
      </c>
      <c r="E64" s="59">
        <v>338879</v>
      </c>
      <c r="F64" s="269">
        <f t="shared" si="3"/>
        <v>7.213887552784327</v>
      </c>
      <c r="G64" s="8"/>
      <c r="H64" s="23"/>
      <c r="I64" s="47"/>
      <c r="J64" s="33"/>
      <c r="K64" s="443"/>
      <c r="L64" s="443"/>
      <c r="M64" s="443"/>
      <c r="N64" s="443"/>
      <c r="O64" s="443"/>
      <c r="P64" s="266"/>
    </row>
    <row r="65" spans="1:16" s="7" customFormat="1" ht="15">
      <c r="A65" s="68">
        <v>3</v>
      </c>
      <c r="B65" s="65" t="s">
        <v>45</v>
      </c>
      <c r="C65" s="175" t="s">
        <v>214</v>
      </c>
      <c r="D65" s="58">
        <v>1604832</v>
      </c>
      <c r="E65" s="59">
        <v>212264</v>
      </c>
      <c r="F65" s="269">
        <f t="shared" si="3"/>
        <v>7.560547243055817</v>
      </c>
      <c r="G65" s="8"/>
      <c r="H65" s="23"/>
      <c r="I65" s="47"/>
      <c r="J65" s="33"/>
      <c r="K65" s="34"/>
      <c r="L65" s="21"/>
      <c r="M65" s="18"/>
      <c r="N65" s="34"/>
      <c r="O65" s="43"/>
      <c r="P65" s="266"/>
    </row>
    <row r="66" spans="1:16" s="7" customFormat="1" ht="15">
      <c r="A66" s="68">
        <v>4</v>
      </c>
      <c r="B66" s="65" t="s">
        <v>44</v>
      </c>
      <c r="C66" s="175" t="s">
        <v>177</v>
      </c>
      <c r="D66" s="58">
        <v>443525</v>
      </c>
      <c r="E66" s="59">
        <v>59697</v>
      </c>
      <c r="F66" s="269">
        <f t="shared" si="3"/>
        <v>7.4296028276127775</v>
      </c>
      <c r="G66" s="8"/>
      <c r="H66" s="435" t="s">
        <v>101</v>
      </c>
      <c r="I66" s="436"/>
      <c r="J66" s="436"/>
      <c r="K66" s="436"/>
      <c r="L66" s="436"/>
      <c r="M66" s="436"/>
      <c r="N66" s="436"/>
      <c r="O66" s="436"/>
      <c r="P66" s="266"/>
    </row>
    <row r="67" spans="1:16" s="27" customFormat="1" ht="15">
      <c r="A67" s="68">
        <v>5</v>
      </c>
      <c r="B67" s="65" t="s">
        <v>23</v>
      </c>
      <c r="C67" s="175" t="s">
        <v>240</v>
      </c>
      <c r="D67" s="58">
        <v>66495.1</v>
      </c>
      <c r="E67" s="59">
        <v>10556</v>
      </c>
      <c r="F67" s="269">
        <f t="shared" si="3"/>
        <v>6.299270557029178</v>
      </c>
      <c r="G67" s="49"/>
      <c r="H67" s="436"/>
      <c r="I67" s="436"/>
      <c r="J67" s="436"/>
      <c r="K67" s="436"/>
      <c r="L67" s="436"/>
      <c r="M67" s="436"/>
      <c r="N67" s="436"/>
      <c r="O67" s="436"/>
      <c r="P67" s="266"/>
    </row>
    <row r="68" spans="1:16" s="27" customFormat="1" ht="15">
      <c r="A68" s="68">
        <v>6</v>
      </c>
      <c r="B68" s="65" t="s">
        <v>73</v>
      </c>
      <c r="C68" s="175" t="s">
        <v>20</v>
      </c>
      <c r="D68" s="58">
        <v>53155</v>
      </c>
      <c r="E68" s="59">
        <v>5353</v>
      </c>
      <c r="F68" s="269">
        <f t="shared" si="3"/>
        <v>9.929945824771156</v>
      </c>
      <c r="G68" s="26"/>
      <c r="H68" s="436"/>
      <c r="I68" s="436"/>
      <c r="J68" s="436"/>
      <c r="K68" s="436"/>
      <c r="L68" s="436"/>
      <c r="M68" s="436"/>
      <c r="N68" s="436"/>
      <c r="O68" s="436"/>
      <c r="P68" s="266"/>
    </row>
    <row r="69" spans="1:16" s="27" customFormat="1" ht="15">
      <c r="A69" s="68">
        <v>7</v>
      </c>
      <c r="B69" s="65" t="s">
        <v>48</v>
      </c>
      <c r="C69" s="175" t="s">
        <v>20</v>
      </c>
      <c r="D69" s="58">
        <v>13202</v>
      </c>
      <c r="E69" s="59">
        <v>2814</v>
      </c>
      <c r="F69" s="269">
        <f t="shared" si="3"/>
        <v>4.691542288557214</v>
      </c>
      <c r="G69" s="26"/>
      <c r="H69" s="436"/>
      <c r="I69" s="436"/>
      <c r="J69" s="436"/>
      <c r="K69" s="436"/>
      <c r="L69" s="436"/>
      <c r="M69" s="436"/>
      <c r="N69" s="436"/>
      <c r="O69" s="436"/>
      <c r="P69" s="266"/>
    </row>
    <row r="70" spans="1:16" s="27" customFormat="1" ht="15">
      <c r="A70" s="68">
        <v>8</v>
      </c>
      <c r="B70" s="65" t="s">
        <v>46</v>
      </c>
      <c r="C70" s="175" t="s">
        <v>20</v>
      </c>
      <c r="D70" s="58">
        <v>1966</v>
      </c>
      <c r="E70" s="59">
        <v>202</v>
      </c>
      <c r="F70" s="269">
        <f t="shared" si="3"/>
        <v>9.732673267326733</v>
      </c>
      <c r="G70" s="26"/>
      <c r="H70" s="436"/>
      <c r="I70" s="436"/>
      <c r="J70" s="436"/>
      <c r="K70" s="436"/>
      <c r="L70" s="436"/>
      <c r="M70" s="436"/>
      <c r="N70" s="436"/>
      <c r="O70" s="436"/>
      <c r="P70" s="266"/>
    </row>
    <row r="71" spans="1:16" s="27" customFormat="1" ht="15">
      <c r="A71" s="68">
        <v>9</v>
      </c>
      <c r="B71" s="65" t="s">
        <v>64</v>
      </c>
      <c r="C71" s="175" t="s">
        <v>20</v>
      </c>
      <c r="D71" s="58">
        <v>1950</v>
      </c>
      <c r="E71" s="59">
        <v>311</v>
      </c>
      <c r="F71" s="269">
        <f t="shared" si="3"/>
        <v>6.270096463022508</v>
      </c>
      <c r="G71" s="26"/>
      <c r="H71" s="436"/>
      <c r="I71" s="436"/>
      <c r="J71" s="436"/>
      <c r="K71" s="436"/>
      <c r="L71" s="436"/>
      <c r="M71" s="436"/>
      <c r="N71" s="436"/>
      <c r="O71" s="436"/>
      <c r="P71" s="266"/>
    </row>
    <row r="72" spans="1:16" s="27" customFormat="1" ht="15">
      <c r="A72" s="68">
        <v>10</v>
      </c>
      <c r="B72" s="65" t="s">
        <v>67</v>
      </c>
      <c r="C72" s="175" t="s">
        <v>20</v>
      </c>
      <c r="D72" s="58">
        <v>150</v>
      </c>
      <c r="E72" s="59">
        <v>15</v>
      </c>
      <c r="F72" s="269">
        <f t="shared" si="3"/>
        <v>10</v>
      </c>
      <c r="G72" s="26"/>
      <c r="H72" s="341" t="s">
        <v>19</v>
      </c>
      <c r="I72" s="436"/>
      <c r="J72" s="436"/>
      <c r="K72" s="436"/>
      <c r="L72" s="436"/>
      <c r="M72" s="436"/>
      <c r="N72" s="436"/>
      <c r="O72" s="436"/>
      <c r="P72" s="266"/>
    </row>
    <row r="73" spans="1:16" s="27" customFormat="1" ht="15">
      <c r="A73" s="68">
        <v>11</v>
      </c>
      <c r="B73" s="65" t="s">
        <v>74</v>
      </c>
      <c r="C73" s="175" t="s">
        <v>87</v>
      </c>
      <c r="D73" s="58" t="s">
        <v>87</v>
      </c>
      <c r="E73" s="59" t="s">
        <v>87</v>
      </c>
      <c r="F73" s="60" t="s">
        <v>87</v>
      </c>
      <c r="G73" s="26"/>
      <c r="H73" s="436"/>
      <c r="I73" s="436"/>
      <c r="J73" s="436"/>
      <c r="K73" s="436"/>
      <c r="L73" s="436"/>
      <c r="M73" s="436"/>
      <c r="N73" s="436"/>
      <c r="O73" s="436"/>
      <c r="P73" s="266"/>
    </row>
    <row r="74" spans="1:16" s="27" customFormat="1" ht="15.75" thickBot="1">
      <c r="A74" s="69">
        <v>12</v>
      </c>
      <c r="B74" s="66" t="s">
        <v>68</v>
      </c>
      <c r="C74" s="176" t="s">
        <v>87</v>
      </c>
      <c r="D74" s="61" t="s">
        <v>87</v>
      </c>
      <c r="E74" s="62" t="s">
        <v>87</v>
      </c>
      <c r="F74" s="63" t="s">
        <v>87</v>
      </c>
      <c r="G74" s="26"/>
      <c r="H74" s="436"/>
      <c r="I74" s="436"/>
      <c r="J74" s="436"/>
      <c r="K74" s="436"/>
      <c r="L74" s="436"/>
      <c r="M74" s="436"/>
      <c r="N74" s="436"/>
      <c r="O74" s="436"/>
      <c r="P74" s="266"/>
    </row>
    <row r="75" spans="1:16" s="27" customFormat="1" ht="18">
      <c r="A75" s="52"/>
      <c r="B75" s="4"/>
      <c r="C75" s="12"/>
      <c r="D75" s="16"/>
      <c r="E75" s="16"/>
      <c r="F75" s="6"/>
      <c r="G75" s="26"/>
      <c r="H75" s="436"/>
      <c r="I75" s="436"/>
      <c r="J75" s="436"/>
      <c r="K75" s="436"/>
      <c r="L75" s="436"/>
      <c r="M75" s="436"/>
      <c r="N75" s="436"/>
      <c r="O75" s="436"/>
      <c r="P75" s="266"/>
    </row>
    <row r="76" spans="1:16" s="27" customFormat="1" ht="18">
      <c r="A76" s="52"/>
      <c r="B76" s="4"/>
      <c r="C76" s="12"/>
      <c r="D76" s="16"/>
      <c r="E76" s="16"/>
      <c r="F76" s="6"/>
      <c r="G76" s="26"/>
      <c r="H76" s="436"/>
      <c r="I76" s="436"/>
      <c r="J76" s="436"/>
      <c r="K76" s="436"/>
      <c r="L76" s="436"/>
      <c r="M76" s="436"/>
      <c r="N76" s="436"/>
      <c r="O76" s="436"/>
      <c r="P76" s="266"/>
    </row>
    <row r="77" spans="1:16" s="27" customFormat="1" ht="15">
      <c r="A77" s="52"/>
      <c r="B77" s="79"/>
      <c r="C77" s="173"/>
      <c r="D77" s="79"/>
      <c r="E77" s="79"/>
      <c r="F77" s="79"/>
      <c r="G77" s="26"/>
      <c r="H77" s="436"/>
      <c r="I77" s="436"/>
      <c r="J77" s="436"/>
      <c r="K77" s="436"/>
      <c r="L77" s="436"/>
      <c r="M77" s="436"/>
      <c r="N77" s="436"/>
      <c r="O77" s="436"/>
      <c r="P77" s="266"/>
    </row>
    <row r="78" spans="1:16" s="27" customFormat="1" ht="15">
      <c r="A78" s="52"/>
      <c r="B78" s="79"/>
      <c r="C78" s="173"/>
      <c r="D78" s="79"/>
      <c r="E78" s="79"/>
      <c r="F78" s="79"/>
      <c r="G78" s="26"/>
      <c r="H78" s="436"/>
      <c r="I78" s="436"/>
      <c r="J78" s="436"/>
      <c r="K78" s="436"/>
      <c r="L78" s="436"/>
      <c r="M78" s="436"/>
      <c r="N78" s="436"/>
      <c r="O78" s="436"/>
      <c r="P78" s="266"/>
    </row>
    <row r="79" spans="1:16" s="27" customFormat="1" ht="15">
      <c r="A79" s="52"/>
      <c r="B79" s="79"/>
      <c r="C79" s="173"/>
      <c r="D79" s="79"/>
      <c r="E79" s="79"/>
      <c r="F79" s="79"/>
      <c r="G79" s="26"/>
      <c r="H79" s="80"/>
      <c r="I79" s="132"/>
      <c r="J79" s="132"/>
      <c r="K79" s="80"/>
      <c r="L79" s="80"/>
      <c r="M79" s="80"/>
      <c r="N79" s="80"/>
      <c r="O79" s="80"/>
      <c r="P79" s="266"/>
    </row>
    <row r="80" spans="1:16" s="27" customFormat="1" ht="15">
      <c r="A80" s="52"/>
      <c r="B80" s="79"/>
      <c r="C80" s="173"/>
      <c r="D80" s="79"/>
      <c r="E80" s="79"/>
      <c r="F80" s="79"/>
      <c r="G80" s="26"/>
      <c r="H80" s="80"/>
      <c r="I80" s="132"/>
      <c r="J80" s="132"/>
      <c r="K80" s="80"/>
      <c r="L80" s="80"/>
      <c r="M80" s="80"/>
      <c r="N80" s="80"/>
      <c r="O80" s="80"/>
      <c r="P80" s="266"/>
    </row>
    <row r="81" spans="2:6" ht="18">
      <c r="B81" s="79"/>
      <c r="C81" s="173"/>
      <c r="D81" s="79"/>
      <c r="E81" s="79"/>
      <c r="F81" s="79"/>
    </row>
    <row r="82" spans="2:6" ht="18">
      <c r="B82" s="79"/>
      <c r="C82" s="173"/>
      <c r="D82" s="79"/>
      <c r="E82" s="79"/>
      <c r="F82" s="79"/>
    </row>
    <row r="83" spans="2:15" ht="18">
      <c r="B83" s="79"/>
      <c r="C83" s="173"/>
      <c r="D83" s="79"/>
      <c r="E83" s="79"/>
      <c r="F83" s="79"/>
      <c r="G83" s="79"/>
      <c r="H83" s="79"/>
      <c r="I83" s="133"/>
      <c r="J83" s="133"/>
      <c r="K83" s="79"/>
      <c r="L83" s="79"/>
      <c r="M83" s="79"/>
      <c r="N83" s="79"/>
      <c r="O83" s="79"/>
    </row>
    <row r="84" spans="2:15" ht="18">
      <c r="B84" s="79"/>
      <c r="C84" s="173"/>
      <c r="D84" s="79"/>
      <c r="E84" s="79"/>
      <c r="F84" s="79"/>
      <c r="G84" s="79"/>
      <c r="H84" s="79"/>
      <c r="I84" s="133"/>
      <c r="J84" s="133"/>
      <c r="K84" s="79"/>
      <c r="L84" s="79"/>
      <c r="M84" s="79"/>
      <c r="N84" s="79"/>
      <c r="O84" s="79"/>
    </row>
    <row r="85" spans="2:15" ht="18">
      <c r="B85" s="79"/>
      <c r="C85" s="173"/>
      <c r="D85" s="79"/>
      <c r="E85" s="79"/>
      <c r="F85" s="79"/>
      <c r="G85" s="79"/>
      <c r="H85" s="79"/>
      <c r="I85" s="133"/>
      <c r="J85" s="133"/>
      <c r="K85" s="79"/>
      <c r="L85" s="79"/>
      <c r="M85" s="79"/>
      <c r="N85" s="79"/>
      <c r="O85" s="79"/>
    </row>
    <row r="86" spans="2:15" ht="18">
      <c r="B86" s="79"/>
      <c r="C86" s="173"/>
      <c r="D86" s="79"/>
      <c r="E86" s="79"/>
      <c r="F86" s="79"/>
      <c r="G86" s="79"/>
      <c r="H86" s="79"/>
      <c r="I86" s="133"/>
      <c r="J86" s="133"/>
      <c r="K86" s="79"/>
      <c r="L86" s="79"/>
      <c r="M86" s="79"/>
      <c r="N86" s="79"/>
      <c r="O86" s="79"/>
    </row>
    <row r="87" spans="2:15" ht="18">
      <c r="B87" s="79"/>
      <c r="C87" s="173"/>
      <c r="D87" s="79"/>
      <c r="E87" s="79"/>
      <c r="F87" s="79"/>
      <c r="G87" s="79"/>
      <c r="H87" s="79"/>
      <c r="I87" s="133"/>
      <c r="J87" s="133"/>
      <c r="K87" s="79"/>
      <c r="L87" s="79"/>
      <c r="M87" s="79"/>
      <c r="N87" s="79"/>
      <c r="O87" s="79"/>
    </row>
    <row r="88" spans="2:15" ht="18">
      <c r="B88" s="79"/>
      <c r="C88" s="173"/>
      <c r="D88" s="79"/>
      <c r="E88" s="79"/>
      <c r="F88" s="79"/>
      <c r="G88" s="79"/>
      <c r="H88" s="79"/>
      <c r="I88" s="133"/>
      <c r="J88" s="133"/>
      <c r="K88" s="79"/>
      <c r="L88" s="79"/>
      <c r="M88" s="79"/>
      <c r="N88" s="79"/>
      <c r="O88" s="79"/>
    </row>
    <row r="89" spans="2:15" ht="18">
      <c r="B89" s="79"/>
      <c r="C89" s="173"/>
      <c r="D89" s="79"/>
      <c r="E89" s="79"/>
      <c r="F89" s="79"/>
      <c r="G89" s="79"/>
      <c r="H89" s="79"/>
      <c r="I89" s="133"/>
      <c r="J89" s="133"/>
      <c r="K89" s="79"/>
      <c r="L89" s="79"/>
      <c r="M89" s="79"/>
      <c r="N89" s="79"/>
      <c r="O89" s="79"/>
    </row>
    <row r="90" spans="2:15" ht="18">
      <c r="B90" s="79"/>
      <c r="C90" s="173"/>
      <c r="D90" s="79"/>
      <c r="E90" s="79"/>
      <c r="F90" s="79"/>
      <c r="G90" s="79"/>
      <c r="H90" s="79"/>
      <c r="I90" s="133"/>
      <c r="J90" s="133"/>
      <c r="K90" s="79"/>
      <c r="L90" s="79"/>
      <c r="M90" s="79"/>
      <c r="N90" s="79"/>
      <c r="O90" s="79"/>
    </row>
    <row r="91" spans="7:15" ht="18">
      <c r="G91" s="79"/>
      <c r="H91" s="79"/>
      <c r="I91" s="133"/>
      <c r="J91" s="133"/>
      <c r="K91" s="79"/>
      <c r="L91" s="79"/>
      <c r="M91" s="79"/>
      <c r="N91" s="79"/>
      <c r="O91" s="79"/>
    </row>
    <row r="92" spans="7:15" ht="18">
      <c r="G92" s="79"/>
      <c r="H92" s="79"/>
      <c r="I92" s="133"/>
      <c r="J92" s="133"/>
      <c r="K92" s="79"/>
      <c r="L92" s="79"/>
      <c r="M92" s="79"/>
      <c r="N92" s="79"/>
      <c r="O92" s="79"/>
    </row>
    <row r="93" spans="7:15" ht="18">
      <c r="G93" s="79"/>
      <c r="H93" s="79"/>
      <c r="I93" s="133"/>
      <c r="J93" s="133"/>
      <c r="K93" s="79"/>
      <c r="L93" s="79"/>
      <c r="M93" s="79"/>
      <c r="N93" s="79"/>
      <c r="O93" s="79"/>
    </row>
    <row r="94" spans="7:15" ht="18">
      <c r="G94" s="79"/>
      <c r="H94" s="79"/>
      <c r="I94" s="133"/>
      <c r="J94" s="133"/>
      <c r="K94" s="79"/>
      <c r="L94" s="79"/>
      <c r="M94" s="79"/>
      <c r="N94" s="79"/>
      <c r="O94" s="79"/>
    </row>
    <row r="95" spans="7:15" ht="18">
      <c r="G95" s="79"/>
      <c r="H95" s="79"/>
      <c r="I95" s="133"/>
      <c r="J95" s="133"/>
      <c r="K95" s="79"/>
      <c r="L95" s="79"/>
      <c r="M95" s="79"/>
      <c r="N95" s="79"/>
      <c r="O95" s="79"/>
    </row>
    <row r="96" spans="7:15" ht="18">
      <c r="G96" s="79"/>
      <c r="H96" s="79"/>
      <c r="I96" s="133"/>
      <c r="J96" s="133"/>
      <c r="K96" s="79"/>
      <c r="L96" s="79"/>
      <c r="M96" s="79"/>
      <c r="N96" s="79"/>
      <c r="O96" s="79"/>
    </row>
  </sheetData>
  <sheetProtection insertRows="0" deleteRows="0" sort="0"/>
  <mergeCells count="19">
    <mergeCell ref="H66:O71"/>
    <mergeCell ref="H72:O78"/>
    <mergeCell ref="A56:B56"/>
    <mergeCell ref="A57:B57"/>
    <mergeCell ref="C61:F61"/>
    <mergeCell ref="K62:O64"/>
    <mergeCell ref="B59:C60"/>
    <mergeCell ref="K59:O61"/>
    <mergeCell ref="D59:F59"/>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K54:L54 O53:O54 M54:N54 F10:J54 K10:L52 C63:E72" numberStoredAsText="1"/>
    <ignoredError sqref="M56:N57 M5:N9" unlockedFormula="1"/>
    <ignoredError sqref="K56:L56 O9" formula="1"/>
    <ignoredError sqref="M10:N53 F63:F72 O10:O52 K53:L53" numberStoredAsText="1" unlockedFormula="1"/>
    <ignoredError sqref="O10:O52 K53:L53" numberStoredAsText="1" formula="1"/>
  </ignoredErrors>
  <drawing r:id="rId1"/>
</worksheet>
</file>

<file path=xl/worksheets/sheet2.xml><?xml version="1.0" encoding="utf-8"?>
<worksheet xmlns="http://schemas.openxmlformats.org/spreadsheetml/2006/main" xmlns:r="http://schemas.openxmlformats.org/officeDocument/2006/relationships">
  <dimension ref="A1:L53"/>
  <sheetViews>
    <sheetView zoomScale="70" zoomScaleNormal="70" workbookViewId="0" topLeftCell="A1">
      <selection activeCell="B2" sqref="B2:B3"/>
    </sheetView>
  </sheetViews>
  <sheetFormatPr defaultColWidth="9.140625" defaultRowHeight="12.75"/>
  <cols>
    <col min="1" max="1" width="2.7109375" style="100" bestFit="1" customWidth="1"/>
    <col min="2" max="2" width="36.8515625" style="95" bestFit="1" customWidth="1"/>
    <col min="3" max="3" width="9.8515625" style="50" customWidth="1"/>
    <col min="4" max="4" width="12.57421875" style="50" bestFit="1" customWidth="1"/>
    <col min="5" max="5" width="15.00390625" style="50" bestFit="1" customWidth="1"/>
    <col min="6" max="6" width="6.28125" style="50" bestFit="1" customWidth="1"/>
    <col min="7" max="7" width="8.7109375" style="50" customWidth="1"/>
    <col min="8" max="8" width="16.140625" style="96" bestFit="1" customWidth="1"/>
    <col min="9" max="9" width="11.7109375" style="107" customWidth="1"/>
    <col min="10" max="10" width="7.421875" style="97" customWidth="1"/>
    <col min="11" max="11" width="12.28125" style="95" bestFit="1" customWidth="1"/>
    <col min="12" max="12" width="10.28125" style="95" bestFit="1" customWidth="1"/>
    <col min="13" max="16384" width="9.140625" style="95" customWidth="1"/>
  </cols>
  <sheetData>
    <row r="1" spans="1:10" s="85" customFormat="1" ht="39" customHeight="1" thickBot="1">
      <c r="A1" s="458" t="s">
        <v>248</v>
      </c>
      <c r="B1" s="458"/>
      <c r="C1" s="458"/>
      <c r="D1" s="458"/>
      <c r="E1" s="458"/>
      <c r="F1" s="458"/>
      <c r="G1" s="458"/>
      <c r="H1" s="458"/>
      <c r="I1" s="458"/>
      <c r="J1" s="458"/>
    </row>
    <row r="2" spans="1:10" s="86" customFormat="1" ht="21.75" customHeight="1">
      <c r="A2" s="104"/>
      <c r="B2" s="448" t="s">
        <v>1</v>
      </c>
      <c r="C2" s="448" t="s">
        <v>110</v>
      </c>
      <c r="D2" s="448" t="s">
        <v>54</v>
      </c>
      <c r="E2" s="448" t="s">
        <v>53</v>
      </c>
      <c r="F2" s="430" t="s">
        <v>3</v>
      </c>
      <c r="G2" s="430" t="s">
        <v>111</v>
      </c>
      <c r="H2" s="452" t="s">
        <v>5</v>
      </c>
      <c r="I2" s="453"/>
      <c r="J2" s="454" t="s">
        <v>112</v>
      </c>
    </row>
    <row r="3" spans="1:10" s="86" customFormat="1" ht="21.75" customHeight="1" thickBot="1">
      <c r="A3" s="206"/>
      <c r="B3" s="463"/>
      <c r="C3" s="463"/>
      <c r="D3" s="463"/>
      <c r="E3" s="463"/>
      <c r="F3" s="451"/>
      <c r="G3" s="451"/>
      <c r="H3" s="83" t="s">
        <v>113</v>
      </c>
      <c r="I3" s="84" t="s">
        <v>91</v>
      </c>
      <c r="J3" s="455"/>
    </row>
    <row r="4" spans="1:10" s="86" customFormat="1" ht="15">
      <c r="A4" s="214">
        <v>1</v>
      </c>
      <c r="B4" s="365" t="s">
        <v>187</v>
      </c>
      <c r="C4" s="366">
        <v>39094</v>
      </c>
      <c r="D4" s="367" t="s">
        <v>58</v>
      </c>
      <c r="E4" s="367" t="s">
        <v>188</v>
      </c>
      <c r="F4" s="368">
        <v>226</v>
      </c>
      <c r="G4" s="368">
        <v>4</v>
      </c>
      <c r="H4" s="369">
        <f>3142328+2138928+1454143+1085018.5-637</f>
        <v>7819780.5</v>
      </c>
      <c r="I4" s="370">
        <f>453903+300559+202455+152725+101</f>
        <v>1109743</v>
      </c>
      <c r="J4" s="371">
        <f>IF(H4&lt;&gt;0,H4/I4,"")</f>
        <v>7.046478779320978</v>
      </c>
    </row>
    <row r="5" spans="1:10" s="86" customFormat="1" ht="15">
      <c r="A5" s="214">
        <v>2</v>
      </c>
      <c r="B5" s="372" t="s">
        <v>189</v>
      </c>
      <c r="C5" s="343">
        <v>39101</v>
      </c>
      <c r="D5" s="342" t="s">
        <v>58</v>
      </c>
      <c r="E5" s="342" t="s">
        <v>58</v>
      </c>
      <c r="F5" s="145">
        <v>160</v>
      </c>
      <c r="G5" s="145">
        <v>3</v>
      </c>
      <c r="H5" s="344">
        <f>3815016+1300103.5</f>
        <v>5115119.5</v>
      </c>
      <c r="I5" s="345">
        <f>302979+231870+176034</f>
        <v>710883</v>
      </c>
      <c r="J5" s="373">
        <f aca="true" t="shared" si="0" ref="J5:J10">+H5/I5</f>
        <v>7.195444960703801</v>
      </c>
    </row>
    <row r="6" spans="1:10" s="86" customFormat="1" ht="15">
      <c r="A6" s="214">
        <v>3</v>
      </c>
      <c r="B6" s="374" t="s">
        <v>249</v>
      </c>
      <c r="C6" s="347">
        <v>39108</v>
      </c>
      <c r="D6" s="348" t="s">
        <v>56</v>
      </c>
      <c r="E6" s="346" t="s">
        <v>233</v>
      </c>
      <c r="F6" s="349">
        <v>148</v>
      </c>
      <c r="G6" s="349">
        <v>2</v>
      </c>
      <c r="H6" s="350">
        <f>1992651+1729339</f>
        <v>3721990</v>
      </c>
      <c r="I6" s="351">
        <f>274655+238848</f>
        <v>513503</v>
      </c>
      <c r="J6" s="373">
        <f t="shared" si="0"/>
        <v>7.248234187531524</v>
      </c>
    </row>
    <row r="7" spans="1:10" s="86" customFormat="1" ht="15">
      <c r="A7" s="214">
        <v>4</v>
      </c>
      <c r="B7" s="372" t="s">
        <v>145</v>
      </c>
      <c r="C7" s="343">
        <v>39087</v>
      </c>
      <c r="D7" s="342" t="s">
        <v>57</v>
      </c>
      <c r="E7" s="342" t="s">
        <v>60</v>
      </c>
      <c r="F7" s="145">
        <v>90</v>
      </c>
      <c r="G7" s="145">
        <v>5</v>
      </c>
      <c r="H7" s="344">
        <v>2864461</v>
      </c>
      <c r="I7" s="345">
        <v>329094</v>
      </c>
      <c r="J7" s="373">
        <f t="shared" si="0"/>
        <v>8.704081508626714</v>
      </c>
    </row>
    <row r="8" spans="1:10" s="86" customFormat="1" ht="15">
      <c r="A8" s="214">
        <v>5</v>
      </c>
      <c r="B8" s="375" t="s">
        <v>126</v>
      </c>
      <c r="C8" s="347">
        <v>39080</v>
      </c>
      <c r="D8" s="352" t="s">
        <v>45</v>
      </c>
      <c r="E8" s="352" t="s">
        <v>98</v>
      </c>
      <c r="F8" s="353" t="s">
        <v>127</v>
      </c>
      <c r="G8" s="353" t="s">
        <v>213</v>
      </c>
      <c r="H8" s="350">
        <v>2829144</v>
      </c>
      <c r="I8" s="351">
        <v>369799</v>
      </c>
      <c r="J8" s="373">
        <f t="shared" si="0"/>
        <v>7.650491212793978</v>
      </c>
    </row>
    <row r="9" spans="1:10" s="86" customFormat="1" ht="15">
      <c r="A9" s="214">
        <v>6</v>
      </c>
      <c r="B9" s="374" t="s">
        <v>195</v>
      </c>
      <c r="C9" s="347">
        <v>39108</v>
      </c>
      <c r="D9" s="348" t="s">
        <v>56</v>
      </c>
      <c r="E9" s="346" t="s">
        <v>11</v>
      </c>
      <c r="F9" s="349">
        <v>131</v>
      </c>
      <c r="G9" s="349">
        <v>2</v>
      </c>
      <c r="H9" s="350">
        <f>3063+1388108+1183148</f>
        <v>2574319</v>
      </c>
      <c r="I9" s="351">
        <f>313+167433+145432</f>
        <v>313178</v>
      </c>
      <c r="J9" s="373">
        <f t="shared" si="0"/>
        <v>8.21998671681919</v>
      </c>
    </row>
    <row r="10" spans="1:10" s="86" customFormat="1" ht="15">
      <c r="A10" s="214">
        <v>7</v>
      </c>
      <c r="B10" s="375" t="s">
        <v>234</v>
      </c>
      <c r="C10" s="347">
        <v>39108</v>
      </c>
      <c r="D10" s="352" t="s">
        <v>45</v>
      </c>
      <c r="E10" s="352" t="s">
        <v>235</v>
      </c>
      <c r="F10" s="353" t="s">
        <v>236</v>
      </c>
      <c r="G10" s="353" t="s">
        <v>37</v>
      </c>
      <c r="H10" s="350">
        <v>2335001.5</v>
      </c>
      <c r="I10" s="351">
        <v>305013</v>
      </c>
      <c r="J10" s="373">
        <f t="shared" si="0"/>
        <v>7.655416326517231</v>
      </c>
    </row>
    <row r="11" spans="1:10" s="86" customFormat="1" ht="15">
      <c r="A11" s="214">
        <v>8</v>
      </c>
      <c r="B11" s="372" t="s">
        <v>183</v>
      </c>
      <c r="C11" s="343">
        <v>39080</v>
      </c>
      <c r="D11" s="342" t="s">
        <v>57</v>
      </c>
      <c r="E11" s="342" t="s">
        <v>63</v>
      </c>
      <c r="F11" s="145">
        <v>56</v>
      </c>
      <c r="G11" s="145">
        <v>7</v>
      </c>
      <c r="H11" s="344">
        <v>2054615</v>
      </c>
      <c r="I11" s="345">
        <v>223349</v>
      </c>
      <c r="J11" s="376">
        <f>IF(H11&lt;&gt;0,H11/I11,"")</f>
        <v>9.199123345078778</v>
      </c>
    </row>
    <row r="12" spans="1:10" s="86" customFormat="1" ht="15">
      <c r="A12" s="214">
        <v>9</v>
      </c>
      <c r="B12" s="374" t="s">
        <v>121</v>
      </c>
      <c r="C12" s="347">
        <v>39080</v>
      </c>
      <c r="D12" s="348" t="s">
        <v>56</v>
      </c>
      <c r="E12" s="346" t="s">
        <v>61</v>
      </c>
      <c r="F12" s="349">
        <v>80</v>
      </c>
      <c r="G12" s="349">
        <v>6</v>
      </c>
      <c r="H12" s="350">
        <f>1367+686114+384405+247619+146119+85619+63759-1</f>
        <v>1615001</v>
      </c>
      <c r="I12" s="351">
        <f>80773+116+46317+29887+17891+10484+7685</f>
        <v>193153</v>
      </c>
      <c r="J12" s="373">
        <f>+H12/I12</f>
        <v>8.361252478605044</v>
      </c>
    </row>
    <row r="13" spans="1:10" s="86" customFormat="1" ht="15">
      <c r="A13" s="214">
        <v>10</v>
      </c>
      <c r="B13" s="374" t="s">
        <v>237</v>
      </c>
      <c r="C13" s="347">
        <v>39115</v>
      </c>
      <c r="D13" s="348" t="s">
        <v>56</v>
      </c>
      <c r="E13" s="346" t="s">
        <v>11</v>
      </c>
      <c r="F13" s="349">
        <v>81</v>
      </c>
      <c r="G13" s="349">
        <v>1</v>
      </c>
      <c r="H13" s="350">
        <f>3091+1174464</f>
        <v>1177555</v>
      </c>
      <c r="I13" s="351">
        <f>289+128246</f>
        <v>128535</v>
      </c>
      <c r="J13" s="373">
        <f>+H13/I13</f>
        <v>9.161356828879294</v>
      </c>
    </row>
    <row r="14" spans="1:10" s="86" customFormat="1" ht="15">
      <c r="A14" s="214">
        <v>11</v>
      </c>
      <c r="B14" s="372" t="s">
        <v>190</v>
      </c>
      <c r="C14" s="343">
        <v>39101</v>
      </c>
      <c r="D14" s="342" t="s">
        <v>57</v>
      </c>
      <c r="E14" s="342" t="s">
        <v>191</v>
      </c>
      <c r="F14" s="145">
        <v>151</v>
      </c>
      <c r="G14" s="145">
        <v>3</v>
      </c>
      <c r="H14" s="344">
        <v>973280</v>
      </c>
      <c r="I14" s="345">
        <v>136712</v>
      </c>
      <c r="J14" s="376">
        <f>IF(H14&lt;&gt;0,H14/I14,"")</f>
        <v>7.119199485048862</v>
      </c>
    </row>
    <row r="15" spans="1:10" s="86" customFormat="1" ht="15">
      <c r="A15" s="214">
        <v>12</v>
      </c>
      <c r="B15" s="372" t="s">
        <v>129</v>
      </c>
      <c r="C15" s="343">
        <v>39080</v>
      </c>
      <c r="D15" s="342" t="s">
        <v>58</v>
      </c>
      <c r="E15" s="342" t="s">
        <v>59</v>
      </c>
      <c r="F15" s="145">
        <v>51</v>
      </c>
      <c r="G15" s="145">
        <v>6</v>
      </c>
      <c r="H15" s="344">
        <f>443484+172504.5+77130.5+14404+4813+5794.5+20</f>
        <v>718150.5</v>
      </c>
      <c r="I15" s="345">
        <f>50755+20967+9569+1855+705+1471+1</f>
        <v>85323</v>
      </c>
      <c r="J15" s="373">
        <f>+H15/I15</f>
        <v>8.416845399247565</v>
      </c>
    </row>
    <row r="16" spans="1:10" s="86" customFormat="1" ht="15">
      <c r="A16" s="214">
        <v>13</v>
      </c>
      <c r="B16" s="375" t="s">
        <v>166</v>
      </c>
      <c r="C16" s="347">
        <v>39094</v>
      </c>
      <c r="D16" s="352" t="s">
        <v>73</v>
      </c>
      <c r="E16" s="352" t="s">
        <v>138</v>
      </c>
      <c r="F16" s="353" t="s">
        <v>167</v>
      </c>
      <c r="G16" s="353" t="s">
        <v>250</v>
      </c>
      <c r="H16" s="350">
        <v>688318.5</v>
      </c>
      <c r="I16" s="351">
        <v>71070</v>
      </c>
      <c r="J16" s="373">
        <f>+H16/I16</f>
        <v>9.68507809202195</v>
      </c>
    </row>
    <row r="17" spans="1:10" s="86" customFormat="1" ht="15">
      <c r="A17" s="214">
        <v>14</v>
      </c>
      <c r="B17" s="375" t="s">
        <v>251</v>
      </c>
      <c r="C17" s="347">
        <v>39115</v>
      </c>
      <c r="D17" s="352" t="s">
        <v>45</v>
      </c>
      <c r="E17" s="352" t="s">
        <v>252</v>
      </c>
      <c r="F17" s="353" t="s">
        <v>253</v>
      </c>
      <c r="G17" s="353" t="s">
        <v>20</v>
      </c>
      <c r="H17" s="350">
        <v>560309.5</v>
      </c>
      <c r="I17" s="351">
        <v>70396</v>
      </c>
      <c r="J17" s="373">
        <f>+H17/I17</f>
        <v>7.9593939996590715</v>
      </c>
    </row>
    <row r="18" spans="1:10" s="86" customFormat="1" ht="15">
      <c r="A18" s="214">
        <v>15</v>
      </c>
      <c r="B18" s="377" t="s">
        <v>169</v>
      </c>
      <c r="C18" s="343">
        <v>39094</v>
      </c>
      <c r="D18" s="355" t="s">
        <v>23</v>
      </c>
      <c r="E18" s="354" t="s">
        <v>69</v>
      </c>
      <c r="F18" s="356">
        <v>42</v>
      </c>
      <c r="G18" s="356">
        <v>4</v>
      </c>
      <c r="H18" s="344">
        <f>116992.5+114120.5+59552+32990</f>
        <v>323655</v>
      </c>
      <c r="I18" s="345">
        <f>13983+14934+8576+5091</f>
        <v>42584</v>
      </c>
      <c r="J18" s="378">
        <f>H18/I18</f>
        <v>7.600389817771933</v>
      </c>
    </row>
    <row r="19" spans="1:10" s="86" customFormat="1" ht="15">
      <c r="A19" s="214">
        <v>16</v>
      </c>
      <c r="B19" s="372" t="s">
        <v>168</v>
      </c>
      <c r="C19" s="343">
        <v>39094</v>
      </c>
      <c r="D19" s="342" t="s">
        <v>55</v>
      </c>
      <c r="E19" s="342" t="s">
        <v>63</v>
      </c>
      <c r="F19" s="145">
        <v>30</v>
      </c>
      <c r="G19" s="145">
        <v>9</v>
      </c>
      <c r="H19" s="344">
        <f>241275+150</f>
        <v>241425</v>
      </c>
      <c r="I19" s="345">
        <v>23795</v>
      </c>
      <c r="J19" s="376">
        <f>+H19/I19</f>
        <v>10.146039083841144</v>
      </c>
    </row>
    <row r="20" spans="1:10" s="86" customFormat="1" ht="15">
      <c r="A20" s="214">
        <v>17</v>
      </c>
      <c r="B20" s="379" t="s">
        <v>146</v>
      </c>
      <c r="C20" s="347">
        <v>39087</v>
      </c>
      <c r="D20" s="348" t="s">
        <v>56</v>
      </c>
      <c r="E20" s="346" t="s">
        <v>254</v>
      </c>
      <c r="F20" s="349">
        <v>42</v>
      </c>
      <c r="G20" s="349">
        <v>4</v>
      </c>
      <c r="H20" s="357">
        <f>108159+32855+2558+200</f>
        <v>143772</v>
      </c>
      <c r="I20" s="351">
        <f>12118+3977+379+20</f>
        <v>16494</v>
      </c>
      <c r="J20" s="373">
        <f>+H20/I20</f>
        <v>8.716624226991634</v>
      </c>
    </row>
    <row r="21" spans="1:10" s="86" customFormat="1" ht="15">
      <c r="A21" s="214">
        <v>18</v>
      </c>
      <c r="B21" s="372" t="s">
        <v>255</v>
      </c>
      <c r="C21" s="343">
        <v>39115</v>
      </c>
      <c r="D21" s="342" t="s">
        <v>57</v>
      </c>
      <c r="E21" s="342" t="s">
        <v>65</v>
      </c>
      <c r="F21" s="145">
        <v>12</v>
      </c>
      <c r="G21" s="145">
        <v>1</v>
      </c>
      <c r="H21" s="344">
        <v>102999</v>
      </c>
      <c r="I21" s="345">
        <v>14172</v>
      </c>
      <c r="J21" s="373">
        <f>+H21/I21</f>
        <v>7.267781541066893</v>
      </c>
    </row>
    <row r="22" spans="1:10" s="86" customFormat="1" ht="15">
      <c r="A22" s="214">
        <v>19</v>
      </c>
      <c r="B22" s="374" t="s">
        <v>148</v>
      </c>
      <c r="C22" s="347">
        <v>39087</v>
      </c>
      <c r="D22" s="346" t="s">
        <v>192</v>
      </c>
      <c r="E22" s="346" t="s">
        <v>256</v>
      </c>
      <c r="F22" s="349">
        <v>11</v>
      </c>
      <c r="G22" s="349">
        <v>5</v>
      </c>
      <c r="H22" s="358">
        <v>101472.29</v>
      </c>
      <c r="I22" s="359">
        <v>9903</v>
      </c>
      <c r="J22" s="376">
        <f>IF(H22&lt;&gt;0,H22/I22,"")</f>
        <v>10.246621225891143</v>
      </c>
    </row>
    <row r="23" spans="1:10" s="86" customFormat="1" ht="15">
      <c r="A23" s="214">
        <v>20</v>
      </c>
      <c r="B23" s="380" t="s">
        <v>193</v>
      </c>
      <c r="C23" s="361">
        <v>39101</v>
      </c>
      <c r="D23" s="360" t="s">
        <v>64</v>
      </c>
      <c r="E23" s="360" t="s">
        <v>194</v>
      </c>
      <c r="F23" s="362">
        <v>14</v>
      </c>
      <c r="G23" s="362">
        <v>3</v>
      </c>
      <c r="H23" s="363">
        <v>70598</v>
      </c>
      <c r="I23" s="364">
        <v>6940</v>
      </c>
      <c r="J23" s="381">
        <f>H23/I23</f>
        <v>10.172622478386167</v>
      </c>
    </row>
    <row r="24" spans="1:10" s="87" customFormat="1" ht="15">
      <c r="A24" s="214">
        <v>21</v>
      </c>
      <c r="B24" s="377" t="s">
        <v>150</v>
      </c>
      <c r="C24" s="343">
        <v>39087</v>
      </c>
      <c r="D24" s="355" t="s">
        <v>23</v>
      </c>
      <c r="E24" s="354" t="s">
        <v>151</v>
      </c>
      <c r="F24" s="356">
        <v>1</v>
      </c>
      <c r="G24" s="356">
        <v>5</v>
      </c>
      <c r="H24" s="344">
        <f>22095+9204+7326+5702+4828+3872.5</f>
        <v>53027.5</v>
      </c>
      <c r="I24" s="345">
        <f>2920+1031+821+648+551+476</f>
        <v>6447</v>
      </c>
      <c r="J24" s="378">
        <f>H24/I24</f>
        <v>8.225143477586474</v>
      </c>
    </row>
    <row r="25" spans="1:10" s="88" customFormat="1" ht="15">
      <c r="A25" s="214">
        <v>22</v>
      </c>
      <c r="B25" s="377" t="s">
        <v>257</v>
      </c>
      <c r="C25" s="343">
        <v>39115</v>
      </c>
      <c r="D25" s="355" t="s">
        <v>23</v>
      </c>
      <c r="E25" s="354" t="s">
        <v>33</v>
      </c>
      <c r="F25" s="356">
        <v>7</v>
      </c>
      <c r="G25" s="356">
        <v>1</v>
      </c>
      <c r="H25" s="344">
        <f>17653</f>
        <v>17653</v>
      </c>
      <c r="I25" s="345">
        <f>1861</f>
        <v>1861</v>
      </c>
      <c r="J25" s="378">
        <f>H25/I25</f>
        <v>9.485760343901129</v>
      </c>
    </row>
    <row r="26" spans="1:11" s="88" customFormat="1" ht="15">
      <c r="A26" s="214">
        <v>23</v>
      </c>
      <c r="B26" s="372" t="s">
        <v>258</v>
      </c>
      <c r="C26" s="343">
        <v>39115</v>
      </c>
      <c r="D26" s="342" t="s">
        <v>58</v>
      </c>
      <c r="E26" s="342" t="s">
        <v>38</v>
      </c>
      <c r="F26" s="145">
        <v>10</v>
      </c>
      <c r="G26" s="145">
        <v>1</v>
      </c>
      <c r="H26" s="344">
        <f>17496</f>
        <v>17496</v>
      </c>
      <c r="I26" s="345">
        <f>1763</f>
        <v>1763</v>
      </c>
      <c r="J26" s="373">
        <f>+H26/I26</f>
        <v>9.923993193420307</v>
      </c>
      <c r="K26" s="89"/>
    </row>
    <row r="27" spans="1:10" s="90" customFormat="1" ht="15.75" thickBot="1">
      <c r="A27" s="214">
        <v>24</v>
      </c>
      <c r="B27" s="382" t="s">
        <v>170</v>
      </c>
      <c r="C27" s="383">
        <v>39094</v>
      </c>
      <c r="D27" s="384" t="s">
        <v>23</v>
      </c>
      <c r="E27" s="385" t="s">
        <v>161</v>
      </c>
      <c r="F27" s="386">
        <v>2</v>
      </c>
      <c r="G27" s="386">
        <v>3</v>
      </c>
      <c r="H27" s="387">
        <f>1685+7070+4182+870</f>
        <v>13807</v>
      </c>
      <c r="I27" s="388">
        <f>480+951+563+174</f>
        <v>2168</v>
      </c>
      <c r="J27" s="389">
        <f>+H27/I27</f>
        <v>6.368542435424354</v>
      </c>
    </row>
    <row r="28" spans="1:10" s="141" customFormat="1" ht="15">
      <c r="A28" s="459" t="s">
        <v>50</v>
      </c>
      <c r="B28" s="460"/>
      <c r="C28" s="207"/>
      <c r="D28" s="207"/>
      <c r="E28" s="207"/>
      <c r="F28" s="208"/>
      <c r="G28" s="207"/>
      <c r="H28" s="209">
        <f>SUM(H4:H27)</f>
        <v>36132949.79</v>
      </c>
      <c r="I28" s="210">
        <f>SUM(I4:I27)</f>
        <v>4685878</v>
      </c>
      <c r="J28" s="211">
        <f>H28/I28</f>
        <v>7.711030844166237</v>
      </c>
    </row>
    <row r="29" spans="1:10" s="90" customFormat="1" ht="13.5" thickBot="1">
      <c r="A29" s="99"/>
      <c r="B29" s="91"/>
      <c r="C29" s="92"/>
      <c r="D29" s="92"/>
      <c r="E29" s="92"/>
      <c r="F29" s="92"/>
      <c r="G29" s="92"/>
      <c r="H29" s="93"/>
      <c r="I29" s="106"/>
      <c r="J29" s="94"/>
    </row>
    <row r="30" spans="1:10" s="86" customFormat="1" ht="19.5" customHeight="1">
      <c r="A30" s="108"/>
      <c r="B30" s="448" t="s">
        <v>1</v>
      </c>
      <c r="C30" s="448"/>
      <c r="D30" s="430" t="s">
        <v>28</v>
      </c>
      <c r="E30" s="57"/>
      <c r="F30" s="430"/>
      <c r="G30" s="430"/>
      <c r="H30" s="452" t="s">
        <v>5</v>
      </c>
      <c r="I30" s="453"/>
      <c r="J30" s="454" t="s">
        <v>112</v>
      </c>
    </row>
    <row r="31" spans="1:10" s="86" customFormat="1" ht="27" customHeight="1" thickBot="1">
      <c r="A31" s="110"/>
      <c r="B31" s="449"/>
      <c r="C31" s="449"/>
      <c r="D31" s="450"/>
      <c r="E31" s="109"/>
      <c r="F31" s="450"/>
      <c r="G31" s="450"/>
      <c r="H31" s="83" t="s">
        <v>113</v>
      </c>
      <c r="I31" s="84" t="s">
        <v>91</v>
      </c>
      <c r="J31" s="456"/>
    </row>
    <row r="32" spans="1:10" s="143" customFormat="1" ht="15">
      <c r="A32" s="142">
        <v>1</v>
      </c>
      <c r="B32" s="146" t="s">
        <v>29</v>
      </c>
      <c r="C32" s="147"/>
      <c r="D32" s="147">
        <v>7</v>
      </c>
      <c r="E32" s="147"/>
      <c r="F32" s="148"/>
      <c r="G32" s="147"/>
      <c r="H32" s="149">
        <v>23354625</v>
      </c>
      <c r="I32" s="150">
        <v>3216049</v>
      </c>
      <c r="J32" s="151">
        <f>H32/I32</f>
        <v>7.261899616579225</v>
      </c>
    </row>
    <row r="33" spans="1:10" s="143" customFormat="1" ht="15">
      <c r="A33" s="183">
        <v>2</v>
      </c>
      <c r="B33" s="152" t="s">
        <v>30</v>
      </c>
      <c r="C33" s="153"/>
      <c r="D33" s="153">
        <v>17</v>
      </c>
      <c r="E33" s="153"/>
      <c r="F33" s="154"/>
      <c r="G33" s="153"/>
      <c r="H33" s="155">
        <f>H28-H32</f>
        <v>12778324.79</v>
      </c>
      <c r="I33" s="156">
        <f>I28-I32</f>
        <v>1469829</v>
      </c>
      <c r="J33" s="184">
        <f>H33/I33</f>
        <v>8.693749266071087</v>
      </c>
    </row>
    <row r="34" spans="1:10" s="144" customFormat="1" ht="15">
      <c r="A34" s="461"/>
      <c r="B34" s="462"/>
      <c r="C34" s="157"/>
      <c r="D34" s="157">
        <f>SUM(D32:D33)</f>
        <v>24</v>
      </c>
      <c r="E34" s="157"/>
      <c r="F34" s="158"/>
      <c r="G34" s="157"/>
      <c r="H34" s="159">
        <f>SUM(H32:H33)</f>
        <v>36132949.79</v>
      </c>
      <c r="I34" s="102">
        <f>SUM(I32:I33)</f>
        <v>4685878</v>
      </c>
      <c r="J34" s="185"/>
    </row>
    <row r="35" spans="1:10" s="145" customFormat="1" ht="15">
      <c r="A35" s="186">
        <v>1</v>
      </c>
      <c r="B35" s="136" t="s">
        <v>122</v>
      </c>
      <c r="C35" s="160"/>
      <c r="D35" s="126"/>
      <c r="E35" s="126"/>
      <c r="F35" s="128"/>
      <c r="G35" s="126"/>
      <c r="H35" s="162">
        <v>6409005.6</v>
      </c>
      <c r="I35" s="130">
        <v>963191</v>
      </c>
      <c r="J35" s="184">
        <f>H35/I35</f>
        <v>6.653930113549649</v>
      </c>
    </row>
    <row r="36" spans="1:10" s="145" customFormat="1" ht="15">
      <c r="A36" s="186">
        <v>2</v>
      </c>
      <c r="B36" s="136" t="s">
        <v>123</v>
      </c>
      <c r="C36" s="160"/>
      <c r="D36" s="126"/>
      <c r="E36" s="126"/>
      <c r="F36" s="128"/>
      <c r="G36" s="126"/>
      <c r="H36" s="162">
        <v>2854876.1</v>
      </c>
      <c r="I36" s="130">
        <v>385501</v>
      </c>
      <c r="J36" s="184">
        <f>H36/I36</f>
        <v>7.4056256663406845</v>
      </c>
    </row>
    <row r="37" spans="1:11" s="50" customFormat="1" ht="15">
      <c r="A37" s="187"/>
      <c r="B37" s="161"/>
      <c r="C37" s="157"/>
      <c r="D37" s="157"/>
      <c r="E37" s="157"/>
      <c r="F37" s="158"/>
      <c r="G37" s="157"/>
      <c r="H37" s="46">
        <f>SUM(H35:H36)</f>
        <v>9263881.7</v>
      </c>
      <c r="I37" s="102">
        <f>SUM(I35:I36)</f>
        <v>1348692</v>
      </c>
      <c r="J37" s="185"/>
      <c r="K37" s="163"/>
    </row>
    <row r="38" spans="1:11" s="143" customFormat="1" ht="15.75" thickBot="1">
      <c r="A38" s="188"/>
      <c r="B38" s="189" t="s">
        <v>137</v>
      </c>
      <c r="C38" s="213"/>
      <c r="D38" s="189"/>
      <c r="E38" s="189"/>
      <c r="F38" s="189"/>
      <c r="G38" s="189"/>
      <c r="H38" s="190">
        <f>H34+H37</f>
        <v>45396831.489999995</v>
      </c>
      <c r="I38" s="191">
        <f>I34+I37</f>
        <v>6034570</v>
      </c>
      <c r="J38" s="192"/>
      <c r="K38" s="164"/>
    </row>
    <row r="40" spans="3:10" ht="12.75" customHeight="1">
      <c r="C40" s="435" t="s">
        <v>31</v>
      </c>
      <c r="D40" s="435"/>
      <c r="E40" s="435"/>
      <c r="F40" s="435"/>
      <c r="G40" s="435"/>
      <c r="H40" s="435"/>
      <c r="I40" s="435"/>
      <c r="J40" s="435"/>
    </row>
    <row r="41" spans="3:10" ht="12.75">
      <c r="C41" s="435"/>
      <c r="D41" s="435"/>
      <c r="E41" s="435"/>
      <c r="F41" s="435"/>
      <c r="G41" s="435"/>
      <c r="H41" s="435"/>
      <c r="I41" s="435"/>
      <c r="J41" s="435"/>
    </row>
    <row r="42" spans="3:10" ht="12.75">
      <c r="C42" s="435"/>
      <c r="D42" s="435"/>
      <c r="E42" s="435"/>
      <c r="F42" s="435"/>
      <c r="G42" s="435"/>
      <c r="H42" s="435"/>
      <c r="I42" s="435"/>
      <c r="J42" s="435"/>
    </row>
    <row r="43" spans="3:10" ht="27" customHeight="1">
      <c r="C43" s="435"/>
      <c r="D43" s="435"/>
      <c r="E43" s="435"/>
      <c r="F43" s="435"/>
      <c r="G43" s="435"/>
      <c r="H43" s="435"/>
      <c r="I43" s="435"/>
      <c r="J43" s="435"/>
    </row>
    <row r="44" spans="3:12" ht="12.75">
      <c r="C44" s="435"/>
      <c r="D44" s="435"/>
      <c r="E44" s="435"/>
      <c r="F44" s="435"/>
      <c r="G44" s="435"/>
      <c r="H44" s="435"/>
      <c r="I44" s="435"/>
      <c r="J44" s="435"/>
      <c r="L44" s="165"/>
    </row>
    <row r="45" spans="3:10" ht="12.75">
      <c r="C45" s="435"/>
      <c r="D45" s="435"/>
      <c r="E45" s="435"/>
      <c r="F45" s="435"/>
      <c r="G45" s="435"/>
      <c r="H45" s="435"/>
      <c r="I45" s="435"/>
      <c r="J45" s="435"/>
    </row>
    <row r="46" spans="3:10" ht="12.75">
      <c r="C46" s="112"/>
      <c r="D46" s="98"/>
      <c r="E46" s="98"/>
      <c r="F46" s="98"/>
      <c r="G46" s="98"/>
      <c r="H46" s="131"/>
      <c r="I46" s="131"/>
      <c r="J46" s="98"/>
    </row>
    <row r="47" spans="3:10" ht="12.75" customHeight="1">
      <c r="C47" s="457" t="s">
        <v>19</v>
      </c>
      <c r="D47" s="457"/>
      <c r="E47" s="457"/>
      <c r="F47" s="457"/>
      <c r="G47" s="457"/>
      <c r="H47" s="457"/>
      <c r="I47" s="457"/>
      <c r="J47" s="457"/>
    </row>
    <row r="48" spans="3:10" ht="12.75">
      <c r="C48" s="457"/>
      <c r="D48" s="457"/>
      <c r="E48" s="457"/>
      <c r="F48" s="457"/>
      <c r="G48" s="457"/>
      <c r="H48" s="457"/>
      <c r="I48" s="457"/>
      <c r="J48" s="457"/>
    </row>
    <row r="49" spans="3:10" ht="12.75">
      <c r="C49" s="457"/>
      <c r="D49" s="457"/>
      <c r="E49" s="457"/>
      <c r="F49" s="457"/>
      <c r="G49" s="457"/>
      <c r="H49" s="457"/>
      <c r="I49" s="457"/>
      <c r="J49" s="457"/>
    </row>
    <row r="50" spans="3:10" ht="12.75">
      <c r="C50" s="457"/>
      <c r="D50" s="457"/>
      <c r="E50" s="457"/>
      <c r="F50" s="457"/>
      <c r="G50" s="457"/>
      <c r="H50" s="457"/>
      <c r="I50" s="457"/>
      <c r="J50" s="457"/>
    </row>
    <row r="51" spans="3:10" ht="12.75">
      <c r="C51" s="457"/>
      <c r="D51" s="457"/>
      <c r="E51" s="457"/>
      <c r="F51" s="457"/>
      <c r="G51" s="457"/>
      <c r="H51" s="457"/>
      <c r="I51" s="457"/>
      <c r="J51" s="457"/>
    </row>
    <row r="52" spans="3:10" ht="12.75">
      <c r="C52" s="457"/>
      <c r="D52" s="457"/>
      <c r="E52" s="457"/>
      <c r="F52" s="457"/>
      <c r="G52" s="457"/>
      <c r="H52" s="457"/>
      <c r="I52" s="457"/>
      <c r="J52" s="457"/>
    </row>
    <row r="53" spans="3:10" ht="12.75">
      <c r="C53" s="457"/>
      <c r="D53" s="457"/>
      <c r="E53" s="457"/>
      <c r="F53" s="457"/>
      <c r="G53" s="457"/>
      <c r="H53" s="457"/>
      <c r="I53" s="457"/>
      <c r="J53" s="457"/>
    </row>
  </sheetData>
  <mergeCells count="20">
    <mergeCell ref="C40:J45"/>
    <mergeCell ref="C47:J53"/>
    <mergeCell ref="A1:J1"/>
    <mergeCell ref="A28:B28"/>
    <mergeCell ref="A34:B34"/>
    <mergeCell ref="B2:B3"/>
    <mergeCell ref="C2:C3"/>
    <mergeCell ref="D2:D3"/>
    <mergeCell ref="E2:E3"/>
    <mergeCell ref="F2:F3"/>
    <mergeCell ref="G2:G3"/>
    <mergeCell ref="H2:I2"/>
    <mergeCell ref="J2:J3"/>
    <mergeCell ref="G30:G31"/>
    <mergeCell ref="H30:I30"/>
    <mergeCell ref="J30:J31"/>
    <mergeCell ref="B30:B31"/>
    <mergeCell ref="C30:C31"/>
    <mergeCell ref="D30:D31"/>
    <mergeCell ref="F30:F31"/>
  </mergeCells>
  <printOptions/>
  <pageMargins left="0.87" right="0.58" top="1.24" bottom="1.29" header="0.11811023622047245" footer="0.4330708661417323"/>
  <pageSetup orientation="portrait" paperSize="9" scale="50" r:id="rId1"/>
  <ignoredErrors>
    <ignoredError sqref="F8:G21 H21" numberStoredAsText="1"/>
    <ignoredError sqref="H6:H7 I6:I21 J6:J10 J19:J21" unlockedFormula="1"/>
    <ignoredError sqref="H8:H20 J11:J18" numberStoredAsText="1" unlockedFormula="1"/>
    <ignoredError sqref="J11:J18" formula="1" unlockedFormula="1"/>
  </ignoredErrors>
</worksheet>
</file>

<file path=xl/worksheets/sheet3.xml><?xml version="1.0" encoding="utf-8"?>
<worksheet xmlns="http://schemas.openxmlformats.org/spreadsheetml/2006/main" xmlns:r="http://schemas.openxmlformats.org/officeDocument/2006/relationships">
  <dimension ref="A1:G287"/>
  <sheetViews>
    <sheetView zoomScale="70" zoomScaleNormal="70" workbookViewId="0" topLeftCell="A1">
      <selection activeCell="B2" sqref="B2:B3"/>
    </sheetView>
  </sheetViews>
  <sheetFormatPr defaultColWidth="9.140625" defaultRowHeight="12.75"/>
  <cols>
    <col min="1" max="1" width="3.57421875" style="0" bestFit="1" customWidth="1"/>
    <col min="2" max="2" width="41.57421875" style="0" bestFit="1" customWidth="1"/>
    <col min="3" max="3" width="11.140625" style="0" customWidth="1"/>
    <col min="4" max="4" width="13.140625" style="0" bestFit="1" customWidth="1"/>
    <col min="5" max="5" width="17.8515625" style="0" bestFit="1" customWidth="1"/>
    <col min="6" max="6" width="14.28125" style="301" bestFit="1" customWidth="1"/>
    <col min="7" max="7" width="11.7109375" style="196" customWidth="1"/>
  </cols>
  <sheetData>
    <row r="1" spans="1:7" ht="33.75" thickBot="1">
      <c r="A1" s="467" t="s">
        <v>247</v>
      </c>
      <c r="B1" s="468"/>
      <c r="C1" s="468"/>
      <c r="D1" s="468"/>
      <c r="E1" s="468"/>
      <c r="F1" s="468"/>
      <c r="G1" s="468"/>
    </row>
    <row r="2" spans="1:7" ht="14.25" customHeight="1">
      <c r="A2" s="104"/>
      <c r="B2" s="469" t="s">
        <v>1</v>
      </c>
      <c r="C2" s="469" t="s">
        <v>110</v>
      </c>
      <c r="D2" s="469" t="s">
        <v>54</v>
      </c>
      <c r="E2" s="469" t="s">
        <v>53</v>
      </c>
      <c r="F2" s="426" t="s">
        <v>218</v>
      </c>
      <c r="G2" s="471"/>
    </row>
    <row r="3" spans="1:7" ht="15" thickBot="1">
      <c r="A3" s="105"/>
      <c r="B3" s="470"/>
      <c r="C3" s="470"/>
      <c r="D3" s="470"/>
      <c r="E3" s="470"/>
      <c r="F3" s="287" t="s">
        <v>113</v>
      </c>
      <c r="G3" s="215" t="s">
        <v>91</v>
      </c>
    </row>
    <row r="4" spans="1:7" ht="15">
      <c r="A4" s="216">
        <v>1</v>
      </c>
      <c r="B4" s="340" t="s">
        <v>232</v>
      </c>
      <c r="C4" s="205">
        <v>38996</v>
      </c>
      <c r="D4" s="270" t="s">
        <v>23</v>
      </c>
      <c r="E4" s="271" t="s">
        <v>196</v>
      </c>
      <c r="F4" s="285">
        <v>247</v>
      </c>
      <c r="G4" s="217">
        <v>45</v>
      </c>
    </row>
    <row r="5" spans="1:7" ht="15">
      <c r="A5" s="212">
        <v>2</v>
      </c>
      <c r="B5" s="274" t="s">
        <v>232</v>
      </c>
      <c r="C5" s="125">
        <v>38996</v>
      </c>
      <c r="D5" s="140" t="s">
        <v>23</v>
      </c>
      <c r="E5" s="139" t="s">
        <v>196</v>
      </c>
      <c r="F5" s="288">
        <v>170</v>
      </c>
      <c r="G5" s="219">
        <v>34</v>
      </c>
    </row>
    <row r="6" spans="1:7" ht="15">
      <c r="A6" s="212">
        <v>3</v>
      </c>
      <c r="B6" s="171" t="s">
        <v>232</v>
      </c>
      <c r="C6" s="125">
        <v>38996</v>
      </c>
      <c r="D6" s="140" t="s">
        <v>23</v>
      </c>
      <c r="E6" s="139" t="s">
        <v>196</v>
      </c>
      <c r="F6" s="279">
        <v>34</v>
      </c>
      <c r="G6" s="219">
        <v>6</v>
      </c>
    </row>
    <row r="7" spans="1:7" ht="15">
      <c r="A7" s="212">
        <v>4</v>
      </c>
      <c r="B7" s="203" t="s">
        <v>24</v>
      </c>
      <c r="C7" s="125">
        <v>38849</v>
      </c>
      <c r="D7" s="199" t="s">
        <v>23</v>
      </c>
      <c r="E7" s="199" t="s">
        <v>25</v>
      </c>
      <c r="F7" s="279">
        <v>36</v>
      </c>
      <c r="G7" s="219">
        <v>7</v>
      </c>
    </row>
    <row r="8" spans="1:7" ht="15">
      <c r="A8" s="212">
        <v>5</v>
      </c>
      <c r="B8" s="171" t="s">
        <v>24</v>
      </c>
      <c r="C8" s="125">
        <v>38849</v>
      </c>
      <c r="D8" s="140" t="s">
        <v>23</v>
      </c>
      <c r="E8" s="139" t="s">
        <v>25</v>
      </c>
      <c r="F8" s="288">
        <v>27</v>
      </c>
      <c r="G8" s="180">
        <v>5</v>
      </c>
    </row>
    <row r="9" spans="1:7" ht="15">
      <c r="A9" s="212">
        <v>6</v>
      </c>
      <c r="B9" s="168" t="s">
        <v>107</v>
      </c>
      <c r="C9" s="124">
        <v>38968</v>
      </c>
      <c r="D9" s="135" t="s">
        <v>56</v>
      </c>
      <c r="E9" s="134" t="s">
        <v>11</v>
      </c>
      <c r="F9" s="281">
        <v>1950</v>
      </c>
      <c r="G9" s="218">
        <v>531</v>
      </c>
    </row>
    <row r="10" spans="1:7" ht="15">
      <c r="A10" s="212">
        <v>7</v>
      </c>
      <c r="B10" s="272" t="s">
        <v>107</v>
      </c>
      <c r="C10" s="124">
        <v>38968</v>
      </c>
      <c r="D10" s="135" t="s">
        <v>56</v>
      </c>
      <c r="E10" s="134" t="s">
        <v>11</v>
      </c>
      <c r="F10" s="281">
        <v>1946</v>
      </c>
      <c r="G10" s="218">
        <v>529</v>
      </c>
    </row>
    <row r="11" spans="1:7" ht="15">
      <c r="A11" s="212">
        <v>8</v>
      </c>
      <c r="B11" s="168" t="s">
        <v>107</v>
      </c>
      <c r="C11" s="124">
        <v>38968</v>
      </c>
      <c r="D11" s="135" t="s">
        <v>56</v>
      </c>
      <c r="E11" s="134" t="s">
        <v>11</v>
      </c>
      <c r="F11" s="289">
        <v>1728</v>
      </c>
      <c r="G11" s="177">
        <v>313</v>
      </c>
    </row>
    <row r="12" spans="1:7" ht="15">
      <c r="A12" s="212">
        <v>9</v>
      </c>
      <c r="B12" s="202" t="s">
        <v>107</v>
      </c>
      <c r="C12" s="124">
        <v>38968</v>
      </c>
      <c r="D12" s="200" t="s">
        <v>56</v>
      </c>
      <c r="E12" s="200" t="s">
        <v>11</v>
      </c>
      <c r="F12" s="281">
        <v>1727</v>
      </c>
      <c r="G12" s="218">
        <v>487</v>
      </c>
    </row>
    <row r="13" spans="1:7" ht="15">
      <c r="A13" s="212">
        <v>10</v>
      </c>
      <c r="B13" s="168" t="s">
        <v>107</v>
      </c>
      <c r="C13" s="124">
        <v>38968</v>
      </c>
      <c r="D13" s="135" t="s">
        <v>56</v>
      </c>
      <c r="E13" s="134" t="s">
        <v>11</v>
      </c>
      <c r="F13" s="281">
        <v>1662</v>
      </c>
      <c r="G13" s="218">
        <v>474</v>
      </c>
    </row>
    <row r="14" spans="1:7" ht="15">
      <c r="A14" s="212">
        <v>11</v>
      </c>
      <c r="B14" s="171" t="s">
        <v>22</v>
      </c>
      <c r="C14" s="125">
        <v>38996</v>
      </c>
      <c r="D14" s="140" t="s">
        <v>23</v>
      </c>
      <c r="E14" s="139" t="s">
        <v>94</v>
      </c>
      <c r="F14" s="288">
        <v>209.6</v>
      </c>
      <c r="G14" s="180">
        <v>131</v>
      </c>
    </row>
    <row r="15" spans="1:7" ht="15">
      <c r="A15" s="212">
        <v>12</v>
      </c>
      <c r="B15" s="169" t="s">
        <v>119</v>
      </c>
      <c r="C15" s="172">
        <v>39073</v>
      </c>
      <c r="D15" s="167" t="s">
        <v>66</v>
      </c>
      <c r="E15" s="167" t="s">
        <v>66</v>
      </c>
      <c r="F15" s="290">
        <v>155630</v>
      </c>
      <c r="G15" s="178">
        <v>18932</v>
      </c>
    </row>
    <row r="16" spans="1:7" ht="15">
      <c r="A16" s="212">
        <v>13</v>
      </c>
      <c r="B16" s="203" t="s">
        <v>119</v>
      </c>
      <c r="C16" s="125">
        <v>39073</v>
      </c>
      <c r="D16" s="199" t="s">
        <v>66</v>
      </c>
      <c r="E16" s="199" t="s">
        <v>66</v>
      </c>
      <c r="F16" s="279">
        <v>55982</v>
      </c>
      <c r="G16" s="219">
        <v>7628</v>
      </c>
    </row>
    <row r="17" spans="1:7" ht="15">
      <c r="A17" s="212">
        <v>14</v>
      </c>
      <c r="B17" s="170" t="s">
        <v>119</v>
      </c>
      <c r="C17" s="125">
        <v>39073</v>
      </c>
      <c r="D17" s="167" t="s">
        <v>66</v>
      </c>
      <c r="E17" s="199" t="s">
        <v>66</v>
      </c>
      <c r="F17" s="279">
        <v>15271</v>
      </c>
      <c r="G17" s="219">
        <v>2641</v>
      </c>
    </row>
    <row r="18" spans="1:7" ht="15">
      <c r="A18" s="212">
        <v>15</v>
      </c>
      <c r="B18" s="273" t="s">
        <v>119</v>
      </c>
      <c r="C18" s="125">
        <v>39073</v>
      </c>
      <c r="D18" s="136" t="s">
        <v>58</v>
      </c>
      <c r="E18" s="136" t="s">
        <v>66</v>
      </c>
      <c r="F18" s="288">
        <v>11300.5</v>
      </c>
      <c r="G18" s="219">
        <v>2010</v>
      </c>
    </row>
    <row r="19" spans="1:7" ht="15">
      <c r="A19" s="212">
        <v>16</v>
      </c>
      <c r="B19" s="170" t="s">
        <v>119</v>
      </c>
      <c r="C19" s="125">
        <v>39073</v>
      </c>
      <c r="D19" s="136" t="s">
        <v>66</v>
      </c>
      <c r="E19" s="136" t="s">
        <v>66</v>
      </c>
      <c r="F19" s="279">
        <v>9440</v>
      </c>
      <c r="G19" s="219">
        <v>1724</v>
      </c>
    </row>
    <row r="20" spans="1:7" ht="15">
      <c r="A20" s="212">
        <v>17</v>
      </c>
      <c r="B20" s="273" t="s">
        <v>119</v>
      </c>
      <c r="C20" s="125">
        <v>39073</v>
      </c>
      <c r="D20" s="136" t="s">
        <v>66</v>
      </c>
      <c r="E20" s="136" t="s">
        <v>66</v>
      </c>
      <c r="F20" s="279">
        <v>7453.5</v>
      </c>
      <c r="G20" s="219">
        <v>1317</v>
      </c>
    </row>
    <row r="21" spans="1:7" ht="15">
      <c r="A21" s="212">
        <v>18</v>
      </c>
      <c r="B21" s="169" t="s">
        <v>35</v>
      </c>
      <c r="C21" s="172">
        <v>39031</v>
      </c>
      <c r="D21" s="136" t="s">
        <v>57</v>
      </c>
      <c r="E21" s="167" t="s">
        <v>71</v>
      </c>
      <c r="F21" s="290">
        <v>2367</v>
      </c>
      <c r="G21" s="178">
        <v>702</v>
      </c>
    </row>
    <row r="22" spans="1:7" ht="15">
      <c r="A22" s="212">
        <v>19</v>
      </c>
      <c r="B22" s="273" t="s">
        <v>35</v>
      </c>
      <c r="C22" s="125">
        <v>39031</v>
      </c>
      <c r="D22" s="136" t="s">
        <v>57</v>
      </c>
      <c r="E22" s="136" t="s">
        <v>71</v>
      </c>
      <c r="F22" s="279">
        <v>1427</v>
      </c>
      <c r="G22" s="219">
        <v>281</v>
      </c>
    </row>
    <row r="23" spans="1:7" ht="15">
      <c r="A23" s="212">
        <v>20</v>
      </c>
      <c r="B23" s="170" t="s">
        <v>35</v>
      </c>
      <c r="C23" s="125">
        <v>39031</v>
      </c>
      <c r="D23" s="136" t="s">
        <v>57</v>
      </c>
      <c r="E23" s="136" t="s">
        <v>71</v>
      </c>
      <c r="F23" s="279">
        <v>1155</v>
      </c>
      <c r="G23" s="219">
        <v>350</v>
      </c>
    </row>
    <row r="24" spans="1:7" ht="15">
      <c r="A24" s="212">
        <v>21</v>
      </c>
      <c r="B24" s="203" t="s">
        <v>35</v>
      </c>
      <c r="C24" s="125">
        <v>39031</v>
      </c>
      <c r="D24" s="199" t="s">
        <v>57</v>
      </c>
      <c r="E24" s="199" t="s">
        <v>71</v>
      </c>
      <c r="F24" s="279">
        <v>1155</v>
      </c>
      <c r="G24" s="219">
        <v>350</v>
      </c>
    </row>
    <row r="25" spans="1:7" ht="15">
      <c r="A25" s="212">
        <v>22</v>
      </c>
      <c r="B25" s="170" t="s">
        <v>228</v>
      </c>
      <c r="C25" s="125">
        <v>38779</v>
      </c>
      <c r="D25" s="136" t="s">
        <v>57</v>
      </c>
      <c r="E25" s="136" t="s">
        <v>60</v>
      </c>
      <c r="F25" s="279">
        <v>1156</v>
      </c>
      <c r="G25" s="219">
        <v>350</v>
      </c>
    </row>
    <row r="26" spans="1:7" ht="15">
      <c r="A26" s="212">
        <v>23</v>
      </c>
      <c r="B26" s="169" t="s">
        <v>93</v>
      </c>
      <c r="C26" s="172">
        <v>39010</v>
      </c>
      <c r="D26" s="136" t="s">
        <v>57</v>
      </c>
      <c r="E26" s="167" t="s">
        <v>65</v>
      </c>
      <c r="F26" s="290">
        <v>5487</v>
      </c>
      <c r="G26" s="178">
        <v>1043</v>
      </c>
    </row>
    <row r="27" spans="1:7" ht="15">
      <c r="A27" s="212">
        <v>24</v>
      </c>
      <c r="B27" s="203" t="s">
        <v>93</v>
      </c>
      <c r="C27" s="125">
        <v>39010</v>
      </c>
      <c r="D27" s="199" t="s">
        <v>57</v>
      </c>
      <c r="E27" s="199" t="s">
        <v>65</v>
      </c>
      <c r="F27" s="279">
        <v>3402</v>
      </c>
      <c r="G27" s="219">
        <v>724</v>
      </c>
    </row>
    <row r="28" spans="1:7" ht="15">
      <c r="A28" s="212">
        <v>25</v>
      </c>
      <c r="B28" s="170" t="s">
        <v>93</v>
      </c>
      <c r="C28" s="125">
        <v>39010</v>
      </c>
      <c r="D28" s="136" t="s">
        <v>57</v>
      </c>
      <c r="E28" s="136" t="s">
        <v>65</v>
      </c>
      <c r="F28" s="279">
        <v>2468</v>
      </c>
      <c r="G28" s="219">
        <v>1189</v>
      </c>
    </row>
    <row r="29" spans="1:7" ht="15">
      <c r="A29" s="212">
        <v>26</v>
      </c>
      <c r="B29" s="273" t="s">
        <v>93</v>
      </c>
      <c r="C29" s="125">
        <v>39010</v>
      </c>
      <c r="D29" s="136" t="s">
        <v>57</v>
      </c>
      <c r="E29" s="136" t="s">
        <v>65</v>
      </c>
      <c r="F29" s="288">
        <v>2375</v>
      </c>
      <c r="G29" s="219">
        <v>705</v>
      </c>
    </row>
    <row r="30" spans="1:7" ht="15">
      <c r="A30" s="212">
        <v>27</v>
      </c>
      <c r="B30" s="273" t="s">
        <v>93</v>
      </c>
      <c r="C30" s="125">
        <v>39010</v>
      </c>
      <c r="D30" s="136" t="s">
        <v>57</v>
      </c>
      <c r="E30" s="136" t="s">
        <v>65</v>
      </c>
      <c r="F30" s="279">
        <v>238</v>
      </c>
      <c r="G30" s="219">
        <v>46</v>
      </c>
    </row>
    <row r="31" spans="1:7" ht="15">
      <c r="A31" s="212">
        <v>28</v>
      </c>
      <c r="B31" s="274" t="s">
        <v>197</v>
      </c>
      <c r="C31" s="125">
        <v>38905</v>
      </c>
      <c r="D31" s="140" t="s">
        <v>23</v>
      </c>
      <c r="E31" s="139" t="s">
        <v>198</v>
      </c>
      <c r="F31" s="279">
        <v>262.4</v>
      </c>
      <c r="G31" s="219">
        <v>164</v>
      </c>
    </row>
    <row r="32" spans="1:7" ht="15">
      <c r="A32" s="212">
        <v>29</v>
      </c>
      <c r="B32" s="169" t="s">
        <v>81</v>
      </c>
      <c r="C32" s="172">
        <v>39052</v>
      </c>
      <c r="D32" s="167" t="s">
        <v>58</v>
      </c>
      <c r="E32" s="167" t="s">
        <v>59</v>
      </c>
      <c r="F32" s="290">
        <v>2938</v>
      </c>
      <c r="G32" s="178">
        <v>448</v>
      </c>
    </row>
    <row r="33" spans="1:7" ht="15">
      <c r="A33" s="212">
        <v>30</v>
      </c>
      <c r="B33" s="170" t="s">
        <v>81</v>
      </c>
      <c r="C33" s="125">
        <v>39052</v>
      </c>
      <c r="D33" s="136" t="s">
        <v>58</v>
      </c>
      <c r="E33" s="136" t="s">
        <v>59</v>
      </c>
      <c r="F33" s="279">
        <v>2306</v>
      </c>
      <c r="G33" s="219">
        <v>733</v>
      </c>
    </row>
    <row r="34" spans="1:7" ht="15">
      <c r="A34" s="212">
        <v>31</v>
      </c>
      <c r="B34" s="203" t="s">
        <v>81</v>
      </c>
      <c r="C34" s="125">
        <v>39052</v>
      </c>
      <c r="D34" s="199" t="s">
        <v>58</v>
      </c>
      <c r="E34" s="199" t="s">
        <v>59</v>
      </c>
      <c r="F34" s="279">
        <v>1587.5</v>
      </c>
      <c r="G34" s="219">
        <v>252</v>
      </c>
    </row>
    <row r="35" spans="1:7" ht="15">
      <c r="A35" s="212">
        <v>32</v>
      </c>
      <c r="B35" s="171" t="s">
        <v>120</v>
      </c>
      <c r="C35" s="125">
        <v>39073</v>
      </c>
      <c r="D35" s="140" t="s">
        <v>23</v>
      </c>
      <c r="E35" s="139" t="s">
        <v>100</v>
      </c>
      <c r="F35" s="288">
        <v>2937</v>
      </c>
      <c r="G35" s="180">
        <v>367</v>
      </c>
    </row>
    <row r="36" spans="1:7" ht="15">
      <c r="A36" s="212">
        <v>33</v>
      </c>
      <c r="B36" s="203" t="s">
        <v>120</v>
      </c>
      <c r="C36" s="125">
        <v>39073</v>
      </c>
      <c r="D36" s="199" t="s">
        <v>23</v>
      </c>
      <c r="E36" s="199" t="s">
        <v>100</v>
      </c>
      <c r="F36" s="279">
        <v>796</v>
      </c>
      <c r="G36" s="219">
        <v>81</v>
      </c>
    </row>
    <row r="37" spans="1:7" ht="15">
      <c r="A37" s="212">
        <v>34</v>
      </c>
      <c r="B37" s="171" t="s">
        <v>120</v>
      </c>
      <c r="C37" s="125">
        <v>39073</v>
      </c>
      <c r="D37" s="140" t="s">
        <v>23</v>
      </c>
      <c r="E37" s="139" t="s">
        <v>100</v>
      </c>
      <c r="F37" s="279">
        <v>64</v>
      </c>
      <c r="G37" s="219">
        <v>7</v>
      </c>
    </row>
    <row r="38" spans="1:7" ht="15">
      <c r="A38" s="212">
        <v>35</v>
      </c>
      <c r="B38" s="274" t="s">
        <v>199</v>
      </c>
      <c r="C38" s="125">
        <v>38870</v>
      </c>
      <c r="D38" s="140" t="s">
        <v>23</v>
      </c>
      <c r="E38" s="139" t="s">
        <v>200</v>
      </c>
      <c r="F38" s="279">
        <v>204</v>
      </c>
      <c r="G38" s="219">
        <v>40</v>
      </c>
    </row>
    <row r="39" spans="1:7" ht="15">
      <c r="A39" s="212">
        <v>36</v>
      </c>
      <c r="B39" s="170" t="s">
        <v>26</v>
      </c>
      <c r="C39" s="125">
        <v>38975</v>
      </c>
      <c r="D39" s="136" t="s">
        <v>57</v>
      </c>
      <c r="E39" s="136" t="s">
        <v>60</v>
      </c>
      <c r="F39" s="279">
        <v>7149</v>
      </c>
      <c r="G39" s="219">
        <v>1229</v>
      </c>
    </row>
    <row r="40" spans="1:7" ht="15">
      <c r="A40" s="212">
        <v>37</v>
      </c>
      <c r="B40" s="273" t="s">
        <v>26</v>
      </c>
      <c r="C40" s="125">
        <v>38975</v>
      </c>
      <c r="D40" s="136" t="s">
        <v>57</v>
      </c>
      <c r="E40" s="136" t="s">
        <v>60</v>
      </c>
      <c r="F40" s="288">
        <v>2635</v>
      </c>
      <c r="G40" s="219">
        <v>667</v>
      </c>
    </row>
    <row r="41" spans="1:7" ht="15">
      <c r="A41" s="212">
        <v>38</v>
      </c>
      <c r="B41" s="169" t="s">
        <v>26</v>
      </c>
      <c r="C41" s="172">
        <v>38975</v>
      </c>
      <c r="D41" s="136" t="s">
        <v>57</v>
      </c>
      <c r="E41" s="167" t="s">
        <v>60</v>
      </c>
      <c r="F41" s="290">
        <v>2120</v>
      </c>
      <c r="G41" s="178">
        <v>369</v>
      </c>
    </row>
    <row r="42" spans="1:7" ht="15">
      <c r="A42" s="212">
        <v>39</v>
      </c>
      <c r="B42" s="203" t="s">
        <v>26</v>
      </c>
      <c r="C42" s="125">
        <v>38975</v>
      </c>
      <c r="D42" s="199" t="s">
        <v>57</v>
      </c>
      <c r="E42" s="199" t="s">
        <v>60</v>
      </c>
      <c r="F42" s="279">
        <v>887</v>
      </c>
      <c r="G42" s="219">
        <v>160</v>
      </c>
    </row>
    <row r="43" spans="1:7" ht="15">
      <c r="A43" s="212">
        <v>40</v>
      </c>
      <c r="B43" s="170" t="s">
        <v>26</v>
      </c>
      <c r="C43" s="125">
        <v>38975</v>
      </c>
      <c r="D43" s="136" t="s">
        <v>57</v>
      </c>
      <c r="E43" s="136" t="s">
        <v>60</v>
      </c>
      <c r="F43" s="279">
        <v>284</v>
      </c>
      <c r="G43" s="219">
        <v>47</v>
      </c>
    </row>
    <row r="44" spans="1:7" ht="15">
      <c r="A44" s="212">
        <v>41</v>
      </c>
      <c r="B44" s="273" t="s">
        <v>26</v>
      </c>
      <c r="C44" s="125">
        <v>38975</v>
      </c>
      <c r="D44" s="136" t="s">
        <v>57</v>
      </c>
      <c r="E44" s="136" t="s">
        <v>60</v>
      </c>
      <c r="F44" s="279">
        <v>247</v>
      </c>
      <c r="G44" s="219">
        <v>41</v>
      </c>
    </row>
    <row r="45" spans="1:7" ht="15">
      <c r="A45" s="212">
        <v>42</v>
      </c>
      <c r="B45" s="168" t="s">
        <v>41</v>
      </c>
      <c r="C45" s="124">
        <v>39038</v>
      </c>
      <c r="D45" s="135" t="s">
        <v>56</v>
      </c>
      <c r="E45" s="134" t="s">
        <v>61</v>
      </c>
      <c r="F45" s="289">
        <v>7970</v>
      </c>
      <c r="G45" s="177">
        <v>1455</v>
      </c>
    </row>
    <row r="46" spans="1:7" ht="15">
      <c r="A46" s="212">
        <v>43</v>
      </c>
      <c r="B46" s="272" t="s">
        <v>41</v>
      </c>
      <c r="C46" s="124">
        <v>39038</v>
      </c>
      <c r="D46" s="135" t="s">
        <v>56</v>
      </c>
      <c r="E46" s="134" t="s">
        <v>61</v>
      </c>
      <c r="F46" s="281">
        <v>6458</v>
      </c>
      <c r="G46" s="218">
        <v>1814</v>
      </c>
    </row>
    <row r="47" spans="1:7" ht="15">
      <c r="A47" s="212">
        <v>44</v>
      </c>
      <c r="B47" s="202" t="s">
        <v>41</v>
      </c>
      <c r="C47" s="124">
        <v>39038</v>
      </c>
      <c r="D47" s="200" t="s">
        <v>56</v>
      </c>
      <c r="E47" s="200" t="s">
        <v>61</v>
      </c>
      <c r="F47" s="281">
        <v>2372</v>
      </c>
      <c r="G47" s="218">
        <v>338</v>
      </c>
    </row>
    <row r="48" spans="1:7" ht="15">
      <c r="A48" s="212">
        <v>45</v>
      </c>
      <c r="B48" s="168" t="s">
        <v>41</v>
      </c>
      <c r="C48" s="124">
        <v>39038</v>
      </c>
      <c r="D48" s="135" t="s">
        <v>56</v>
      </c>
      <c r="E48" s="134" t="s">
        <v>61</v>
      </c>
      <c r="F48" s="281">
        <v>1812</v>
      </c>
      <c r="G48" s="218">
        <v>360</v>
      </c>
    </row>
    <row r="49" spans="1:7" ht="15">
      <c r="A49" s="212">
        <v>46</v>
      </c>
      <c r="B49" s="168" t="s">
        <v>41</v>
      </c>
      <c r="C49" s="124">
        <v>39038</v>
      </c>
      <c r="D49" s="135" t="s">
        <v>56</v>
      </c>
      <c r="E49" s="134" t="s">
        <v>61</v>
      </c>
      <c r="F49" s="281">
        <v>406</v>
      </c>
      <c r="G49" s="218">
        <v>59</v>
      </c>
    </row>
    <row r="50" spans="1:7" ht="15">
      <c r="A50" s="212">
        <v>47</v>
      </c>
      <c r="B50" s="272" t="s">
        <v>41</v>
      </c>
      <c r="C50" s="124">
        <v>39038</v>
      </c>
      <c r="D50" s="135" t="s">
        <v>56</v>
      </c>
      <c r="E50" s="134" t="s">
        <v>61</v>
      </c>
      <c r="F50" s="289">
        <v>362</v>
      </c>
      <c r="G50" s="218">
        <v>51</v>
      </c>
    </row>
    <row r="51" spans="1:7" ht="15">
      <c r="A51" s="212">
        <v>48</v>
      </c>
      <c r="B51" s="169" t="s">
        <v>130</v>
      </c>
      <c r="C51" s="172">
        <v>39066</v>
      </c>
      <c r="D51" s="167" t="s">
        <v>58</v>
      </c>
      <c r="E51" s="167" t="s">
        <v>117</v>
      </c>
      <c r="F51" s="290">
        <v>41050.5</v>
      </c>
      <c r="G51" s="178">
        <v>5261</v>
      </c>
    </row>
    <row r="52" spans="1:7" ht="15">
      <c r="A52" s="212">
        <v>49</v>
      </c>
      <c r="B52" s="203" t="s">
        <v>130</v>
      </c>
      <c r="C52" s="125">
        <v>39066</v>
      </c>
      <c r="D52" s="199" t="s">
        <v>58</v>
      </c>
      <c r="E52" s="199" t="s">
        <v>117</v>
      </c>
      <c r="F52" s="279">
        <v>19306.5</v>
      </c>
      <c r="G52" s="219">
        <v>3088</v>
      </c>
    </row>
    <row r="53" spans="1:7" ht="15">
      <c r="A53" s="212">
        <v>50</v>
      </c>
      <c r="B53" s="170" t="s">
        <v>130</v>
      </c>
      <c r="C53" s="125">
        <v>39066</v>
      </c>
      <c r="D53" s="136" t="s">
        <v>58</v>
      </c>
      <c r="E53" s="136" t="s">
        <v>117</v>
      </c>
      <c r="F53" s="279">
        <v>6896.5</v>
      </c>
      <c r="G53" s="219">
        <v>1472</v>
      </c>
    </row>
    <row r="54" spans="1:7" ht="15">
      <c r="A54" s="212">
        <v>51</v>
      </c>
      <c r="B54" s="170" t="s">
        <v>130</v>
      </c>
      <c r="C54" s="125">
        <v>39066</v>
      </c>
      <c r="D54" s="136" t="s">
        <v>58</v>
      </c>
      <c r="E54" s="136" t="s">
        <v>117</v>
      </c>
      <c r="F54" s="279">
        <v>2843</v>
      </c>
      <c r="G54" s="219">
        <v>581</v>
      </c>
    </row>
    <row r="55" spans="1:7" ht="15">
      <c r="A55" s="212">
        <v>52</v>
      </c>
      <c r="B55" s="273" t="s">
        <v>130</v>
      </c>
      <c r="C55" s="125">
        <v>39066</v>
      </c>
      <c r="D55" s="136" t="s">
        <v>58</v>
      </c>
      <c r="E55" s="136" t="s">
        <v>117</v>
      </c>
      <c r="F55" s="288">
        <v>2025</v>
      </c>
      <c r="G55" s="219">
        <v>379</v>
      </c>
    </row>
    <row r="56" spans="1:7" ht="15">
      <c r="A56" s="212">
        <v>53</v>
      </c>
      <c r="B56" s="273" t="s">
        <v>130</v>
      </c>
      <c r="C56" s="125">
        <v>39066</v>
      </c>
      <c r="D56" s="136" t="s">
        <v>58</v>
      </c>
      <c r="E56" s="136" t="s">
        <v>117</v>
      </c>
      <c r="F56" s="279">
        <v>1781</v>
      </c>
      <c r="G56" s="219">
        <v>334</v>
      </c>
    </row>
    <row r="57" spans="1:7" ht="15">
      <c r="A57" s="212">
        <v>54</v>
      </c>
      <c r="B57" s="169" t="s">
        <v>139</v>
      </c>
      <c r="C57" s="172">
        <v>38807</v>
      </c>
      <c r="D57" s="167" t="s">
        <v>73</v>
      </c>
      <c r="E57" s="167" t="s">
        <v>140</v>
      </c>
      <c r="F57" s="290">
        <v>1430</v>
      </c>
      <c r="G57" s="178">
        <v>286</v>
      </c>
    </row>
    <row r="58" spans="1:7" ht="15">
      <c r="A58" s="212">
        <v>55</v>
      </c>
      <c r="B58" s="170" t="s">
        <v>82</v>
      </c>
      <c r="C58" s="125">
        <v>39052</v>
      </c>
      <c r="D58" s="136" t="s">
        <v>55</v>
      </c>
      <c r="E58" s="136" t="s">
        <v>55</v>
      </c>
      <c r="F58" s="288">
        <v>6236</v>
      </c>
      <c r="G58" s="180">
        <v>855</v>
      </c>
    </row>
    <row r="59" spans="1:7" ht="15">
      <c r="A59" s="212">
        <v>56</v>
      </c>
      <c r="B59" s="170" t="s">
        <v>82</v>
      </c>
      <c r="C59" s="125">
        <v>39052</v>
      </c>
      <c r="D59" s="136" t="s">
        <v>55</v>
      </c>
      <c r="E59" s="136" t="s">
        <v>55</v>
      </c>
      <c r="F59" s="279">
        <v>2023</v>
      </c>
      <c r="G59" s="219">
        <v>433</v>
      </c>
    </row>
    <row r="60" spans="1:7" ht="15">
      <c r="A60" s="212">
        <v>57</v>
      </c>
      <c r="B60" s="203" t="s">
        <v>82</v>
      </c>
      <c r="C60" s="125">
        <v>39052</v>
      </c>
      <c r="D60" s="199" t="s">
        <v>55</v>
      </c>
      <c r="E60" s="199" t="s">
        <v>55</v>
      </c>
      <c r="F60" s="279">
        <v>1507</v>
      </c>
      <c r="G60" s="219">
        <v>276</v>
      </c>
    </row>
    <row r="61" spans="1:7" ht="15">
      <c r="A61" s="212">
        <v>58</v>
      </c>
      <c r="B61" s="273" t="s">
        <v>82</v>
      </c>
      <c r="C61" s="125">
        <v>39052</v>
      </c>
      <c r="D61" s="136" t="s">
        <v>55</v>
      </c>
      <c r="E61" s="136" t="s">
        <v>63</v>
      </c>
      <c r="F61" s="279">
        <v>287</v>
      </c>
      <c r="G61" s="219">
        <v>70</v>
      </c>
    </row>
    <row r="62" spans="1:7" ht="15">
      <c r="A62" s="212">
        <v>59</v>
      </c>
      <c r="B62" s="168" t="s">
        <v>178</v>
      </c>
      <c r="C62" s="124">
        <v>38982</v>
      </c>
      <c r="D62" s="135" t="s">
        <v>56</v>
      </c>
      <c r="E62" s="134" t="s">
        <v>61</v>
      </c>
      <c r="F62" s="281">
        <v>880</v>
      </c>
      <c r="G62" s="218">
        <v>165</v>
      </c>
    </row>
    <row r="63" spans="1:7" ht="15">
      <c r="A63" s="212">
        <v>60</v>
      </c>
      <c r="B63" s="272" t="s">
        <v>178</v>
      </c>
      <c r="C63" s="124">
        <v>38982</v>
      </c>
      <c r="D63" s="135" t="s">
        <v>56</v>
      </c>
      <c r="E63" s="134" t="s">
        <v>61</v>
      </c>
      <c r="F63" s="281">
        <v>785</v>
      </c>
      <c r="G63" s="218">
        <v>151</v>
      </c>
    </row>
    <row r="64" spans="1:7" ht="15">
      <c r="A64" s="212">
        <v>61</v>
      </c>
      <c r="B64" s="166" t="s">
        <v>231</v>
      </c>
      <c r="C64" s="124">
        <v>38849</v>
      </c>
      <c r="D64" s="137" t="s">
        <v>192</v>
      </c>
      <c r="E64" s="137" t="s">
        <v>66</v>
      </c>
      <c r="F64" s="281">
        <v>354</v>
      </c>
      <c r="G64" s="218">
        <v>118</v>
      </c>
    </row>
    <row r="65" spans="1:7" ht="15">
      <c r="A65" s="212">
        <v>62</v>
      </c>
      <c r="B65" s="168" t="s">
        <v>179</v>
      </c>
      <c r="C65" s="124">
        <v>38961</v>
      </c>
      <c r="D65" s="135" t="s">
        <v>56</v>
      </c>
      <c r="E65" s="134" t="s">
        <v>71</v>
      </c>
      <c r="F65" s="281">
        <v>349</v>
      </c>
      <c r="G65" s="218">
        <v>84</v>
      </c>
    </row>
    <row r="66" spans="1:7" ht="15">
      <c r="A66" s="212">
        <v>63</v>
      </c>
      <c r="B66" s="169" t="s">
        <v>132</v>
      </c>
      <c r="C66" s="172">
        <v>39059</v>
      </c>
      <c r="D66" s="167" t="s">
        <v>58</v>
      </c>
      <c r="E66" s="167" t="s">
        <v>133</v>
      </c>
      <c r="F66" s="290">
        <v>10528</v>
      </c>
      <c r="G66" s="178">
        <v>2058</v>
      </c>
    </row>
    <row r="67" spans="1:7" ht="15">
      <c r="A67" s="212">
        <v>64</v>
      </c>
      <c r="B67" s="203" t="s">
        <v>132</v>
      </c>
      <c r="C67" s="125">
        <v>39059</v>
      </c>
      <c r="D67" s="199" t="s">
        <v>58</v>
      </c>
      <c r="E67" s="199" t="s">
        <v>133</v>
      </c>
      <c r="F67" s="279">
        <v>5718</v>
      </c>
      <c r="G67" s="219">
        <v>1187</v>
      </c>
    </row>
    <row r="68" spans="1:7" ht="15">
      <c r="A68" s="212">
        <v>65</v>
      </c>
      <c r="B68" s="170" t="s">
        <v>132</v>
      </c>
      <c r="C68" s="125">
        <v>39059</v>
      </c>
      <c r="D68" s="136" t="s">
        <v>58</v>
      </c>
      <c r="E68" s="136" t="s">
        <v>133</v>
      </c>
      <c r="F68" s="279">
        <v>2752.5</v>
      </c>
      <c r="G68" s="219">
        <v>997</v>
      </c>
    </row>
    <row r="69" spans="1:7" ht="15">
      <c r="A69" s="212">
        <v>66</v>
      </c>
      <c r="B69" s="170" t="s">
        <v>132</v>
      </c>
      <c r="C69" s="125">
        <v>39059</v>
      </c>
      <c r="D69" s="136" t="s">
        <v>58</v>
      </c>
      <c r="E69" s="136" t="s">
        <v>133</v>
      </c>
      <c r="F69" s="279">
        <v>2645</v>
      </c>
      <c r="G69" s="219">
        <v>552</v>
      </c>
    </row>
    <row r="70" spans="1:7" ht="15">
      <c r="A70" s="212">
        <v>67</v>
      </c>
      <c r="B70" s="202" t="s">
        <v>75</v>
      </c>
      <c r="C70" s="124">
        <v>39048</v>
      </c>
      <c r="D70" s="200" t="s">
        <v>56</v>
      </c>
      <c r="E70" s="200" t="s">
        <v>11</v>
      </c>
      <c r="F70" s="281">
        <v>24707</v>
      </c>
      <c r="G70" s="218">
        <v>4942</v>
      </c>
    </row>
    <row r="71" spans="1:7" ht="15">
      <c r="A71" s="212">
        <v>68</v>
      </c>
      <c r="B71" s="168" t="s">
        <v>75</v>
      </c>
      <c r="C71" s="124">
        <v>39048</v>
      </c>
      <c r="D71" s="135" t="s">
        <v>56</v>
      </c>
      <c r="E71" s="134" t="s">
        <v>11</v>
      </c>
      <c r="F71" s="289">
        <v>23989</v>
      </c>
      <c r="G71" s="177">
        <v>4418</v>
      </c>
    </row>
    <row r="72" spans="1:7" ht="15">
      <c r="A72" s="212">
        <v>69</v>
      </c>
      <c r="B72" s="168" t="s">
        <v>75</v>
      </c>
      <c r="C72" s="124">
        <v>39048</v>
      </c>
      <c r="D72" s="135" t="s">
        <v>56</v>
      </c>
      <c r="E72" s="134" t="s">
        <v>11</v>
      </c>
      <c r="F72" s="281">
        <v>13479</v>
      </c>
      <c r="G72" s="218">
        <v>2620</v>
      </c>
    </row>
    <row r="73" spans="1:7" ht="15">
      <c r="A73" s="212">
        <v>70</v>
      </c>
      <c r="B73" s="272" t="s">
        <v>75</v>
      </c>
      <c r="C73" s="124">
        <v>39048</v>
      </c>
      <c r="D73" s="135" t="s">
        <v>56</v>
      </c>
      <c r="E73" s="134" t="s">
        <v>11</v>
      </c>
      <c r="F73" s="281">
        <v>875</v>
      </c>
      <c r="G73" s="218">
        <v>136</v>
      </c>
    </row>
    <row r="74" spans="1:7" ht="15">
      <c r="A74" s="212">
        <v>71</v>
      </c>
      <c r="B74" s="169" t="s">
        <v>21</v>
      </c>
      <c r="C74" s="172">
        <v>38996</v>
      </c>
      <c r="D74" s="167" t="s">
        <v>58</v>
      </c>
      <c r="E74" s="167" t="s">
        <v>59</v>
      </c>
      <c r="F74" s="290">
        <v>3021</v>
      </c>
      <c r="G74" s="178">
        <v>605</v>
      </c>
    </row>
    <row r="75" spans="1:7" ht="15">
      <c r="A75" s="212">
        <v>72</v>
      </c>
      <c r="B75" s="169" t="s">
        <v>76</v>
      </c>
      <c r="C75" s="172">
        <v>39045</v>
      </c>
      <c r="D75" s="167" t="s">
        <v>58</v>
      </c>
      <c r="E75" s="167" t="s">
        <v>77</v>
      </c>
      <c r="F75" s="290">
        <v>386155</v>
      </c>
      <c r="G75" s="178">
        <v>61261</v>
      </c>
    </row>
    <row r="76" spans="1:7" ht="15">
      <c r="A76" s="212">
        <v>73</v>
      </c>
      <c r="B76" s="203" t="s">
        <v>76</v>
      </c>
      <c r="C76" s="125">
        <v>39045</v>
      </c>
      <c r="D76" s="199" t="s">
        <v>58</v>
      </c>
      <c r="E76" s="199" t="s">
        <v>77</v>
      </c>
      <c r="F76" s="279">
        <v>185586</v>
      </c>
      <c r="G76" s="219">
        <v>32646</v>
      </c>
    </row>
    <row r="77" spans="1:7" ht="15">
      <c r="A77" s="212">
        <v>74</v>
      </c>
      <c r="B77" s="170" t="s">
        <v>76</v>
      </c>
      <c r="C77" s="125">
        <v>39045</v>
      </c>
      <c r="D77" s="136" t="s">
        <v>58</v>
      </c>
      <c r="E77" s="136" t="s">
        <v>77</v>
      </c>
      <c r="F77" s="279">
        <v>78557</v>
      </c>
      <c r="G77" s="219">
        <v>14471</v>
      </c>
    </row>
    <row r="78" spans="1:7" ht="15">
      <c r="A78" s="212">
        <v>75</v>
      </c>
      <c r="B78" s="273" t="s">
        <v>76</v>
      </c>
      <c r="C78" s="125">
        <v>39045</v>
      </c>
      <c r="D78" s="136" t="s">
        <v>58</v>
      </c>
      <c r="E78" s="136" t="s">
        <v>77</v>
      </c>
      <c r="F78" s="279">
        <v>38487.5</v>
      </c>
      <c r="G78" s="219">
        <v>9345</v>
      </c>
    </row>
    <row r="79" spans="1:7" ht="15">
      <c r="A79" s="212">
        <v>76</v>
      </c>
      <c r="B79" s="170" t="s">
        <v>76</v>
      </c>
      <c r="C79" s="125">
        <v>39045</v>
      </c>
      <c r="D79" s="136" t="s">
        <v>58</v>
      </c>
      <c r="E79" s="136" t="s">
        <v>77</v>
      </c>
      <c r="F79" s="279">
        <v>19951.5</v>
      </c>
      <c r="G79" s="219">
        <v>4644</v>
      </c>
    </row>
    <row r="80" spans="1:7" ht="15">
      <c r="A80" s="212">
        <v>77</v>
      </c>
      <c r="B80" s="273" t="s">
        <v>76</v>
      </c>
      <c r="C80" s="125">
        <v>39045</v>
      </c>
      <c r="D80" s="136" t="s">
        <v>58</v>
      </c>
      <c r="E80" s="136" t="s">
        <v>77</v>
      </c>
      <c r="F80" s="288">
        <v>2267.5</v>
      </c>
      <c r="G80" s="219">
        <v>561</v>
      </c>
    </row>
    <row r="81" spans="1:7" ht="15">
      <c r="A81" s="212">
        <v>78</v>
      </c>
      <c r="B81" s="170" t="s">
        <v>223</v>
      </c>
      <c r="C81" s="125">
        <v>38072</v>
      </c>
      <c r="D81" s="137" t="s">
        <v>224</v>
      </c>
      <c r="E81" s="137" t="s">
        <v>225</v>
      </c>
      <c r="F81" s="279">
        <v>354</v>
      </c>
      <c r="G81" s="219">
        <v>118</v>
      </c>
    </row>
    <row r="82" spans="1:7" ht="15">
      <c r="A82" s="212">
        <v>79</v>
      </c>
      <c r="B82" s="202" t="s">
        <v>125</v>
      </c>
      <c r="C82" s="124">
        <v>39066</v>
      </c>
      <c r="D82" s="135" t="s">
        <v>56</v>
      </c>
      <c r="E82" s="134" t="s">
        <v>69</v>
      </c>
      <c r="F82" s="289">
        <v>1057112</v>
      </c>
      <c r="G82" s="177">
        <v>151061</v>
      </c>
    </row>
    <row r="83" spans="1:7" ht="15">
      <c r="A83" s="212">
        <v>80</v>
      </c>
      <c r="B83" s="202" t="s">
        <v>125</v>
      </c>
      <c r="C83" s="124">
        <v>39066</v>
      </c>
      <c r="D83" s="200" t="s">
        <v>56</v>
      </c>
      <c r="E83" s="200" t="s">
        <v>69</v>
      </c>
      <c r="F83" s="281">
        <f>222438-23</f>
        <v>222415</v>
      </c>
      <c r="G83" s="218">
        <v>33037</v>
      </c>
    </row>
    <row r="84" spans="1:7" ht="15">
      <c r="A84" s="212">
        <v>81</v>
      </c>
      <c r="B84" s="168" t="s">
        <v>125</v>
      </c>
      <c r="C84" s="124">
        <v>39066</v>
      </c>
      <c r="D84" s="135" t="s">
        <v>56</v>
      </c>
      <c r="E84" s="134" t="s">
        <v>69</v>
      </c>
      <c r="F84" s="281">
        <v>32518</v>
      </c>
      <c r="G84" s="218">
        <v>6240</v>
      </c>
    </row>
    <row r="85" spans="1:7" ht="15">
      <c r="A85" s="212">
        <v>82</v>
      </c>
      <c r="B85" s="202" t="s">
        <v>125</v>
      </c>
      <c r="C85" s="124">
        <v>39066</v>
      </c>
      <c r="D85" s="135" t="s">
        <v>56</v>
      </c>
      <c r="E85" s="134" t="s">
        <v>69</v>
      </c>
      <c r="F85" s="281">
        <v>14705</v>
      </c>
      <c r="G85" s="218">
        <v>4042</v>
      </c>
    </row>
    <row r="86" spans="1:7" ht="15">
      <c r="A86" s="212">
        <v>83</v>
      </c>
      <c r="B86" s="168" t="s">
        <v>125</v>
      </c>
      <c r="C86" s="124">
        <v>39066</v>
      </c>
      <c r="D86" s="135" t="s">
        <v>56</v>
      </c>
      <c r="E86" s="134" t="s">
        <v>69</v>
      </c>
      <c r="F86" s="281">
        <v>6718</v>
      </c>
      <c r="G86" s="218">
        <v>1655</v>
      </c>
    </row>
    <row r="87" spans="1:7" ht="15">
      <c r="A87" s="212">
        <v>84</v>
      </c>
      <c r="B87" s="272" t="s">
        <v>125</v>
      </c>
      <c r="C87" s="124">
        <v>39066</v>
      </c>
      <c r="D87" s="135" t="s">
        <v>56</v>
      </c>
      <c r="E87" s="134" t="s">
        <v>69</v>
      </c>
      <c r="F87" s="289">
        <v>2937</v>
      </c>
      <c r="G87" s="218">
        <v>674</v>
      </c>
    </row>
    <row r="88" spans="1:7" ht="15">
      <c r="A88" s="212">
        <v>85</v>
      </c>
      <c r="B88" s="169" t="s">
        <v>115</v>
      </c>
      <c r="C88" s="172">
        <v>39066</v>
      </c>
      <c r="D88" s="167" t="s">
        <v>58</v>
      </c>
      <c r="E88" s="167" t="s">
        <v>59</v>
      </c>
      <c r="F88" s="290">
        <v>144826</v>
      </c>
      <c r="G88" s="178">
        <v>18766</v>
      </c>
    </row>
    <row r="89" spans="1:7" ht="15">
      <c r="A89" s="212">
        <v>86</v>
      </c>
      <c r="B89" s="203" t="s">
        <v>115</v>
      </c>
      <c r="C89" s="125">
        <v>39066</v>
      </c>
      <c r="D89" s="199" t="s">
        <v>58</v>
      </c>
      <c r="E89" s="199" t="s">
        <v>59</v>
      </c>
      <c r="F89" s="279">
        <v>34457</v>
      </c>
      <c r="G89" s="219">
        <v>4967</v>
      </c>
    </row>
    <row r="90" spans="1:7" ht="15">
      <c r="A90" s="212">
        <v>87</v>
      </c>
      <c r="B90" s="170" t="s">
        <v>115</v>
      </c>
      <c r="C90" s="125">
        <v>39066</v>
      </c>
      <c r="D90" s="136" t="s">
        <v>58</v>
      </c>
      <c r="E90" s="136" t="s">
        <v>59</v>
      </c>
      <c r="F90" s="279">
        <v>11124</v>
      </c>
      <c r="G90" s="219">
        <v>1852</v>
      </c>
    </row>
    <row r="91" spans="1:7" ht="15">
      <c r="A91" s="212">
        <v>88</v>
      </c>
      <c r="B91" s="170" t="s">
        <v>115</v>
      </c>
      <c r="C91" s="125">
        <v>39066</v>
      </c>
      <c r="D91" s="136" t="s">
        <v>58</v>
      </c>
      <c r="E91" s="136" t="s">
        <v>59</v>
      </c>
      <c r="F91" s="279">
        <v>6963</v>
      </c>
      <c r="G91" s="219">
        <v>1244</v>
      </c>
    </row>
    <row r="92" spans="1:7" ht="15">
      <c r="A92" s="212">
        <v>89</v>
      </c>
      <c r="B92" s="273" t="s">
        <v>115</v>
      </c>
      <c r="C92" s="125">
        <v>39066</v>
      </c>
      <c r="D92" s="136" t="s">
        <v>58</v>
      </c>
      <c r="E92" s="136" t="s">
        <v>59</v>
      </c>
      <c r="F92" s="279">
        <v>4855</v>
      </c>
      <c r="G92" s="219">
        <v>788</v>
      </c>
    </row>
    <row r="93" spans="1:7" ht="15">
      <c r="A93" s="212">
        <v>90</v>
      </c>
      <c r="B93" s="273" t="s">
        <v>115</v>
      </c>
      <c r="C93" s="125">
        <v>39066</v>
      </c>
      <c r="D93" s="136" t="s">
        <v>58</v>
      </c>
      <c r="E93" s="136" t="s">
        <v>59</v>
      </c>
      <c r="F93" s="288">
        <v>1425</v>
      </c>
      <c r="G93" s="219">
        <v>168</v>
      </c>
    </row>
    <row r="94" spans="1:7" ht="15">
      <c r="A94" s="212">
        <v>91</v>
      </c>
      <c r="B94" s="274" t="s">
        <v>201</v>
      </c>
      <c r="C94" s="125">
        <v>38863</v>
      </c>
      <c r="D94" s="140" t="s">
        <v>23</v>
      </c>
      <c r="E94" s="139" t="s">
        <v>13</v>
      </c>
      <c r="F94" s="279">
        <v>952</v>
      </c>
      <c r="G94" s="219">
        <v>238</v>
      </c>
    </row>
    <row r="95" spans="1:7" ht="15">
      <c r="A95" s="212">
        <v>92</v>
      </c>
      <c r="B95" s="274" t="s">
        <v>201</v>
      </c>
      <c r="C95" s="125">
        <v>38863</v>
      </c>
      <c r="D95" s="140" t="s">
        <v>23</v>
      </c>
      <c r="E95" s="139" t="s">
        <v>13</v>
      </c>
      <c r="F95" s="288">
        <v>353.6</v>
      </c>
      <c r="G95" s="219">
        <v>221</v>
      </c>
    </row>
    <row r="96" spans="1:7" ht="15">
      <c r="A96" s="212">
        <v>93</v>
      </c>
      <c r="B96" s="273" t="s">
        <v>134</v>
      </c>
      <c r="C96" s="125">
        <v>39024</v>
      </c>
      <c r="D96" s="136" t="s">
        <v>58</v>
      </c>
      <c r="E96" s="136" t="s">
        <v>33</v>
      </c>
      <c r="F96" s="288">
        <v>5313</v>
      </c>
      <c r="G96" s="219">
        <v>1142</v>
      </c>
    </row>
    <row r="97" spans="1:7" ht="15">
      <c r="A97" s="212">
        <v>94</v>
      </c>
      <c r="B97" s="203" t="s">
        <v>134</v>
      </c>
      <c r="C97" s="125">
        <v>39024</v>
      </c>
      <c r="D97" s="199" t="s">
        <v>58</v>
      </c>
      <c r="E97" s="199" t="s">
        <v>33</v>
      </c>
      <c r="F97" s="279">
        <v>2927</v>
      </c>
      <c r="G97" s="219">
        <v>723</v>
      </c>
    </row>
    <row r="98" spans="1:7" ht="15">
      <c r="A98" s="212">
        <v>95</v>
      </c>
      <c r="B98" s="169" t="s">
        <v>134</v>
      </c>
      <c r="C98" s="172">
        <v>39024</v>
      </c>
      <c r="D98" s="167" t="s">
        <v>58</v>
      </c>
      <c r="E98" s="167" t="s">
        <v>33</v>
      </c>
      <c r="F98" s="290">
        <v>1598</v>
      </c>
      <c r="G98" s="178">
        <v>301</v>
      </c>
    </row>
    <row r="99" spans="1:7" ht="15">
      <c r="A99" s="212">
        <v>96</v>
      </c>
      <c r="B99" s="170" t="s">
        <v>134</v>
      </c>
      <c r="C99" s="125">
        <v>39024</v>
      </c>
      <c r="D99" s="136" t="s">
        <v>58</v>
      </c>
      <c r="E99" s="136" t="s">
        <v>33</v>
      </c>
      <c r="F99" s="279">
        <v>1432</v>
      </c>
      <c r="G99" s="219">
        <v>434</v>
      </c>
    </row>
    <row r="100" spans="1:7" ht="15">
      <c r="A100" s="212">
        <v>97</v>
      </c>
      <c r="B100" s="273" t="s">
        <v>134</v>
      </c>
      <c r="C100" s="125">
        <v>39024</v>
      </c>
      <c r="D100" s="136" t="s">
        <v>58</v>
      </c>
      <c r="E100" s="136" t="s">
        <v>33</v>
      </c>
      <c r="F100" s="279">
        <v>1198</v>
      </c>
      <c r="G100" s="219">
        <v>255</v>
      </c>
    </row>
    <row r="101" spans="1:7" ht="15">
      <c r="A101" s="212">
        <v>98</v>
      </c>
      <c r="B101" s="170" t="s">
        <v>134</v>
      </c>
      <c r="C101" s="125">
        <v>39024</v>
      </c>
      <c r="D101" s="136" t="s">
        <v>58</v>
      </c>
      <c r="E101" s="136" t="s">
        <v>33</v>
      </c>
      <c r="F101" s="279">
        <v>1126</v>
      </c>
      <c r="G101" s="219">
        <v>363</v>
      </c>
    </row>
    <row r="102" spans="1:7" ht="15">
      <c r="A102" s="212">
        <v>99</v>
      </c>
      <c r="B102" s="169" t="s">
        <v>128</v>
      </c>
      <c r="C102" s="172">
        <v>39073</v>
      </c>
      <c r="D102" s="167" t="s">
        <v>58</v>
      </c>
      <c r="E102" s="167" t="s">
        <v>58</v>
      </c>
      <c r="F102" s="290">
        <v>996891</v>
      </c>
      <c r="G102" s="178">
        <v>140459</v>
      </c>
    </row>
    <row r="103" spans="1:7" ht="15">
      <c r="A103" s="212">
        <v>100</v>
      </c>
      <c r="B103" s="203" t="s">
        <v>128</v>
      </c>
      <c r="C103" s="125">
        <v>39073</v>
      </c>
      <c r="D103" s="199" t="s">
        <v>58</v>
      </c>
      <c r="E103" s="199" t="s">
        <v>58</v>
      </c>
      <c r="F103" s="279">
        <v>491242.5</v>
      </c>
      <c r="G103" s="219">
        <v>66355</v>
      </c>
    </row>
    <row r="104" spans="1:7" ht="15">
      <c r="A104" s="212">
        <v>101</v>
      </c>
      <c r="B104" s="170" t="s">
        <v>128</v>
      </c>
      <c r="C104" s="125">
        <v>39073</v>
      </c>
      <c r="D104" s="136" t="s">
        <v>58</v>
      </c>
      <c r="E104" s="136" t="s">
        <v>58</v>
      </c>
      <c r="F104" s="279">
        <v>184490.5</v>
      </c>
      <c r="G104" s="219">
        <v>26647</v>
      </c>
    </row>
    <row r="105" spans="1:7" ht="15">
      <c r="A105" s="212">
        <v>102</v>
      </c>
      <c r="B105" s="273" t="s">
        <v>128</v>
      </c>
      <c r="C105" s="125">
        <v>39073</v>
      </c>
      <c r="D105" s="136" t="s">
        <v>58</v>
      </c>
      <c r="E105" s="136" t="s">
        <v>58</v>
      </c>
      <c r="F105" s="279">
        <v>82961.5</v>
      </c>
      <c r="G105" s="219">
        <v>26647</v>
      </c>
    </row>
    <row r="106" spans="1:7" ht="15">
      <c r="A106" s="212">
        <v>103</v>
      </c>
      <c r="B106" s="170" t="s">
        <v>128</v>
      </c>
      <c r="C106" s="125">
        <v>39073</v>
      </c>
      <c r="D106" s="136" t="s">
        <v>58</v>
      </c>
      <c r="E106" s="136" t="s">
        <v>58</v>
      </c>
      <c r="F106" s="279">
        <v>17956.5</v>
      </c>
      <c r="G106" s="219">
        <v>3232</v>
      </c>
    </row>
    <row r="107" spans="1:7" ht="15">
      <c r="A107" s="212">
        <v>104</v>
      </c>
      <c r="B107" s="273" t="s">
        <v>128</v>
      </c>
      <c r="C107" s="125">
        <v>39073</v>
      </c>
      <c r="D107" s="136" t="s">
        <v>58</v>
      </c>
      <c r="E107" s="136" t="s">
        <v>58</v>
      </c>
      <c r="F107" s="288">
        <v>2380</v>
      </c>
      <c r="G107" s="219">
        <v>430</v>
      </c>
    </row>
    <row r="108" spans="1:7" ht="15">
      <c r="A108" s="212">
        <v>105</v>
      </c>
      <c r="B108" s="171" t="s">
        <v>229</v>
      </c>
      <c r="C108" s="125">
        <v>38779</v>
      </c>
      <c r="D108" s="140" t="s">
        <v>23</v>
      </c>
      <c r="E108" s="139" t="s">
        <v>230</v>
      </c>
      <c r="F108" s="279">
        <v>952</v>
      </c>
      <c r="G108" s="219">
        <v>238</v>
      </c>
    </row>
    <row r="109" spans="1:7" ht="15">
      <c r="A109" s="212">
        <v>106</v>
      </c>
      <c r="B109" s="168" t="s">
        <v>162</v>
      </c>
      <c r="C109" s="124">
        <v>38933</v>
      </c>
      <c r="D109" s="134" t="s">
        <v>48</v>
      </c>
      <c r="E109" s="134" t="s">
        <v>62</v>
      </c>
      <c r="F109" s="283">
        <v>1785</v>
      </c>
      <c r="G109" s="220">
        <v>255</v>
      </c>
    </row>
    <row r="110" spans="1:7" ht="15">
      <c r="A110" s="212">
        <v>107</v>
      </c>
      <c r="B110" s="202" t="s">
        <v>162</v>
      </c>
      <c r="C110" s="124">
        <v>38933</v>
      </c>
      <c r="D110" s="200" t="s">
        <v>48</v>
      </c>
      <c r="E110" s="200" t="s">
        <v>62</v>
      </c>
      <c r="F110" s="283">
        <v>598</v>
      </c>
      <c r="G110" s="220">
        <v>119</v>
      </c>
    </row>
    <row r="111" spans="1:7" ht="15">
      <c r="A111" s="212">
        <v>108</v>
      </c>
      <c r="B111" s="168" t="s">
        <v>79</v>
      </c>
      <c r="C111" s="124">
        <v>39059</v>
      </c>
      <c r="D111" s="135" t="s">
        <v>56</v>
      </c>
      <c r="E111" s="134" t="s">
        <v>11</v>
      </c>
      <c r="F111" s="281">
        <v>1910</v>
      </c>
      <c r="G111" s="218">
        <v>284</v>
      </c>
    </row>
    <row r="112" spans="1:7" ht="15">
      <c r="A112" s="212">
        <v>109</v>
      </c>
      <c r="B112" s="168" t="s">
        <v>79</v>
      </c>
      <c r="C112" s="124">
        <v>39059</v>
      </c>
      <c r="D112" s="135" t="s">
        <v>56</v>
      </c>
      <c r="E112" s="134" t="s">
        <v>11</v>
      </c>
      <c r="F112" s="289">
        <v>1109</v>
      </c>
      <c r="G112" s="177">
        <v>168</v>
      </c>
    </row>
    <row r="113" spans="1:7" ht="15">
      <c r="A113" s="212">
        <v>110</v>
      </c>
      <c r="B113" s="202" t="s">
        <v>79</v>
      </c>
      <c r="C113" s="124">
        <v>39059</v>
      </c>
      <c r="D113" s="200" t="s">
        <v>56</v>
      </c>
      <c r="E113" s="200" t="s">
        <v>11</v>
      </c>
      <c r="F113" s="281">
        <v>911</v>
      </c>
      <c r="G113" s="218">
        <v>163</v>
      </c>
    </row>
    <row r="114" spans="1:7" ht="15">
      <c r="A114" s="212">
        <v>111</v>
      </c>
      <c r="B114" s="272" t="s">
        <v>79</v>
      </c>
      <c r="C114" s="124">
        <v>39059</v>
      </c>
      <c r="D114" s="135" t="s">
        <v>56</v>
      </c>
      <c r="E114" s="134" t="s">
        <v>11</v>
      </c>
      <c r="F114" s="281">
        <v>492</v>
      </c>
      <c r="G114" s="218">
        <v>70</v>
      </c>
    </row>
    <row r="115" spans="1:7" ht="15">
      <c r="A115" s="212">
        <v>112</v>
      </c>
      <c r="B115" s="272" t="s">
        <v>79</v>
      </c>
      <c r="C115" s="124">
        <v>39059</v>
      </c>
      <c r="D115" s="135" t="s">
        <v>56</v>
      </c>
      <c r="E115" s="134" t="s">
        <v>11</v>
      </c>
      <c r="F115" s="289">
        <v>190</v>
      </c>
      <c r="G115" s="218">
        <v>38</v>
      </c>
    </row>
    <row r="116" spans="1:7" ht="15">
      <c r="A116" s="212">
        <v>113</v>
      </c>
      <c r="B116" s="169" t="s">
        <v>114</v>
      </c>
      <c r="C116" s="172">
        <v>39066</v>
      </c>
      <c r="D116" s="136" t="s">
        <v>57</v>
      </c>
      <c r="E116" s="167" t="s">
        <v>65</v>
      </c>
      <c r="F116" s="290">
        <v>464996</v>
      </c>
      <c r="G116" s="178">
        <v>59280</v>
      </c>
    </row>
    <row r="117" spans="1:7" ht="15">
      <c r="A117" s="212">
        <v>114</v>
      </c>
      <c r="B117" s="203" t="s">
        <v>114</v>
      </c>
      <c r="C117" s="125">
        <v>39066</v>
      </c>
      <c r="D117" s="199" t="s">
        <v>57</v>
      </c>
      <c r="E117" s="199" t="s">
        <v>65</v>
      </c>
      <c r="F117" s="279">
        <v>113805</v>
      </c>
      <c r="G117" s="219">
        <v>17354</v>
      </c>
    </row>
    <row r="118" spans="1:7" ht="15">
      <c r="A118" s="212">
        <v>115</v>
      </c>
      <c r="B118" s="170" t="s">
        <v>114</v>
      </c>
      <c r="C118" s="125">
        <v>39066</v>
      </c>
      <c r="D118" s="136" t="s">
        <v>57</v>
      </c>
      <c r="E118" s="136" t="s">
        <v>65</v>
      </c>
      <c r="F118" s="279">
        <v>53915</v>
      </c>
      <c r="G118" s="219">
        <v>10777</v>
      </c>
    </row>
    <row r="119" spans="1:7" ht="15">
      <c r="A119" s="212">
        <v>116</v>
      </c>
      <c r="B119" s="273" t="s">
        <v>114</v>
      </c>
      <c r="C119" s="125">
        <v>39066</v>
      </c>
      <c r="D119" s="136" t="s">
        <v>57</v>
      </c>
      <c r="E119" s="136" t="s">
        <v>65</v>
      </c>
      <c r="F119" s="279">
        <v>25324</v>
      </c>
      <c r="G119" s="219">
        <v>4706</v>
      </c>
    </row>
    <row r="120" spans="1:7" ht="15">
      <c r="A120" s="212">
        <v>117</v>
      </c>
      <c r="B120" s="273" t="s">
        <v>114</v>
      </c>
      <c r="C120" s="125">
        <v>39066</v>
      </c>
      <c r="D120" s="136" t="s">
        <v>57</v>
      </c>
      <c r="E120" s="136" t="s">
        <v>65</v>
      </c>
      <c r="F120" s="288">
        <v>18828</v>
      </c>
      <c r="G120" s="219">
        <v>3600</v>
      </c>
    </row>
    <row r="121" spans="1:7" ht="15">
      <c r="A121" s="212">
        <v>118</v>
      </c>
      <c r="B121" s="170" t="s">
        <v>114</v>
      </c>
      <c r="C121" s="125">
        <v>39066</v>
      </c>
      <c r="D121" s="136" t="s">
        <v>57</v>
      </c>
      <c r="E121" s="136" t="s">
        <v>65</v>
      </c>
      <c r="F121" s="279">
        <v>13632</v>
      </c>
      <c r="G121" s="219">
        <v>2800</v>
      </c>
    </row>
    <row r="122" spans="1:7" ht="15">
      <c r="A122" s="212">
        <v>119</v>
      </c>
      <c r="B122" s="171" t="s">
        <v>88</v>
      </c>
      <c r="C122" s="125">
        <v>38898</v>
      </c>
      <c r="D122" s="140" t="s">
        <v>23</v>
      </c>
      <c r="E122" s="139" t="s">
        <v>165</v>
      </c>
      <c r="F122" s="288">
        <v>1068</v>
      </c>
      <c r="G122" s="180">
        <v>356</v>
      </c>
    </row>
    <row r="123" spans="1:7" ht="15">
      <c r="A123" s="212">
        <v>120</v>
      </c>
      <c r="B123" s="171" t="s">
        <v>88</v>
      </c>
      <c r="C123" s="125">
        <v>38898</v>
      </c>
      <c r="D123" s="140" t="s">
        <v>23</v>
      </c>
      <c r="E123" s="139" t="s">
        <v>165</v>
      </c>
      <c r="F123" s="279">
        <v>454.3</v>
      </c>
      <c r="G123" s="219">
        <v>278</v>
      </c>
    </row>
    <row r="124" spans="1:7" ht="15">
      <c r="A124" s="212">
        <v>121</v>
      </c>
      <c r="B124" s="171" t="s">
        <v>88</v>
      </c>
      <c r="C124" s="125">
        <v>38898</v>
      </c>
      <c r="D124" s="140" t="s">
        <v>23</v>
      </c>
      <c r="E124" s="139" t="s">
        <v>165</v>
      </c>
      <c r="F124" s="279">
        <v>400</v>
      </c>
      <c r="G124" s="219">
        <v>80</v>
      </c>
    </row>
    <row r="125" spans="1:7" ht="15">
      <c r="A125" s="212">
        <v>122</v>
      </c>
      <c r="B125" s="203" t="s">
        <v>88</v>
      </c>
      <c r="C125" s="125">
        <v>38898</v>
      </c>
      <c r="D125" s="199" t="s">
        <v>23</v>
      </c>
      <c r="E125" s="199" t="s">
        <v>165</v>
      </c>
      <c r="F125" s="279">
        <v>30.5</v>
      </c>
      <c r="G125" s="219">
        <v>12</v>
      </c>
    </row>
    <row r="126" spans="1:7" ht="15">
      <c r="A126" s="212">
        <v>123</v>
      </c>
      <c r="B126" s="169" t="s">
        <v>15</v>
      </c>
      <c r="C126" s="172">
        <v>38947</v>
      </c>
      <c r="D126" s="167" t="s">
        <v>58</v>
      </c>
      <c r="E126" s="167" t="s">
        <v>59</v>
      </c>
      <c r="F126" s="290">
        <v>1386</v>
      </c>
      <c r="G126" s="178">
        <v>318</v>
      </c>
    </row>
    <row r="127" spans="1:7" ht="15">
      <c r="A127" s="212">
        <v>124</v>
      </c>
      <c r="B127" s="203" t="s">
        <v>15</v>
      </c>
      <c r="C127" s="125">
        <v>38947</v>
      </c>
      <c r="D127" s="199" t="s">
        <v>58</v>
      </c>
      <c r="E127" s="199" t="s">
        <v>59</v>
      </c>
      <c r="F127" s="279">
        <v>611</v>
      </c>
      <c r="G127" s="219">
        <v>132</v>
      </c>
    </row>
    <row r="128" spans="1:7" ht="15">
      <c r="A128" s="212">
        <v>125</v>
      </c>
      <c r="B128" s="169" t="s">
        <v>36</v>
      </c>
      <c r="C128" s="172">
        <v>39031</v>
      </c>
      <c r="D128" s="167" t="s">
        <v>58</v>
      </c>
      <c r="E128" s="167" t="s">
        <v>59</v>
      </c>
      <c r="F128" s="290">
        <v>3021</v>
      </c>
      <c r="G128" s="178">
        <v>605</v>
      </c>
    </row>
    <row r="129" spans="1:7" ht="15">
      <c r="A129" s="212">
        <v>126</v>
      </c>
      <c r="B129" s="170" t="s">
        <v>36</v>
      </c>
      <c r="C129" s="125">
        <v>39031</v>
      </c>
      <c r="D129" s="136" t="s">
        <v>58</v>
      </c>
      <c r="E129" s="136" t="s">
        <v>59</v>
      </c>
      <c r="F129" s="279">
        <v>858</v>
      </c>
      <c r="G129" s="219">
        <v>170</v>
      </c>
    </row>
    <row r="130" spans="1:7" ht="15">
      <c r="A130" s="212">
        <v>127</v>
      </c>
      <c r="B130" s="274" t="s">
        <v>202</v>
      </c>
      <c r="C130" s="125">
        <v>38779</v>
      </c>
      <c r="D130" s="140" t="s">
        <v>23</v>
      </c>
      <c r="E130" s="139" t="s">
        <v>203</v>
      </c>
      <c r="F130" s="279">
        <v>952</v>
      </c>
      <c r="G130" s="219">
        <v>238</v>
      </c>
    </row>
    <row r="131" spans="1:7" ht="15">
      <c r="A131" s="212">
        <v>128</v>
      </c>
      <c r="B131" s="168" t="s">
        <v>92</v>
      </c>
      <c r="C131" s="124">
        <v>39010</v>
      </c>
      <c r="D131" s="135" t="s">
        <v>56</v>
      </c>
      <c r="E131" s="134" t="s">
        <v>71</v>
      </c>
      <c r="F131" s="289">
        <v>1876</v>
      </c>
      <c r="G131" s="177">
        <v>410</v>
      </c>
    </row>
    <row r="132" spans="1:7" ht="15">
      <c r="A132" s="212">
        <v>129</v>
      </c>
      <c r="B132" s="202" t="s">
        <v>92</v>
      </c>
      <c r="C132" s="124">
        <v>39010</v>
      </c>
      <c r="D132" s="200" t="s">
        <v>56</v>
      </c>
      <c r="E132" s="200" t="s">
        <v>71</v>
      </c>
      <c r="F132" s="281">
        <v>582</v>
      </c>
      <c r="G132" s="218">
        <v>86</v>
      </c>
    </row>
    <row r="133" spans="1:7" ht="15">
      <c r="A133" s="212">
        <v>130</v>
      </c>
      <c r="B133" s="168" t="s">
        <v>92</v>
      </c>
      <c r="C133" s="124">
        <v>39010</v>
      </c>
      <c r="D133" s="135" t="s">
        <v>56</v>
      </c>
      <c r="E133" s="134" t="s">
        <v>71</v>
      </c>
      <c r="F133" s="281">
        <v>267</v>
      </c>
      <c r="G133" s="218">
        <v>37</v>
      </c>
    </row>
    <row r="134" spans="1:7" ht="15">
      <c r="A134" s="212">
        <v>131</v>
      </c>
      <c r="B134" s="203" t="s">
        <v>43</v>
      </c>
      <c r="C134" s="125">
        <v>39038</v>
      </c>
      <c r="D134" s="199" t="s">
        <v>57</v>
      </c>
      <c r="E134" s="199" t="s">
        <v>71</v>
      </c>
      <c r="F134" s="279">
        <v>2705</v>
      </c>
      <c r="G134" s="219">
        <v>636</v>
      </c>
    </row>
    <row r="135" spans="1:7" ht="15">
      <c r="A135" s="212">
        <v>132</v>
      </c>
      <c r="B135" s="170" t="s">
        <v>43</v>
      </c>
      <c r="C135" s="125">
        <v>39038</v>
      </c>
      <c r="D135" s="136" t="s">
        <v>57</v>
      </c>
      <c r="E135" s="136" t="s">
        <v>71</v>
      </c>
      <c r="F135" s="279">
        <v>746</v>
      </c>
      <c r="G135" s="219">
        <v>319</v>
      </c>
    </row>
    <row r="136" spans="1:7" ht="15">
      <c r="A136" s="212">
        <v>133</v>
      </c>
      <c r="B136" s="169" t="s">
        <v>43</v>
      </c>
      <c r="C136" s="172">
        <v>39038</v>
      </c>
      <c r="D136" s="136" t="s">
        <v>57</v>
      </c>
      <c r="E136" s="167" t="s">
        <v>71</v>
      </c>
      <c r="F136" s="290">
        <v>197</v>
      </c>
      <c r="G136" s="178">
        <v>24</v>
      </c>
    </row>
    <row r="137" spans="1:7" ht="15">
      <c r="A137" s="212">
        <v>134</v>
      </c>
      <c r="B137" s="273" t="s">
        <v>78</v>
      </c>
      <c r="C137" s="125">
        <v>39045</v>
      </c>
      <c r="D137" s="136" t="s">
        <v>58</v>
      </c>
      <c r="E137" s="136" t="s">
        <v>39</v>
      </c>
      <c r="F137" s="279">
        <v>29071.5</v>
      </c>
      <c r="G137" s="219">
        <v>5809</v>
      </c>
    </row>
    <row r="138" spans="1:7" ht="15">
      <c r="A138" s="212">
        <v>135</v>
      </c>
      <c r="B138" s="169" t="s">
        <v>78</v>
      </c>
      <c r="C138" s="172">
        <v>39045</v>
      </c>
      <c r="D138" s="167" t="s">
        <v>58</v>
      </c>
      <c r="E138" s="167" t="s">
        <v>39</v>
      </c>
      <c r="F138" s="290">
        <v>17062</v>
      </c>
      <c r="G138" s="178">
        <v>3367</v>
      </c>
    </row>
    <row r="139" spans="1:7" ht="15">
      <c r="A139" s="212">
        <v>136</v>
      </c>
      <c r="B139" s="203" t="s">
        <v>78</v>
      </c>
      <c r="C139" s="125">
        <v>39045</v>
      </c>
      <c r="D139" s="199" t="s">
        <v>58</v>
      </c>
      <c r="E139" s="199" t="s">
        <v>39</v>
      </c>
      <c r="F139" s="279">
        <v>5450</v>
      </c>
      <c r="G139" s="219">
        <v>985</v>
      </c>
    </row>
    <row r="140" spans="1:7" ht="15">
      <c r="A140" s="212">
        <v>137</v>
      </c>
      <c r="B140" s="170" t="s">
        <v>78</v>
      </c>
      <c r="C140" s="125">
        <v>39045</v>
      </c>
      <c r="D140" s="136" t="s">
        <v>58</v>
      </c>
      <c r="E140" s="136" t="s">
        <v>39</v>
      </c>
      <c r="F140" s="279">
        <v>5150</v>
      </c>
      <c r="G140" s="219">
        <v>717</v>
      </c>
    </row>
    <row r="141" spans="1:7" ht="15">
      <c r="A141" s="212">
        <v>138</v>
      </c>
      <c r="B141" s="170" t="s">
        <v>78</v>
      </c>
      <c r="C141" s="125">
        <v>39045</v>
      </c>
      <c r="D141" s="136" t="s">
        <v>58</v>
      </c>
      <c r="E141" s="136" t="s">
        <v>39</v>
      </c>
      <c r="F141" s="279">
        <v>960</v>
      </c>
      <c r="G141" s="219">
        <v>240</v>
      </c>
    </row>
    <row r="142" spans="1:7" ht="15">
      <c r="A142" s="212">
        <v>139</v>
      </c>
      <c r="B142" s="275" t="s">
        <v>97</v>
      </c>
      <c r="C142" s="124">
        <v>39010</v>
      </c>
      <c r="D142" s="137" t="s">
        <v>45</v>
      </c>
      <c r="E142" s="137" t="s">
        <v>98</v>
      </c>
      <c r="F142" s="289">
        <v>37033.5</v>
      </c>
      <c r="G142" s="218">
        <v>5902</v>
      </c>
    </row>
    <row r="143" spans="1:7" ht="15">
      <c r="A143" s="212">
        <v>140</v>
      </c>
      <c r="B143" s="166" t="s">
        <v>97</v>
      </c>
      <c r="C143" s="124">
        <v>39010</v>
      </c>
      <c r="D143" s="137" t="s">
        <v>45</v>
      </c>
      <c r="E143" s="137" t="s">
        <v>98</v>
      </c>
      <c r="F143" s="281">
        <v>2834</v>
      </c>
      <c r="G143" s="218">
        <v>949</v>
      </c>
    </row>
    <row r="144" spans="1:7" ht="15">
      <c r="A144" s="212">
        <v>141</v>
      </c>
      <c r="B144" s="166" t="s">
        <v>97</v>
      </c>
      <c r="C144" s="124">
        <v>39010</v>
      </c>
      <c r="D144" s="137" t="s">
        <v>45</v>
      </c>
      <c r="E144" s="137" t="s">
        <v>98</v>
      </c>
      <c r="F144" s="289">
        <v>2245.5</v>
      </c>
      <c r="G144" s="177">
        <v>312</v>
      </c>
    </row>
    <row r="145" spans="1:7" ht="15">
      <c r="A145" s="212">
        <v>142</v>
      </c>
      <c r="B145" s="202" t="s">
        <v>97</v>
      </c>
      <c r="C145" s="124">
        <v>39010</v>
      </c>
      <c r="D145" s="200" t="s">
        <v>45</v>
      </c>
      <c r="E145" s="200" t="s">
        <v>98</v>
      </c>
      <c r="F145" s="281">
        <v>1320</v>
      </c>
      <c r="G145" s="218">
        <v>175</v>
      </c>
    </row>
    <row r="146" spans="1:7" ht="15">
      <c r="A146" s="212">
        <v>143</v>
      </c>
      <c r="B146" s="166" t="s">
        <v>97</v>
      </c>
      <c r="C146" s="124">
        <v>39010</v>
      </c>
      <c r="D146" s="137" t="s">
        <v>45</v>
      </c>
      <c r="E146" s="137" t="s">
        <v>98</v>
      </c>
      <c r="F146" s="281">
        <v>528</v>
      </c>
      <c r="G146" s="218">
        <v>80</v>
      </c>
    </row>
    <row r="147" spans="1:7" ht="15">
      <c r="A147" s="212">
        <v>144</v>
      </c>
      <c r="B147" s="275" t="s">
        <v>97</v>
      </c>
      <c r="C147" s="124">
        <v>39010</v>
      </c>
      <c r="D147" s="137" t="s">
        <v>45</v>
      </c>
      <c r="E147" s="137" t="s">
        <v>98</v>
      </c>
      <c r="F147" s="281">
        <v>224</v>
      </c>
      <c r="G147" s="218">
        <v>30</v>
      </c>
    </row>
    <row r="148" spans="1:7" ht="15">
      <c r="A148" s="212">
        <v>145</v>
      </c>
      <c r="B148" s="168" t="s">
        <v>52</v>
      </c>
      <c r="C148" s="124">
        <v>38800</v>
      </c>
      <c r="D148" s="134" t="s">
        <v>48</v>
      </c>
      <c r="E148" s="134" t="s">
        <v>70</v>
      </c>
      <c r="F148" s="291">
        <v>551</v>
      </c>
      <c r="G148" s="179">
        <v>90</v>
      </c>
    </row>
    <row r="149" spans="1:7" ht="15">
      <c r="A149" s="212">
        <v>146</v>
      </c>
      <c r="B149" s="272" t="s">
        <v>204</v>
      </c>
      <c r="C149" s="124">
        <v>38618</v>
      </c>
      <c r="D149" s="134" t="s">
        <v>48</v>
      </c>
      <c r="E149" s="134" t="s">
        <v>205</v>
      </c>
      <c r="F149" s="283">
        <v>1188</v>
      </c>
      <c r="G149" s="220">
        <v>396</v>
      </c>
    </row>
    <row r="150" spans="1:7" ht="15">
      <c r="A150" s="212">
        <v>147</v>
      </c>
      <c r="B150" s="171" t="s">
        <v>84</v>
      </c>
      <c r="C150" s="125">
        <v>38877</v>
      </c>
      <c r="D150" s="140" t="s">
        <v>23</v>
      </c>
      <c r="E150" s="139" t="s">
        <v>27</v>
      </c>
      <c r="F150" s="279">
        <v>1105</v>
      </c>
      <c r="G150" s="219">
        <v>285</v>
      </c>
    </row>
    <row r="151" spans="1:7" ht="15">
      <c r="A151" s="212">
        <v>148</v>
      </c>
      <c r="B151" s="274" t="s">
        <v>84</v>
      </c>
      <c r="C151" s="125">
        <v>38877</v>
      </c>
      <c r="D151" s="140" t="s">
        <v>23</v>
      </c>
      <c r="E151" s="139" t="s">
        <v>27</v>
      </c>
      <c r="F151" s="279">
        <v>914</v>
      </c>
      <c r="G151" s="219">
        <v>239</v>
      </c>
    </row>
    <row r="152" spans="1:7" ht="15">
      <c r="A152" s="212">
        <v>149</v>
      </c>
      <c r="B152" s="203" t="s">
        <v>84</v>
      </c>
      <c r="C152" s="125">
        <v>38877</v>
      </c>
      <c r="D152" s="199" t="s">
        <v>23</v>
      </c>
      <c r="E152" s="199" t="s">
        <v>27</v>
      </c>
      <c r="F152" s="279">
        <v>755</v>
      </c>
      <c r="G152" s="219">
        <v>140</v>
      </c>
    </row>
    <row r="153" spans="1:7" ht="15">
      <c r="A153" s="212">
        <v>150</v>
      </c>
      <c r="B153" s="171" t="s">
        <v>84</v>
      </c>
      <c r="C153" s="125">
        <v>38877</v>
      </c>
      <c r="D153" s="140" t="s">
        <v>23</v>
      </c>
      <c r="E153" s="139" t="s">
        <v>27</v>
      </c>
      <c r="F153" s="288">
        <v>160</v>
      </c>
      <c r="G153" s="180">
        <v>16</v>
      </c>
    </row>
    <row r="154" spans="1:7" ht="15">
      <c r="A154" s="212">
        <v>151</v>
      </c>
      <c r="B154" s="170" t="s">
        <v>219</v>
      </c>
      <c r="C154" s="125">
        <v>37589</v>
      </c>
      <c r="D154" s="137" t="s">
        <v>46</v>
      </c>
      <c r="E154" s="137" t="s">
        <v>220</v>
      </c>
      <c r="F154" s="279">
        <v>354</v>
      </c>
      <c r="G154" s="219">
        <v>118</v>
      </c>
    </row>
    <row r="155" spans="1:7" ht="15">
      <c r="A155" s="212">
        <v>152</v>
      </c>
      <c r="B155" s="273" t="s">
        <v>206</v>
      </c>
      <c r="C155" s="125">
        <v>38982</v>
      </c>
      <c r="D155" s="136" t="s">
        <v>58</v>
      </c>
      <c r="E155" s="136" t="s">
        <v>207</v>
      </c>
      <c r="F155" s="279">
        <v>330</v>
      </c>
      <c r="G155" s="219">
        <v>66</v>
      </c>
    </row>
    <row r="156" spans="1:7" ht="15">
      <c r="A156" s="212">
        <v>153</v>
      </c>
      <c r="B156" s="168" t="s">
        <v>131</v>
      </c>
      <c r="C156" s="124">
        <v>39038</v>
      </c>
      <c r="D156" s="134" t="s">
        <v>48</v>
      </c>
      <c r="E156" s="134" t="s">
        <v>42</v>
      </c>
      <c r="F156" s="291">
        <v>19312</v>
      </c>
      <c r="G156" s="179">
        <v>3691</v>
      </c>
    </row>
    <row r="157" spans="1:7" ht="15">
      <c r="A157" s="212">
        <v>154</v>
      </c>
      <c r="B157" s="202" t="s">
        <v>131</v>
      </c>
      <c r="C157" s="124">
        <v>39038</v>
      </c>
      <c r="D157" s="200" t="s">
        <v>48</v>
      </c>
      <c r="E157" s="200" t="s">
        <v>42</v>
      </c>
      <c r="F157" s="283">
        <v>9417</v>
      </c>
      <c r="G157" s="220">
        <v>2021</v>
      </c>
    </row>
    <row r="158" spans="1:7" ht="15">
      <c r="A158" s="212">
        <v>155</v>
      </c>
      <c r="B158" s="168" t="s">
        <v>131</v>
      </c>
      <c r="C158" s="124">
        <v>39038</v>
      </c>
      <c r="D158" s="134" t="s">
        <v>48</v>
      </c>
      <c r="E158" s="134" t="s">
        <v>42</v>
      </c>
      <c r="F158" s="283">
        <v>8894</v>
      </c>
      <c r="G158" s="220">
        <v>1715</v>
      </c>
    </row>
    <row r="159" spans="1:7" ht="15">
      <c r="A159" s="212">
        <v>156</v>
      </c>
      <c r="B159" s="272" t="s">
        <v>131</v>
      </c>
      <c r="C159" s="124">
        <v>39038</v>
      </c>
      <c r="D159" s="134" t="s">
        <v>48</v>
      </c>
      <c r="E159" s="134" t="s">
        <v>42</v>
      </c>
      <c r="F159" s="283">
        <v>3218.5</v>
      </c>
      <c r="G159" s="220">
        <v>562</v>
      </c>
    </row>
    <row r="160" spans="1:7" ht="15">
      <c r="A160" s="212">
        <v>157</v>
      </c>
      <c r="B160" s="168" t="s">
        <v>131</v>
      </c>
      <c r="C160" s="124">
        <v>39038</v>
      </c>
      <c r="D160" s="134" t="s">
        <v>48</v>
      </c>
      <c r="E160" s="134" t="s">
        <v>42</v>
      </c>
      <c r="F160" s="283">
        <v>825</v>
      </c>
      <c r="G160" s="220">
        <v>165</v>
      </c>
    </row>
    <row r="161" spans="1:7" ht="15">
      <c r="A161" s="212">
        <v>158</v>
      </c>
      <c r="B161" s="274" t="s">
        <v>242</v>
      </c>
      <c r="C161" s="125">
        <v>38814</v>
      </c>
      <c r="D161" s="140" t="s">
        <v>23</v>
      </c>
      <c r="E161" s="139" t="s">
        <v>200</v>
      </c>
      <c r="F161" s="288">
        <v>4276</v>
      </c>
      <c r="G161" s="219">
        <v>1069</v>
      </c>
    </row>
    <row r="162" spans="1:7" ht="15">
      <c r="A162" s="212">
        <v>159</v>
      </c>
      <c r="B162" s="203" t="s">
        <v>156</v>
      </c>
      <c r="C162" s="125">
        <v>39038</v>
      </c>
      <c r="D162" s="199" t="s">
        <v>58</v>
      </c>
      <c r="E162" s="199" t="s">
        <v>157</v>
      </c>
      <c r="F162" s="279">
        <v>2427</v>
      </c>
      <c r="G162" s="219">
        <v>457</v>
      </c>
    </row>
    <row r="163" spans="1:7" ht="15">
      <c r="A163" s="212">
        <v>160</v>
      </c>
      <c r="B163" s="170" t="s">
        <v>156</v>
      </c>
      <c r="C163" s="125">
        <v>39038</v>
      </c>
      <c r="D163" s="136" t="s">
        <v>58</v>
      </c>
      <c r="E163" s="136" t="s">
        <v>157</v>
      </c>
      <c r="F163" s="279">
        <v>1511</v>
      </c>
      <c r="G163" s="219">
        <v>303</v>
      </c>
    </row>
    <row r="164" spans="1:7" ht="15">
      <c r="A164" s="212">
        <v>161</v>
      </c>
      <c r="B164" s="170" t="s">
        <v>156</v>
      </c>
      <c r="C164" s="125">
        <v>39038</v>
      </c>
      <c r="D164" s="136" t="s">
        <v>58</v>
      </c>
      <c r="E164" s="136" t="s">
        <v>157</v>
      </c>
      <c r="F164" s="279">
        <v>460</v>
      </c>
      <c r="G164" s="219">
        <v>92</v>
      </c>
    </row>
    <row r="165" spans="1:7" ht="14.25" customHeight="1">
      <c r="A165" s="212">
        <v>162</v>
      </c>
      <c r="B165" s="274" t="s">
        <v>208</v>
      </c>
      <c r="C165" s="125">
        <v>38982</v>
      </c>
      <c r="D165" s="140" t="s">
        <v>23</v>
      </c>
      <c r="E165" s="139" t="s">
        <v>209</v>
      </c>
      <c r="F165" s="279">
        <v>3560</v>
      </c>
      <c r="G165" s="219">
        <v>890</v>
      </c>
    </row>
    <row r="166" spans="1:7" ht="15">
      <c r="A166" s="212">
        <v>163</v>
      </c>
      <c r="B166" s="171" t="s">
        <v>208</v>
      </c>
      <c r="C166" s="125">
        <v>38982</v>
      </c>
      <c r="D166" s="140" t="s">
        <v>23</v>
      </c>
      <c r="E166" s="139" t="s">
        <v>209</v>
      </c>
      <c r="F166" s="279">
        <v>1780</v>
      </c>
      <c r="G166" s="219">
        <v>445</v>
      </c>
    </row>
    <row r="167" spans="1:7" ht="15">
      <c r="A167" s="212">
        <v>164</v>
      </c>
      <c r="B167" s="274" t="s">
        <v>160</v>
      </c>
      <c r="C167" s="125">
        <v>39045</v>
      </c>
      <c r="D167" s="140" t="s">
        <v>23</v>
      </c>
      <c r="E167" s="139" t="s">
        <v>161</v>
      </c>
      <c r="F167" s="288">
        <v>1068</v>
      </c>
      <c r="G167" s="219">
        <v>267</v>
      </c>
    </row>
    <row r="168" spans="1:7" ht="15">
      <c r="A168" s="212">
        <v>165</v>
      </c>
      <c r="B168" s="203" t="s">
        <v>160</v>
      </c>
      <c r="C168" s="125">
        <v>39045</v>
      </c>
      <c r="D168" s="199" t="s">
        <v>23</v>
      </c>
      <c r="E168" s="199" t="s">
        <v>161</v>
      </c>
      <c r="F168" s="279">
        <v>851.5</v>
      </c>
      <c r="G168" s="219">
        <v>142</v>
      </c>
    </row>
    <row r="169" spans="1:7" ht="15">
      <c r="A169" s="212">
        <v>166</v>
      </c>
      <c r="B169" s="171" t="s">
        <v>160</v>
      </c>
      <c r="C169" s="125">
        <v>39045</v>
      </c>
      <c r="D169" s="140" t="s">
        <v>23</v>
      </c>
      <c r="E169" s="139" t="s">
        <v>161</v>
      </c>
      <c r="F169" s="279">
        <v>290.5</v>
      </c>
      <c r="G169" s="219">
        <v>39</v>
      </c>
    </row>
    <row r="170" spans="1:7" ht="15">
      <c r="A170" s="212">
        <v>167</v>
      </c>
      <c r="B170" s="274" t="s">
        <v>160</v>
      </c>
      <c r="C170" s="125">
        <v>39045</v>
      </c>
      <c r="D170" s="140" t="s">
        <v>23</v>
      </c>
      <c r="E170" s="139" t="s">
        <v>161</v>
      </c>
      <c r="F170" s="279">
        <v>236</v>
      </c>
      <c r="G170" s="219">
        <v>97</v>
      </c>
    </row>
    <row r="171" spans="1:7" ht="15">
      <c r="A171" s="212">
        <v>168</v>
      </c>
      <c r="B171" s="171" t="s">
        <v>160</v>
      </c>
      <c r="C171" s="125">
        <v>39045</v>
      </c>
      <c r="D171" s="140" t="s">
        <v>23</v>
      </c>
      <c r="E171" s="139" t="s">
        <v>161</v>
      </c>
      <c r="F171" s="279">
        <v>176</v>
      </c>
      <c r="G171" s="219">
        <v>68</v>
      </c>
    </row>
    <row r="172" spans="1:7" ht="15">
      <c r="A172" s="212">
        <v>169</v>
      </c>
      <c r="B172" s="168" t="s">
        <v>124</v>
      </c>
      <c r="C172" s="124">
        <v>39073</v>
      </c>
      <c r="D172" s="134" t="s">
        <v>48</v>
      </c>
      <c r="E172" s="134" t="s">
        <v>33</v>
      </c>
      <c r="F172" s="291">
        <v>1289903.5</v>
      </c>
      <c r="G172" s="179">
        <v>169709</v>
      </c>
    </row>
    <row r="173" spans="1:7" ht="15">
      <c r="A173" s="212">
        <v>170</v>
      </c>
      <c r="B173" s="202" t="s">
        <v>124</v>
      </c>
      <c r="C173" s="124">
        <v>39073</v>
      </c>
      <c r="D173" s="200" t="s">
        <v>48</v>
      </c>
      <c r="E173" s="200" t="s">
        <v>33</v>
      </c>
      <c r="F173" s="283">
        <v>386658</v>
      </c>
      <c r="G173" s="220">
        <v>52723</v>
      </c>
    </row>
    <row r="174" spans="1:7" ht="15">
      <c r="A174" s="212">
        <v>171</v>
      </c>
      <c r="B174" s="168" t="s">
        <v>124</v>
      </c>
      <c r="C174" s="124">
        <v>39073</v>
      </c>
      <c r="D174" s="134" t="s">
        <v>48</v>
      </c>
      <c r="E174" s="134" t="s">
        <v>33</v>
      </c>
      <c r="F174" s="283">
        <v>174047.5</v>
      </c>
      <c r="G174" s="220">
        <v>26534</v>
      </c>
    </row>
    <row r="175" spans="1:7" ht="15">
      <c r="A175" s="212">
        <v>172</v>
      </c>
      <c r="B175" s="272" t="s">
        <v>124</v>
      </c>
      <c r="C175" s="124">
        <v>39073</v>
      </c>
      <c r="D175" s="134" t="s">
        <v>48</v>
      </c>
      <c r="E175" s="134" t="s">
        <v>33</v>
      </c>
      <c r="F175" s="283">
        <v>53640.5</v>
      </c>
      <c r="G175" s="220">
        <v>10972</v>
      </c>
    </row>
    <row r="176" spans="1:7" ht="15">
      <c r="A176" s="212">
        <v>173</v>
      </c>
      <c r="B176" s="272" t="s">
        <v>124</v>
      </c>
      <c r="C176" s="124">
        <v>39073</v>
      </c>
      <c r="D176" s="134" t="s">
        <v>48</v>
      </c>
      <c r="E176" s="134" t="s">
        <v>33</v>
      </c>
      <c r="F176" s="291">
        <v>13202</v>
      </c>
      <c r="G176" s="220">
        <v>2814</v>
      </c>
    </row>
    <row r="177" spans="1:7" ht="15">
      <c r="A177" s="212">
        <v>174</v>
      </c>
      <c r="B177" s="168" t="s">
        <v>124</v>
      </c>
      <c r="C177" s="124">
        <v>39073</v>
      </c>
      <c r="D177" s="134" t="s">
        <v>48</v>
      </c>
      <c r="E177" s="134" t="s">
        <v>33</v>
      </c>
      <c r="F177" s="283">
        <v>11222</v>
      </c>
      <c r="G177" s="220">
        <v>2184</v>
      </c>
    </row>
    <row r="178" spans="1:7" ht="15">
      <c r="A178" s="212">
        <v>175</v>
      </c>
      <c r="B178" s="274" t="s">
        <v>243</v>
      </c>
      <c r="C178" s="125">
        <v>38548</v>
      </c>
      <c r="D178" s="140" t="s">
        <v>23</v>
      </c>
      <c r="E178" s="139" t="s">
        <v>212</v>
      </c>
      <c r="F178" s="288">
        <v>236</v>
      </c>
      <c r="G178" s="219">
        <v>59</v>
      </c>
    </row>
    <row r="179" spans="1:7" ht="15">
      <c r="A179" s="212">
        <v>176</v>
      </c>
      <c r="B179" s="203" t="s">
        <v>155</v>
      </c>
      <c r="C179" s="125">
        <v>37246</v>
      </c>
      <c r="D179" s="200" t="s">
        <v>46</v>
      </c>
      <c r="E179" s="200" t="s">
        <v>153</v>
      </c>
      <c r="F179" s="281">
        <v>6255</v>
      </c>
      <c r="G179" s="218">
        <v>2085</v>
      </c>
    </row>
    <row r="180" spans="1:7" ht="15">
      <c r="A180" s="212">
        <v>177</v>
      </c>
      <c r="B180" s="203" t="s">
        <v>154</v>
      </c>
      <c r="C180" s="125">
        <v>37610</v>
      </c>
      <c r="D180" s="200" t="s">
        <v>46</v>
      </c>
      <c r="E180" s="200" t="s">
        <v>153</v>
      </c>
      <c r="F180" s="279">
        <v>6255</v>
      </c>
      <c r="G180" s="219">
        <v>2085</v>
      </c>
    </row>
    <row r="181" spans="1:7" ht="15">
      <c r="A181" s="212">
        <v>178</v>
      </c>
      <c r="B181" s="202" t="s">
        <v>152</v>
      </c>
      <c r="C181" s="124">
        <v>37974</v>
      </c>
      <c r="D181" s="200" t="s">
        <v>46</v>
      </c>
      <c r="E181" s="200" t="s">
        <v>153</v>
      </c>
      <c r="F181" s="281">
        <v>6255</v>
      </c>
      <c r="G181" s="218">
        <v>2085</v>
      </c>
    </row>
    <row r="182" spans="1:7" ht="15">
      <c r="A182" s="212">
        <v>179</v>
      </c>
      <c r="B182" s="203" t="s">
        <v>159</v>
      </c>
      <c r="C182" s="125">
        <v>38842</v>
      </c>
      <c r="D182" s="199" t="s">
        <v>57</v>
      </c>
      <c r="E182" s="199" t="s">
        <v>60</v>
      </c>
      <c r="F182" s="279">
        <v>1155</v>
      </c>
      <c r="G182" s="219">
        <v>350</v>
      </c>
    </row>
    <row r="183" spans="1:7" ht="15">
      <c r="A183" s="212">
        <v>180</v>
      </c>
      <c r="B183" s="170" t="s">
        <v>108</v>
      </c>
      <c r="C183" s="125">
        <v>38954</v>
      </c>
      <c r="D183" s="136" t="s">
        <v>57</v>
      </c>
      <c r="E183" s="136" t="s">
        <v>65</v>
      </c>
      <c r="F183" s="279">
        <v>1156</v>
      </c>
      <c r="G183" s="219">
        <v>350</v>
      </c>
    </row>
    <row r="184" spans="1:7" ht="15">
      <c r="A184" s="212">
        <v>181</v>
      </c>
      <c r="B184" s="169" t="s">
        <v>108</v>
      </c>
      <c r="C184" s="172">
        <v>38954</v>
      </c>
      <c r="D184" s="136" t="s">
        <v>57</v>
      </c>
      <c r="E184" s="167" t="s">
        <v>65</v>
      </c>
      <c r="F184" s="290">
        <v>413</v>
      </c>
      <c r="G184" s="178">
        <v>100</v>
      </c>
    </row>
    <row r="185" spans="1:7" ht="15">
      <c r="A185" s="212">
        <v>182</v>
      </c>
      <c r="B185" s="168" t="s">
        <v>171</v>
      </c>
      <c r="C185" s="124">
        <v>38639</v>
      </c>
      <c r="D185" s="134" t="s">
        <v>48</v>
      </c>
      <c r="E185" s="134" t="s">
        <v>25</v>
      </c>
      <c r="F185" s="283">
        <v>1946</v>
      </c>
      <c r="G185" s="220">
        <v>278</v>
      </c>
    </row>
    <row r="186" spans="1:7" ht="15">
      <c r="A186" s="212">
        <v>183</v>
      </c>
      <c r="B186" s="170" t="s">
        <v>173</v>
      </c>
      <c r="C186" s="125">
        <v>38800</v>
      </c>
      <c r="D186" s="136" t="s">
        <v>58</v>
      </c>
      <c r="E186" s="136" t="s">
        <v>59</v>
      </c>
      <c r="F186" s="279">
        <v>1510</v>
      </c>
      <c r="G186" s="219">
        <v>302</v>
      </c>
    </row>
    <row r="187" spans="1:7" ht="15">
      <c r="A187" s="212">
        <v>184</v>
      </c>
      <c r="B187" s="168" t="s">
        <v>106</v>
      </c>
      <c r="C187" s="124">
        <v>39073</v>
      </c>
      <c r="D187" s="135" t="s">
        <v>56</v>
      </c>
      <c r="E187" s="134" t="s">
        <v>11</v>
      </c>
      <c r="F187" s="289">
        <v>736993</v>
      </c>
      <c r="G187" s="177">
        <v>80041</v>
      </c>
    </row>
    <row r="188" spans="1:7" ht="15">
      <c r="A188" s="212">
        <v>185</v>
      </c>
      <c r="B188" s="202" t="s">
        <v>106</v>
      </c>
      <c r="C188" s="124">
        <v>39073</v>
      </c>
      <c r="D188" s="200" t="s">
        <v>56</v>
      </c>
      <c r="E188" s="200" t="s">
        <v>11</v>
      </c>
      <c r="F188" s="281">
        <v>318216</v>
      </c>
      <c r="G188" s="218">
        <v>36145</v>
      </c>
    </row>
    <row r="189" spans="1:7" ht="15">
      <c r="A189" s="212">
        <v>186</v>
      </c>
      <c r="B189" s="168" t="s">
        <v>106</v>
      </c>
      <c r="C189" s="124">
        <v>39073</v>
      </c>
      <c r="D189" s="135" t="s">
        <v>56</v>
      </c>
      <c r="E189" s="134" t="s">
        <v>11</v>
      </c>
      <c r="F189" s="281">
        <v>148350</v>
      </c>
      <c r="G189" s="218">
        <v>17661</v>
      </c>
    </row>
    <row r="190" spans="1:7" ht="15">
      <c r="A190" s="212">
        <v>187</v>
      </c>
      <c r="B190" s="272" t="s">
        <v>106</v>
      </c>
      <c r="C190" s="124">
        <v>39073</v>
      </c>
      <c r="D190" s="135" t="s">
        <v>56</v>
      </c>
      <c r="E190" s="134" t="s">
        <v>11</v>
      </c>
      <c r="F190" s="281">
        <v>83269</v>
      </c>
      <c r="G190" s="218">
        <v>10172</v>
      </c>
    </row>
    <row r="191" spans="1:7" ht="15">
      <c r="A191" s="212">
        <v>188</v>
      </c>
      <c r="B191" s="168" t="s">
        <v>106</v>
      </c>
      <c r="C191" s="124">
        <v>39073</v>
      </c>
      <c r="D191" s="135" t="s">
        <v>56</v>
      </c>
      <c r="E191" s="134" t="s">
        <v>11</v>
      </c>
      <c r="F191" s="281">
        <v>13464</v>
      </c>
      <c r="G191" s="218">
        <v>1277</v>
      </c>
    </row>
    <row r="192" spans="1:7" ht="15">
      <c r="A192" s="212">
        <v>189</v>
      </c>
      <c r="B192" s="272" t="s">
        <v>106</v>
      </c>
      <c r="C192" s="124">
        <v>39073</v>
      </c>
      <c r="D192" s="135" t="s">
        <v>56</v>
      </c>
      <c r="E192" s="134" t="s">
        <v>11</v>
      </c>
      <c r="F192" s="289">
        <v>1073</v>
      </c>
      <c r="G192" s="218">
        <v>200</v>
      </c>
    </row>
    <row r="193" spans="1:7" ht="15">
      <c r="A193" s="212">
        <v>190</v>
      </c>
      <c r="B193" s="274" t="s">
        <v>118</v>
      </c>
      <c r="C193" s="125">
        <v>39066</v>
      </c>
      <c r="D193" s="140" t="s">
        <v>23</v>
      </c>
      <c r="E193" s="139" t="s">
        <v>210</v>
      </c>
      <c r="F193" s="279">
        <v>420</v>
      </c>
      <c r="G193" s="219">
        <v>84</v>
      </c>
    </row>
    <row r="194" spans="1:7" ht="15">
      <c r="A194" s="212">
        <v>191</v>
      </c>
      <c r="B194" s="203" t="s">
        <v>118</v>
      </c>
      <c r="C194" s="125">
        <v>39066</v>
      </c>
      <c r="D194" s="199" t="s">
        <v>23</v>
      </c>
      <c r="E194" s="199" t="s">
        <v>25</v>
      </c>
      <c r="F194" s="279">
        <v>268</v>
      </c>
      <c r="G194" s="219">
        <v>28</v>
      </c>
    </row>
    <row r="195" spans="1:7" ht="15">
      <c r="A195" s="212">
        <v>192</v>
      </c>
      <c r="B195" s="171" t="s">
        <v>118</v>
      </c>
      <c r="C195" s="125">
        <v>39066</v>
      </c>
      <c r="D195" s="140" t="s">
        <v>23</v>
      </c>
      <c r="E195" s="139" t="s">
        <v>25</v>
      </c>
      <c r="F195" s="288">
        <v>212</v>
      </c>
      <c r="G195" s="180">
        <v>23</v>
      </c>
    </row>
    <row r="196" spans="1:7" ht="15">
      <c r="A196" s="212">
        <v>193</v>
      </c>
      <c r="B196" s="273" t="s">
        <v>244</v>
      </c>
      <c r="C196" s="125">
        <v>38989</v>
      </c>
      <c r="D196" s="136" t="s">
        <v>58</v>
      </c>
      <c r="E196" s="136" t="s">
        <v>66</v>
      </c>
      <c r="F196" s="288">
        <v>397</v>
      </c>
      <c r="G196" s="219">
        <v>77</v>
      </c>
    </row>
    <row r="197" spans="1:7" ht="15">
      <c r="A197" s="212">
        <v>194</v>
      </c>
      <c r="B197" s="202" t="s">
        <v>149</v>
      </c>
      <c r="C197" s="124">
        <v>39073</v>
      </c>
      <c r="D197" s="200" t="s">
        <v>73</v>
      </c>
      <c r="E197" s="200" t="s">
        <v>138</v>
      </c>
      <c r="F197" s="281">
        <v>28432.5</v>
      </c>
      <c r="G197" s="218">
        <v>3928</v>
      </c>
    </row>
    <row r="198" spans="1:7" ht="15">
      <c r="A198" s="212">
        <v>195</v>
      </c>
      <c r="B198" s="166" t="s">
        <v>149</v>
      </c>
      <c r="C198" s="124">
        <v>39073</v>
      </c>
      <c r="D198" s="137" t="s">
        <v>73</v>
      </c>
      <c r="E198" s="137" t="s">
        <v>138</v>
      </c>
      <c r="F198" s="281">
        <v>3756</v>
      </c>
      <c r="G198" s="218">
        <v>644</v>
      </c>
    </row>
    <row r="199" spans="1:7" ht="15">
      <c r="A199" s="212">
        <v>196</v>
      </c>
      <c r="B199" s="275" t="s">
        <v>149</v>
      </c>
      <c r="C199" s="124">
        <v>39073</v>
      </c>
      <c r="D199" s="137" t="s">
        <v>73</v>
      </c>
      <c r="E199" s="137" t="s">
        <v>138</v>
      </c>
      <c r="F199" s="281">
        <v>3051</v>
      </c>
      <c r="G199" s="218">
        <v>698</v>
      </c>
    </row>
    <row r="200" spans="1:7" ht="15">
      <c r="A200" s="212">
        <v>197</v>
      </c>
      <c r="B200" s="166" t="s">
        <v>149</v>
      </c>
      <c r="C200" s="124">
        <v>39073</v>
      </c>
      <c r="D200" s="137" t="s">
        <v>73</v>
      </c>
      <c r="E200" s="137" t="s">
        <v>138</v>
      </c>
      <c r="F200" s="281">
        <v>584.5</v>
      </c>
      <c r="G200" s="218">
        <v>144</v>
      </c>
    </row>
    <row r="201" spans="1:7" ht="15">
      <c r="A201" s="212">
        <v>198</v>
      </c>
      <c r="B201" s="170" t="s">
        <v>172</v>
      </c>
      <c r="C201" s="125">
        <v>38436</v>
      </c>
      <c r="D201" s="136" t="s">
        <v>58</v>
      </c>
      <c r="E201" s="136" t="s">
        <v>59</v>
      </c>
      <c r="F201" s="279">
        <v>1510</v>
      </c>
      <c r="G201" s="219">
        <v>302</v>
      </c>
    </row>
    <row r="202" spans="1:7" ht="15">
      <c r="A202" s="212">
        <v>199</v>
      </c>
      <c r="B202" s="170" t="s">
        <v>172</v>
      </c>
      <c r="C202" s="125">
        <v>38436</v>
      </c>
      <c r="D202" s="136" t="s">
        <v>58</v>
      </c>
      <c r="E202" s="136" t="s">
        <v>59</v>
      </c>
      <c r="F202" s="279">
        <v>201</v>
      </c>
      <c r="G202" s="219">
        <v>47</v>
      </c>
    </row>
    <row r="203" spans="1:7" ht="15">
      <c r="A203" s="212">
        <v>200</v>
      </c>
      <c r="B203" s="273" t="s">
        <v>172</v>
      </c>
      <c r="C203" s="125">
        <v>38436</v>
      </c>
      <c r="D203" s="136" t="s">
        <v>58</v>
      </c>
      <c r="E203" s="136" t="s">
        <v>59</v>
      </c>
      <c r="F203" s="279">
        <v>201</v>
      </c>
      <c r="G203" s="219">
        <v>47</v>
      </c>
    </row>
    <row r="204" spans="1:7" ht="15">
      <c r="A204" s="212">
        <v>201</v>
      </c>
      <c r="B204" s="168" t="s">
        <v>32</v>
      </c>
      <c r="C204" s="124">
        <v>39024</v>
      </c>
      <c r="D204" s="135" t="s">
        <v>56</v>
      </c>
      <c r="E204" s="134" t="s">
        <v>71</v>
      </c>
      <c r="F204" s="289">
        <v>4639</v>
      </c>
      <c r="G204" s="177">
        <v>1240</v>
      </c>
    </row>
    <row r="205" spans="1:7" ht="15">
      <c r="A205" s="212">
        <v>202</v>
      </c>
      <c r="B205" s="272" t="s">
        <v>32</v>
      </c>
      <c r="C205" s="124">
        <v>39024</v>
      </c>
      <c r="D205" s="135" t="s">
        <v>56</v>
      </c>
      <c r="E205" s="134" t="s">
        <v>71</v>
      </c>
      <c r="F205" s="281">
        <v>3468</v>
      </c>
      <c r="G205" s="218">
        <v>968</v>
      </c>
    </row>
    <row r="206" spans="1:7" ht="15">
      <c r="A206" s="212">
        <v>203</v>
      </c>
      <c r="B206" s="202" t="s">
        <v>32</v>
      </c>
      <c r="C206" s="124">
        <v>39024</v>
      </c>
      <c r="D206" s="200" t="s">
        <v>56</v>
      </c>
      <c r="E206" s="200" t="s">
        <v>71</v>
      </c>
      <c r="F206" s="281">
        <v>1123</v>
      </c>
      <c r="G206" s="218">
        <v>375</v>
      </c>
    </row>
    <row r="207" spans="1:7" ht="15">
      <c r="A207" s="212">
        <v>204</v>
      </c>
      <c r="B207" s="168" t="s">
        <v>32</v>
      </c>
      <c r="C207" s="124">
        <v>39024</v>
      </c>
      <c r="D207" s="135" t="s">
        <v>56</v>
      </c>
      <c r="E207" s="134" t="s">
        <v>71</v>
      </c>
      <c r="F207" s="281">
        <v>130</v>
      </c>
      <c r="G207" s="218">
        <v>20</v>
      </c>
    </row>
    <row r="208" spans="1:7" ht="15">
      <c r="A208" s="212">
        <v>205</v>
      </c>
      <c r="B208" s="204" t="s">
        <v>102</v>
      </c>
      <c r="C208" s="127">
        <v>39059</v>
      </c>
      <c r="D208" s="201" t="s">
        <v>64</v>
      </c>
      <c r="E208" s="201" t="s">
        <v>103</v>
      </c>
      <c r="F208" s="292">
        <v>8747</v>
      </c>
      <c r="G208" s="221">
        <v>1379</v>
      </c>
    </row>
    <row r="209" spans="1:7" ht="15">
      <c r="A209" s="212">
        <v>206</v>
      </c>
      <c r="B209" s="129" t="s">
        <v>102</v>
      </c>
      <c r="C209" s="127">
        <v>39059</v>
      </c>
      <c r="D209" s="138" t="s">
        <v>64</v>
      </c>
      <c r="E209" s="138" t="s">
        <v>103</v>
      </c>
      <c r="F209" s="293">
        <v>4587</v>
      </c>
      <c r="G209" s="181">
        <v>707</v>
      </c>
    </row>
    <row r="210" spans="1:7" ht="15">
      <c r="A210" s="212">
        <v>207</v>
      </c>
      <c r="B210" s="265" t="s">
        <v>102</v>
      </c>
      <c r="C210" s="127">
        <v>39059</v>
      </c>
      <c r="D210" s="138" t="s">
        <v>64</v>
      </c>
      <c r="E210" s="138" t="s">
        <v>103</v>
      </c>
      <c r="F210" s="292">
        <v>4297</v>
      </c>
      <c r="G210" s="221">
        <v>700</v>
      </c>
    </row>
    <row r="211" spans="1:7" ht="15">
      <c r="A211" s="212">
        <v>208</v>
      </c>
      <c r="B211" s="171" t="s">
        <v>226</v>
      </c>
      <c r="C211" s="125">
        <v>38191</v>
      </c>
      <c r="D211" s="140" t="s">
        <v>23</v>
      </c>
      <c r="E211" s="139" t="s">
        <v>200</v>
      </c>
      <c r="F211" s="279">
        <v>803.2</v>
      </c>
      <c r="G211" s="219">
        <v>502</v>
      </c>
    </row>
    <row r="212" spans="1:7" ht="15">
      <c r="A212" s="212">
        <v>209</v>
      </c>
      <c r="B212" s="274" t="s">
        <v>226</v>
      </c>
      <c r="C212" s="125">
        <v>38191</v>
      </c>
      <c r="D212" s="140" t="s">
        <v>23</v>
      </c>
      <c r="E212" s="139" t="s">
        <v>200</v>
      </c>
      <c r="F212" s="288">
        <v>476</v>
      </c>
      <c r="G212" s="219">
        <v>119</v>
      </c>
    </row>
    <row r="213" spans="1:7" ht="15">
      <c r="A213" s="212">
        <v>210</v>
      </c>
      <c r="B213" s="272" t="s">
        <v>163</v>
      </c>
      <c r="C213" s="124">
        <v>39003</v>
      </c>
      <c r="D213" s="135" t="s">
        <v>56</v>
      </c>
      <c r="E213" s="134" t="s">
        <v>147</v>
      </c>
      <c r="F213" s="281">
        <v>544</v>
      </c>
      <c r="G213" s="218">
        <v>133</v>
      </c>
    </row>
    <row r="214" spans="1:7" ht="15">
      <c r="A214" s="212">
        <v>211</v>
      </c>
      <c r="B214" s="202" t="s">
        <v>163</v>
      </c>
      <c r="C214" s="124">
        <v>39003</v>
      </c>
      <c r="D214" s="200" t="s">
        <v>56</v>
      </c>
      <c r="E214" s="200" t="s">
        <v>147</v>
      </c>
      <c r="F214" s="281">
        <v>513</v>
      </c>
      <c r="G214" s="218">
        <v>162</v>
      </c>
    </row>
    <row r="215" spans="1:7" ht="15">
      <c r="A215" s="212">
        <v>212</v>
      </c>
      <c r="B215" s="169" t="s">
        <v>83</v>
      </c>
      <c r="C215" s="172">
        <v>39010</v>
      </c>
      <c r="D215" s="167" t="s">
        <v>58</v>
      </c>
      <c r="E215" s="167" t="s">
        <v>71</v>
      </c>
      <c r="F215" s="290">
        <v>13340</v>
      </c>
      <c r="G215" s="178">
        <v>1914</v>
      </c>
    </row>
    <row r="216" spans="1:7" ht="15">
      <c r="A216" s="212">
        <v>213</v>
      </c>
      <c r="B216" s="273" t="s">
        <v>83</v>
      </c>
      <c r="C216" s="125">
        <v>39010</v>
      </c>
      <c r="D216" s="136" t="s">
        <v>58</v>
      </c>
      <c r="E216" s="136" t="s">
        <v>71</v>
      </c>
      <c r="F216" s="279">
        <v>5274.5</v>
      </c>
      <c r="G216" s="219">
        <v>1016</v>
      </c>
    </row>
    <row r="217" spans="1:7" ht="15">
      <c r="A217" s="212">
        <v>214</v>
      </c>
      <c r="B217" s="203" t="s">
        <v>83</v>
      </c>
      <c r="C217" s="125">
        <v>39010</v>
      </c>
      <c r="D217" s="199" t="s">
        <v>58</v>
      </c>
      <c r="E217" s="199" t="s">
        <v>71</v>
      </c>
      <c r="F217" s="279">
        <v>3471</v>
      </c>
      <c r="G217" s="219">
        <v>491</v>
      </c>
    </row>
    <row r="218" spans="1:7" ht="15">
      <c r="A218" s="212">
        <v>215</v>
      </c>
      <c r="B218" s="170" t="s">
        <v>83</v>
      </c>
      <c r="C218" s="125">
        <v>39010</v>
      </c>
      <c r="D218" s="136" t="s">
        <v>58</v>
      </c>
      <c r="E218" s="136" t="s">
        <v>71</v>
      </c>
      <c r="F218" s="279">
        <v>2097</v>
      </c>
      <c r="G218" s="219">
        <v>307</v>
      </c>
    </row>
    <row r="219" spans="1:7" ht="15">
      <c r="A219" s="212">
        <v>216</v>
      </c>
      <c r="B219" s="273" t="s">
        <v>83</v>
      </c>
      <c r="C219" s="125">
        <v>39010</v>
      </c>
      <c r="D219" s="136" t="s">
        <v>58</v>
      </c>
      <c r="E219" s="136" t="s">
        <v>71</v>
      </c>
      <c r="F219" s="288">
        <v>130</v>
      </c>
      <c r="G219" s="219">
        <v>18</v>
      </c>
    </row>
    <row r="220" spans="1:7" ht="15">
      <c r="A220" s="212">
        <v>217</v>
      </c>
      <c r="B220" s="274" t="s">
        <v>245</v>
      </c>
      <c r="C220" s="125">
        <v>38758</v>
      </c>
      <c r="D220" s="140" t="s">
        <v>23</v>
      </c>
      <c r="E220" s="139" t="s">
        <v>246</v>
      </c>
      <c r="F220" s="288">
        <v>3560</v>
      </c>
      <c r="G220" s="219">
        <v>890</v>
      </c>
    </row>
    <row r="221" spans="1:7" ht="15">
      <c r="A221" s="212">
        <v>218</v>
      </c>
      <c r="B221" s="166" t="s">
        <v>158</v>
      </c>
      <c r="C221" s="124">
        <v>39052</v>
      </c>
      <c r="D221" s="137" t="s">
        <v>73</v>
      </c>
      <c r="E221" s="137" t="s">
        <v>138</v>
      </c>
      <c r="F221" s="281">
        <v>1617</v>
      </c>
      <c r="G221" s="218">
        <v>271</v>
      </c>
    </row>
    <row r="222" spans="1:7" ht="15">
      <c r="A222" s="212">
        <v>219</v>
      </c>
      <c r="B222" s="202" t="s">
        <v>158</v>
      </c>
      <c r="C222" s="172">
        <v>39073</v>
      </c>
      <c r="D222" s="167" t="s">
        <v>73</v>
      </c>
      <c r="E222" s="167" t="s">
        <v>138</v>
      </c>
      <c r="F222" s="290">
        <v>1562.5</v>
      </c>
      <c r="G222" s="178">
        <v>266</v>
      </c>
    </row>
    <row r="223" spans="1:7" ht="15">
      <c r="A223" s="212">
        <v>220</v>
      </c>
      <c r="B223" s="202" t="s">
        <v>158</v>
      </c>
      <c r="C223" s="124">
        <v>39052</v>
      </c>
      <c r="D223" s="200" t="s">
        <v>73</v>
      </c>
      <c r="E223" s="200" t="s">
        <v>138</v>
      </c>
      <c r="F223" s="281">
        <v>1522</v>
      </c>
      <c r="G223" s="218">
        <v>316</v>
      </c>
    </row>
    <row r="224" spans="1:7" ht="15">
      <c r="A224" s="212">
        <v>221</v>
      </c>
      <c r="B224" s="275" t="s">
        <v>158</v>
      </c>
      <c r="C224" s="124">
        <v>39052</v>
      </c>
      <c r="D224" s="137" t="s">
        <v>73</v>
      </c>
      <c r="E224" s="137" t="s">
        <v>138</v>
      </c>
      <c r="F224" s="281">
        <v>301</v>
      </c>
      <c r="G224" s="218">
        <v>60</v>
      </c>
    </row>
    <row r="225" spans="1:7" ht="15">
      <c r="A225" s="212">
        <v>222</v>
      </c>
      <c r="B225" s="202" t="s">
        <v>158</v>
      </c>
      <c r="C225" s="124">
        <v>39052</v>
      </c>
      <c r="D225" s="137" t="s">
        <v>73</v>
      </c>
      <c r="E225" s="137" t="s">
        <v>138</v>
      </c>
      <c r="F225" s="281">
        <v>197</v>
      </c>
      <c r="G225" s="218">
        <v>47</v>
      </c>
    </row>
    <row r="226" spans="1:7" ht="15">
      <c r="A226" s="212">
        <v>223</v>
      </c>
      <c r="B226" s="168" t="s">
        <v>116</v>
      </c>
      <c r="C226" s="124">
        <v>39066</v>
      </c>
      <c r="D226" s="135" t="s">
        <v>56</v>
      </c>
      <c r="E226" s="134" t="s">
        <v>71</v>
      </c>
      <c r="F226" s="289">
        <v>41071</v>
      </c>
      <c r="G226" s="177">
        <v>3570</v>
      </c>
    </row>
    <row r="227" spans="1:7" ht="15">
      <c r="A227" s="212">
        <v>224</v>
      </c>
      <c r="B227" s="202" t="s">
        <v>116</v>
      </c>
      <c r="C227" s="124">
        <v>39066</v>
      </c>
      <c r="D227" s="200" t="s">
        <v>56</v>
      </c>
      <c r="E227" s="200" t="s">
        <v>71</v>
      </c>
      <c r="F227" s="281">
        <v>3039</v>
      </c>
      <c r="G227" s="218">
        <v>371</v>
      </c>
    </row>
    <row r="228" spans="1:7" ht="15">
      <c r="A228" s="212">
        <v>225</v>
      </c>
      <c r="B228" s="272" t="s">
        <v>116</v>
      </c>
      <c r="C228" s="124">
        <v>39066</v>
      </c>
      <c r="D228" s="135" t="s">
        <v>56</v>
      </c>
      <c r="E228" s="134" t="s">
        <v>71</v>
      </c>
      <c r="F228" s="281">
        <v>2600</v>
      </c>
      <c r="G228" s="218">
        <v>361</v>
      </c>
    </row>
    <row r="229" spans="1:7" ht="15">
      <c r="A229" s="212">
        <v>226</v>
      </c>
      <c r="B229" s="168" t="s">
        <v>116</v>
      </c>
      <c r="C229" s="124">
        <v>39066</v>
      </c>
      <c r="D229" s="135" t="s">
        <v>56</v>
      </c>
      <c r="E229" s="134" t="s">
        <v>71</v>
      </c>
      <c r="F229" s="281">
        <v>1124</v>
      </c>
      <c r="G229" s="218">
        <v>164</v>
      </c>
    </row>
    <row r="230" spans="1:7" ht="15">
      <c r="A230" s="212">
        <v>227</v>
      </c>
      <c r="B230" s="168" t="s">
        <v>116</v>
      </c>
      <c r="C230" s="124">
        <v>39066</v>
      </c>
      <c r="D230" s="135" t="s">
        <v>56</v>
      </c>
      <c r="E230" s="134" t="s">
        <v>71</v>
      </c>
      <c r="F230" s="281">
        <v>762</v>
      </c>
      <c r="G230" s="218">
        <v>96</v>
      </c>
    </row>
    <row r="231" spans="1:7" ht="15">
      <c r="A231" s="212">
        <v>228</v>
      </c>
      <c r="B231" s="272" t="s">
        <v>116</v>
      </c>
      <c r="C231" s="124">
        <v>39066</v>
      </c>
      <c r="D231" s="135" t="s">
        <v>56</v>
      </c>
      <c r="E231" s="134" t="s">
        <v>71</v>
      </c>
      <c r="F231" s="289">
        <v>234</v>
      </c>
      <c r="G231" s="218">
        <v>27</v>
      </c>
    </row>
    <row r="232" spans="1:7" ht="15">
      <c r="A232" s="212">
        <v>229</v>
      </c>
      <c r="B232" s="171" t="s">
        <v>227</v>
      </c>
      <c r="C232" s="125">
        <v>38709</v>
      </c>
      <c r="D232" s="140" t="s">
        <v>23</v>
      </c>
      <c r="E232" s="139" t="s">
        <v>33</v>
      </c>
      <c r="F232" s="279">
        <v>3560</v>
      </c>
      <c r="G232" s="219">
        <v>890</v>
      </c>
    </row>
    <row r="233" spans="1:7" ht="15">
      <c r="A233" s="212">
        <v>230</v>
      </c>
      <c r="B233" s="169" t="s">
        <v>136</v>
      </c>
      <c r="C233" s="172">
        <v>39031</v>
      </c>
      <c r="D233" s="167" t="s">
        <v>58</v>
      </c>
      <c r="E233" s="167" t="s">
        <v>39</v>
      </c>
      <c r="F233" s="290">
        <v>570</v>
      </c>
      <c r="G233" s="178">
        <v>142</v>
      </c>
    </row>
    <row r="234" spans="1:7" ht="15">
      <c r="A234" s="212">
        <v>231</v>
      </c>
      <c r="B234" s="203" t="s">
        <v>136</v>
      </c>
      <c r="C234" s="125">
        <v>39031</v>
      </c>
      <c r="D234" s="199" t="s">
        <v>58</v>
      </c>
      <c r="E234" s="199" t="s">
        <v>39</v>
      </c>
      <c r="F234" s="279">
        <v>176</v>
      </c>
      <c r="G234" s="219">
        <v>44</v>
      </c>
    </row>
    <row r="235" spans="1:7" ht="15">
      <c r="A235" s="212">
        <v>232</v>
      </c>
      <c r="B235" s="169" t="s">
        <v>80</v>
      </c>
      <c r="C235" s="172">
        <v>39052</v>
      </c>
      <c r="D235" s="167" t="s">
        <v>58</v>
      </c>
      <c r="E235" s="167" t="s">
        <v>14</v>
      </c>
      <c r="F235" s="290">
        <v>137705.5</v>
      </c>
      <c r="G235" s="178">
        <v>21048</v>
      </c>
    </row>
    <row r="236" spans="1:7" ht="15">
      <c r="A236" s="212">
        <v>233</v>
      </c>
      <c r="B236" s="203" t="s">
        <v>80</v>
      </c>
      <c r="C236" s="125">
        <v>39052</v>
      </c>
      <c r="D236" s="199" t="s">
        <v>58</v>
      </c>
      <c r="E236" s="199" t="s">
        <v>14</v>
      </c>
      <c r="F236" s="279">
        <v>96374</v>
      </c>
      <c r="G236" s="219">
        <v>15913</v>
      </c>
    </row>
    <row r="237" spans="1:7" ht="15">
      <c r="A237" s="212">
        <v>234</v>
      </c>
      <c r="B237" s="170" t="s">
        <v>80</v>
      </c>
      <c r="C237" s="125">
        <v>39052</v>
      </c>
      <c r="D237" s="136" t="s">
        <v>58</v>
      </c>
      <c r="E237" s="136" t="s">
        <v>14</v>
      </c>
      <c r="F237" s="279">
        <v>73504</v>
      </c>
      <c r="G237" s="219">
        <v>13224</v>
      </c>
    </row>
    <row r="238" spans="1:7" ht="15">
      <c r="A238" s="212">
        <v>235</v>
      </c>
      <c r="B238" s="273" t="s">
        <v>80</v>
      </c>
      <c r="C238" s="125">
        <v>39052</v>
      </c>
      <c r="D238" s="136" t="s">
        <v>58</v>
      </c>
      <c r="E238" s="136" t="s">
        <v>14</v>
      </c>
      <c r="F238" s="279">
        <v>30884</v>
      </c>
      <c r="G238" s="219">
        <v>6184</v>
      </c>
    </row>
    <row r="239" spans="1:7" ht="15">
      <c r="A239" s="212">
        <v>236</v>
      </c>
      <c r="B239" s="170" t="s">
        <v>80</v>
      </c>
      <c r="C239" s="125">
        <v>39052</v>
      </c>
      <c r="D239" s="136" t="s">
        <v>58</v>
      </c>
      <c r="E239" s="136" t="s">
        <v>14</v>
      </c>
      <c r="F239" s="279">
        <v>17454.5</v>
      </c>
      <c r="G239" s="219">
        <v>3648</v>
      </c>
    </row>
    <row r="240" spans="1:7" ht="15">
      <c r="A240" s="212">
        <v>237</v>
      </c>
      <c r="B240" s="273" t="s">
        <v>80</v>
      </c>
      <c r="C240" s="125">
        <v>39052</v>
      </c>
      <c r="D240" s="136" t="s">
        <v>58</v>
      </c>
      <c r="E240" s="136" t="s">
        <v>14</v>
      </c>
      <c r="F240" s="288">
        <v>10984.5</v>
      </c>
      <c r="G240" s="219">
        <v>2101</v>
      </c>
    </row>
    <row r="241" spans="1:7" ht="15">
      <c r="A241" s="212">
        <v>238</v>
      </c>
      <c r="B241" s="171" t="s">
        <v>104</v>
      </c>
      <c r="C241" s="125">
        <v>39059</v>
      </c>
      <c r="D241" s="140" t="s">
        <v>23</v>
      </c>
      <c r="E241" s="139" t="s">
        <v>105</v>
      </c>
      <c r="F241" s="279">
        <v>1068</v>
      </c>
      <c r="G241" s="219">
        <v>267</v>
      </c>
    </row>
    <row r="242" spans="1:7" ht="15">
      <c r="A242" s="212">
        <v>239</v>
      </c>
      <c r="B242" s="274" t="s">
        <v>104</v>
      </c>
      <c r="C242" s="125">
        <v>39059</v>
      </c>
      <c r="D242" s="140" t="s">
        <v>23</v>
      </c>
      <c r="E242" s="139" t="s">
        <v>105</v>
      </c>
      <c r="F242" s="279">
        <v>952</v>
      </c>
      <c r="G242" s="219">
        <v>238</v>
      </c>
    </row>
    <row r="243" spans="1:7" ht="15">
      <c r="A243" s="212">
        <v>240</v>
      </c>
      <c r="B243" s="203" t="s">
        <v>104</v>
      </c>
      <c r="C243" s="125">
        <v>39059</v>
      </c>
      <c r="D243" s="199" t="s">
        <v>23</v>
      </c>
      <c r="E243" s="199" t="s">
        <v>105</v>
      </c>
      <c r="F243" s="279">
        <v>453</v>
      </c>
      <c r="G243" s="219">
        <v>91</v>
      </c>
    </row>
    <row r="244" spans="1:7" ht="15">
      <c r="A244" s="212">
        <v>241</v>
      </c>
      <c r="B244" s="171" t="s">
        <v>104</v>
      </c>
      <c r="C244" s="125">
        <v>39059</v>
      </c>
      <c r="D244" s="140" t="s">
        <v>23</v>
      </c>
      <c r="E244" s="139" t="s">
        <v>105</v>
      </c>
      <c r="F244" s="288">
        <v>115</v>
      </c>
      <c r="G244" s="180">
        <v>14</v>
      </c>
    </row>
    <row r="245" spans="1:7" ht="15">
      <c r="A245" s="212">
        <v>242</v>
      </c>
      <c r="B245" s="274" t="s">
        <v>104</v>
      </c>
      <c r="C245" s="125">
        <v>39059</v>
      </c>
      <c r="D245" s="140" t="s">
        <v>23</v>
      </c>
      <c r="E245" s="139" t="s">
        <v>105</v>
      </c>
      <c r="F245" s="288">
        <v>60</v>
      </c>
      <c r="G245" s="219">
        <v>24</v>
      </c>
    </row>
    <row r="246" spans="1:7" ht="15">
      <c r="A246" s="212">
        <v>243</v>
      </c>
      <c r="B246" s="171" t="s">
        <v>85</v>
      </c>
      <c r="C246" s="125">
        <v>38891</v>
      </c>
      <c r="D246" s="140" t="s">
        <v>23</v>
      </c>
      <c r="E246" s="139" t="s">
        <v>13</v>
      </c>
      <c r="F246" s="288">
        <v>2030.2</v>
      </c>
      <c r="G246" s="180">
        <v>506</v>
      </c>
    </row>
    <row r="247" spans="1:7" ht="15">
      <c r="A247" s="212">
        <v>244</v>
      </c>
      <c r="B247" s="203" t="s">
        <v>85</v>
      </c>
      <c r="C247" s="125">
        <v>38891</v>
      </c>
      <c r="D247" s="199" t="s">
        <v>23</v>
      </c>
      <c r="E247" s="199" t="s">
        <v>13</v>
      </c>
      <c r="F247" s="279">
        <v>1554.4</v>
      </c>
      <c r="G247" s="219">
        <v>456</v>
      </c>
    </row>
    <row r="248" spans="1:7" ht="15">
      <c r="A248" s="212">
        <v>245</v>
      </c>
      <c r="B248" s="171" t="s">
        <v>85</v>
      </c>
      <c r="C248" s="125">
        <v>38891</v>
      </c>
      <c r="D248" s="140" t="s">
        <v>23</v>
      </c>
      <c r="E248" s="139" t="s">
        <v>13</v>
      </c>
      <c r="F248" s="279">
        <v>699</v>
      </c>
      <c r="G248" s="219">
        <v>199</v>
      </c>
    </row>
    <row r="249" spans="1:7" ht="15">
      <c r="A249" s="212">
        <v>246</v>
      </c>
      <c r="B249" s="168" t="s">
        <v>17</v>
      </c>
      <c r="C249" s="124">
        <v>39052</v>
      </c>
      <c r="D249" s="135" t="s">
        <v>56</v>
      </c>
      <c r="E249" s="134" t="s">
        <v>71</v>
      </c>
      <c r="F249" s="289">
        <v>18054</v>
      </c>
      <c r="G249" s="177">
        <v>2827</v>
      </c>
    </row>
    <row r="250" spans="1:7" ht="15">
      <c r="A250" s="212">
        <v>247</v>
      </c>
      <c r="B250" s="202" t="s">
        <v>17</v>
      </c>
      <c r="C250" s="124">
        <v>39052</v>
      </c>
      <c r="D250" s="200" t="s">
        <v>56</v>
      </c>
      <c r="E250" s="200" t="s">
        <v>71</v>
      </c>
      <c r="F250" s="281">
        <v>7487</v>
      </c>
      <c r="G250" s="218">
        <v>1405</v>
      </c>
    </row>
    <row r="251" spans="1:7" ht="15">
      <c r="A251" s="212">
        <v>248</v>
      </c>
      <c r="B251" s="168" t="s">
        <v>17</v>
      </c>
      <c r="C251" s="124">
        <v>39052</v>
      </c>
      <c r="D251" s="135" t="s">
        <v>56</v>
      </c>
      <c r="E251" s="134" t="s">
        <v>71</v>
      </c>
      <c r="F251" s="281">
        <v>5131</v>
      </c>
      <c r="G251" s="218">
        <v>1115</v>
      </c>
    </row>
    <row r="252" spans="1:7" ht="15">
      <c r="A252" s="212">
        <v>249</v>
      </c>
      <c r="B252" s="168" t="s">
        <v>17</v>
      </c>
      <c r="C252" s="124">
        <v>39052</v>
      </c>
      <c r="D252" s="135" t="s">
        <v>56</v>
      </c>
      <c r="E252" s="134" t="s">
        <v>71</v>
      </c>
      <c r="F252" s="281">
        <v>530</v>
      </c>
      <c r="G252" s="218">
        <v>106</v>
      </c>
    </row>
    <row r="253" spans="1:7" ht="15">
      <c r="A253" s="212">
        <v>250</v>
      </c>
      <c r="B253" s="170" t="s">
        <v>221</v>
      </c>
      <c r="C253" s="125">
        <v>37862</v>
      </c>
      <c r="D253" s="137" t="s">
        <v>46</v>
      </c>
      <c r="E253" s="137" t="s">
        <v>222</v>
      </c>
      <c r="F253" s="281">
        <v>354</v>
      </c>
      <c r="G253" s="218">
        <v>118</v>
      </c>
    </row>
    <row r="254" spans="1:7" ht="15">
      <c r="A254" s="212">
        <v>251</v>
      </c>
      <c r="B254" s="202" t="s">
        <v>96</v>
      </c>
      <c r="C254" s="124">
        <v>39010</v>
      </c>
      <c r="D254" s="200" t="s">
        <v>68</v>
      </c>
      <c r="E254" s="200" t="s">
        <v>40</v>
      </c>
      <c r="F254" s="294">
        <v>2615</v>
      </c>
      <c r="G254" s="222">
        <v>432</v>
      </c>
    </row>
    <row r="255" spans="1:7" ht="15">
      <c r="A255" s="212">
        <v>252</v>
      </c>
      <c r="B255" s="168" t="s">
        <v>96</v>
      </c>
      <c r="C255" s="124">
        <v>39010</v>
      </c>
      <c r="D255" s="134" t="s">
        <v>68</v>
      </c>
      <c r="E255" s="134" t="s">
        <v>40</v>
      </c>
      <c r="F255" s="295">
        <v>1100</v>
      </c>
      <c r="G255" s="182">
        <v>143</v>
      </c>
    </row>
    <row r="256" spans="1:7" ht="15">
      <c r="A256" s="212">
        <v>253</v>
      </c>
      <c r="B256" s="275" t="s">
        <v>175</v>
      </c>
      <c r="C256" s="124">
        <v>39038</v>
      </c>
      <c r="D256" s="137" t="s">
        <v>45</v>
      </c>
      <c r="E256" s="137" t="s">
        <v>176</v>
      </c>
      <c r="F256" s="289">
        <v>1188</v>
      </c>
      <c r="G256" s="218">
        <v>396</v>
      </c>
    </row>
    <row r="257" spans="1:7" ht="15">
      <c r="A257" s="212">
        <v>254</v>
      </c>
      <c r="B257" s="166" t="s">
        <v>175</v>
      </c>
      <c r="C257" s="124">
        <v>39038</v>
      </c>
      <c r="D257" s="137" t="s">
        <v>45</v>
      </c>
      <c r="E257" s="137" t="s">
        <v>176</v>
      </c>
      <c r="F257" s="281">
        <v>885</v>
      </c>
      <c r="G257" s="218">
        <v>171</v>
      </c>
    </row>
    <row r="258" spans="1:7" ht="15">
      <c r="A258" s="212">
        <v>255</v>
      </c>
      <c r="B258" s="274" t="s">
        <v>211</v>
      </c>
      <c r="C258" s="125">
        <v>38639</v>
      </c>
      <c r="D258" s="140" t="s">
        <v>23</v>
      </c>
      <c r="E258" s="139" t="s">
        <v>212</v>
      </c>
      <c r="F258" s="279">
        <v>3560</v>
      </c>
      <c r="G258" s="219">
        <v>890</v>
      </c>
    </row>
    <row r="259" spans="1:7" ht="15">
      <c r="A259" s="212">
        <v>256</v>
      </c>
      <c r="B259" s="169" t="s">
        <v>16</v>
      </c>
      <c r="C259" s="172">
        <v>39059</v>
      </c>
      <c r="D259" s="167" t="s">
        <v>58</v>
      </c>
      <c r="E259" s="167" t="s">
        <v>38</v>
      </c>
      <c r="F259" s="290">
        <v>291.5</v>
      </c>
      <c r="G259" s="178">
        <v>19</v>
      </c>
    </row>
    <row r="260" spans="1:7" ht="15">
      <c r="A260" s="212">
        <v>257</v>
      </c>
      <c r="B260" s="129" t="s">
        <v>34</v>
      </c>
      <c r="C260" s="127">
        <v>39024</v>
      </c>
      <c r="D260" s="138" t="s">
        <v>64</v>
      </c>
      <c r="E260" s="138" t="s">
        <v>62</v>
      </c>
      <c r="F260" s="293">
        <v>1186</v>
      </c>
      <c r="G260" s="181">
        <v>237</v>
      </c>
    </row>
    <row r="261" spans="1:7" ht="15">
      <c r="A261" s="212">
        <v>258</v>
      </c>
      <c r="B261" s="171" t="s">
        <v>95</v>
      </c>
      <c r="C261" s="125">
        <v>39010</v>
      </c>
      <c r="D261" s="140" t="s">
        <v>23</v>
      </c>
      <c r="E261" s="139" t="s">
        <v>86</v>
      </c>
      <c r="F261" s="279">
        <v>2339</v>
      </c>
      <c r="G261" s="219">
        <v>447</v>
      </c>
    </row>
    <row r="262" spans="1:7" ht="15">
      <c r="A262" s="212">
        <v>259</v>
      </c>
      <c r="B262" s="171" t="s">
        <v>95</v>
      </c>
      <c r="C262" s="125">
        <v>39010</v>
      </c>
      <c r="D262" s="140" t="s">
        <v>23</v>
      </c>
      <c r="E262" s="139" t="s">
        <v>86</v>
      </c>
      <c r="F262" s="288">
        <v>1894</v>
      </c>
      <c r="G262" s="180">
        <v>394</v>
      </c>
    </row>
    <row r="263" spans="1:7" ht="15">
      <c r="A263" s="212">
        <v>260</v>
      </c>
      <c r="B263" s="274" t="s">
        <v>95</v>
      </c>
      <c r="C263" s="125">
        <v>39010</v>
      </c>
      <c r="D263" s="140" t="s">
        <v>23</v>
      </c>
      <c r="E263" s="139" t="s">
        <v>86</v>
      </c>
      <c r="F263" s="288">
        <v>1780</v>
      </c>
      <c r="G263" s="219">
        <v>445</v>
      </c>
    </row>
    <row r="264" spans="1:7" ht="15">
      <c r="A264" s="212">
        <v>261</v>
      </c>
      <c r="B264" s="203" t="s">
        <v>95</v>
      </c>
      <c r="C264" s="125">
        <v>39010</v>
      </c>
      <c r="D264" s="199" t="s">
        <v>23</v>
      </c>
      <c r="E264" s="199" t="s">
        <v>86</v>
      </c>
      <c r="F264" s="279">
        <v>1723</v>
      </c>
      <c r="G264" s="219">
        <v>386</v>
      </c>
    </row>
    <row r="265" spans="1:7" ht="15">
      <c r="A265" s="212">
        <v>262</v>
      </c>
      <c r="B265" s="171" t="s">
        <v>95</v>
      </c>
      <c r="C265" s="125">
        <v>39010</v>
      </c>
      <c r="D265" s="140" t="s">
        <v>23</v>
      </c>
      <c r="E265" s="139" t="s">
        <v>86</v>
      </c>
      <c r="F265" s="279">
        <v>1526</v>
      </c>
      <c r="G265" s="219">
        <v>373</v>
      </c>
    </row>
    <row r="266" spans="1:7" ht="15">
      <c r="A266" s="212">
        <v>263</v>
      </c>
      <c r="B266" s="274" t="s">
        <v>95</v>
      </c>
      <c r="C266" s="125">
        <v>39010</v>
      </c>
      <c r="D266" s="140" t="s">
        <v>23</v>
      </c>
      <c r="E266" s="139" t="s">
        <v>86</v>
      </c>
      <c r="F266" s="279">
        <v>175</v>
      </c>
      <c r="G266" s="219">
        <v>27</v>
      </c>
    </row>
    <row r="267" spans="1:7" ht="15">
      <c r="A267" s="212">
        <v>264</v>
      </c>
      <c r="B267" s="168" t="s">
        <v>174</v>
      </c>
      <c r="C267" s="124">
        <v>38814</v>
      </c>
      <c r="D267" s="134" t="s">
        <v>48</v>
      </c>
      <c r="E267" s="134" t="s">
        <v>70</v>
      </c>
      <c r="F267" s="283">
        <v>960</v>
      </c>
      <c r="G267" s="220">
        <v>192</v>
      </c>
    </row>
    <row r="268" spans="1:7" ht="15.75" thickBot="1">
      <c r="A268" s="212">
        <v>265</v>
      </c>
      <c r="B268" s="223" t="s">
        <v>135</v>
      </c>
      <c r="C268" s="224">
        <v>38996</v>
      </c>
      <c r="D268" s="225" t="s">
        <v>57</v>
      </c>
      <c r="E268" s="226" t="s">
        <v>63</v>
      </c>
      <c r="F268" s="296">
        <v>795</v>
      </c>
      <c r="G268" s="227">
        <v>159</v>
      </c>
    </row>
    <row r="269" spans="1:7" ht="15">
      <c r="A269" s="472" t="s">
        <v>50</v>
      </c>
      <c r="B269" s="473"/>
      <c r="C269" s="207"/>
      <c r="D269" s="207"/>
      <c r="E269" s="207"/>
      <c r="F269" s="297">
        <f>SUM(F4:F268)</f>
        <v>9263881.699999997</v>
      </c>
      <c r="G269" s="210">
        <f>SUM(G4:G268)</f>
        <v>1348692</v>
      </c>
    </row>
    <row r="270" spans="1:7" ht="12.75">
      <c r="A270" s="99"/>
      <c r="B270" s="91"/>
      <c r="C270" s="92"/>
      <c r="D270" s="92"/>
      <c r="E270" s="92"/>
      <c r="F270" s="298"/>
      <c r="G270" s="193"/>
    </row>
    <row r="271" spans="1:7" ht="12.75">
      <c r="A271" s="100"/>
      <c r="B271" s="95"/>
      <c r="C271" s="50"/>
      <c r="D271" s="50"/>
      <c r="E271" s="50"/>
      <c r="F271" s="299"/>
      <c r="G271" s="194"/>
    </row>
    <row r="272" spans="1:7" ht="12.75">
      <c r="A272" s="100"/>
      <c r="B272" s="95"/>
      <c r="C272" s="435" t="s">
        <v>31</v>
      </c>
      <c r="D272" s="464"/>
      <c r="E272" s="464"/>
      <c r="F272" s="464"/>
      <c r="G272" s="464"/>
    </row>
    <row r="273" spans="1:7" ht="12.75">
      <c r="A273" s="100"/>
      <c r="B273" s="95"/>
      <c r="C273" s="464"/>
      <c r="D273" s="464"/>
      <c r="E273" s="464"/>
      <c r="F273" s="464"/>
      <c r="G273" s="464"/>
    </row>
    <row r="274" spans="1:7" ht="12.75">
      <c r="A274" s="100"/>
      <c r="B274" s="95"/>
      <c r="C274" s="464"/>
      <c r="D274" s="464"/>
      <c r="E274" s="464"/>
      <c r="F274" s="464"/>
      <c r="G274" s="464"/>
    </row>
    <row r="275" spans="1:7" ht="18" customHeight="1">
      <c r="A275" s="100"/>
      <c r="B275" s="95"/>
      <c r="C275" s="464"/>
      <c r="D275" s="464"/>
      <c r="E275" s="464"/>
      <c r="F275" s="464"/>
      <c r="G275" s="464"/>
    </row>
    <row r="276" spans="1:7" ht="30" customHeight="1">
      <c r="A276" s="100"/>
      <c r="B276" s="95"/>
      <c r="C276" s="464"/>
      <c r="D276" s="464"/>
      <c r="E276" s="464"/>
      <c r="F276" s="464"/>
      <c r="G276" s="464"/>
    </row>
    <row r="277" spans="1:7" ht="12.75">
      <c r="A277" s="100"/>
      <c r="B277" s="95"/>
      <c r="C277" s="464"/>
      <c r="D277" s="464"/>
      <c r="E277" s="464"/>
      <c r="F277" s="464"/>
      <c r="G277" s="464"/>
    </row>
    <row r="278" spans="1:7" ht="12.75">
      <c r="A278" s="100"/>
      <c r="B278" s="95"/>
      <c r="C278" s="112"/>
      <c r="D278" s="98"/>
      <c r="E278" s="98"/>
      <c r="F278" s="300"/>
      <c r="G278" s="195"/>
    </row>
    <row r="279" spans="1:7" ht="12.75">
      <c r="A279" s="100"/>
      <c r="B279" s="95"/>
      <c r="C279" s="465" t="s">
        <v>19</v>
      </c>
      <c r="D279" s="464"/>
      <c r="E279" s="464"/>
      <c r="F279" s="464"/>
      <c r="G279" s="464"/>
    </row>
    <row r="280" spans="1:7" ht="12.75">
      <c r="A280" s="100"/>
      <c r="B280" s="95"/>
      <c r="C280" s="464"/>
      <c r="D280" s="464"/>
      <c r="E280" s="464"/>
      <c r="F280" s="464"/>
      <c r="G280" s="464"/>
    </row>
    <row r="281" spans="1:7" ht="12.75">
      <c r="A281" s="100"/>
      <c r="B281" s="95"/>
      <c r="C281" s="464"/>
      <c r="D281" s="464"/>
      <c r="E281" s="464"/>
      <c r="F281" s="464"/>
      <c r="G281" s="464"/>
    </row>
    <row r="282" spans="1:7" ht="12.75">
      <c r="A282" s="100"/>
      <c r="B282" s="95"/>
      <c r="C282" s="464"/>
      <c r="D282" s="464"/>
      <c r="E282" s="464"/>
      <c r="F282" s="464"/>
      <c r="G282" s="464"/>
    </row>
    <row r="283" spans="1:7" ht="12.75">
      <c r="A283" s="100"/>
      <c r="B283" s="95"/>
      <c r="C283" s="464"/>
      <c r="D283" s="464"/>
      <c r="E283" s="464"/>
      <c r="F283" s="464"/>
      <c r="G283" s="464"/>
    </row>
    <row r="284" spans="1:7" ht="12.75">
      <c r="A284" s="100"/>
      <c r="B284" s="95"/>
      <c r="C284" s="464"/>
      <c r="D284" s="464"/>
      <c r="E284" s="464"/>
      <c r="F284" s="464"/>
      <c r="G284" s="464"/>
    </row>
    <row r="285" spans="1:7" ht="12.75">
      <c r="A285" s="100"/>
      <c r="B285" s="95"/>
      <c r="C285" s="466"/>
      <c r="D285" s="466"/>
      <c r="E285" s="466"/>
      <c r="F285" s="466"/>
      <c r="G285" s="466"/>
    </row>
    <row r="286" spans="1:7" ht="12.75">
      <c r="A286" s="100"/>
      <c r="B286" s="95"/>
      <c r="C286" s="50"/>
      <c r="D286" s="50"/>
      <c r="E286" s="50"/>
      <c r="F286" s="299"/>
      <c r="G286" s="194"/>
    </row>
    <row r="287" spans="1:7" ht="12.75">
      <c r="A287" s="100"/>
      <c r="B287" s="95"/>
      <c r="C287" s="50"/>
      <c r="D287" s="50"/>
      <c r="E287" s="50"/>
      <c r="F287" s="299"/>
      <c r="G287" s="194"/>
    </row>
  </sheetData>
  <mergeCells count="9">
    <mergeCell ref="C272:G277"/>
    <mergeCell ref="C279:G285"/>
    <mergeCell ref="A1:G1"/>
    <mergeCell ref="B2:B3"/>
    <mergeCell ref="C2:C3"/>
    <mergeCell ref="D2:D3"/>
    <mergeCell ref="E2:E3"/>
    <mergeCell ref="F2:G2"/>
    <mergeCell ref="A269:B269"/>
  </mergeCells>
  <printOptions/>
  <pageMargins left="0.75" right="0.75" top="1" bottom="1" header="0.5" footer="0.5"/>
  <pageSetup orientation="portrait" paperSize="9"/>
  <ignoredErrors>
    <ignoredError sqref="F83" unlockedFormula="1"/>
  </ignoredErrors>
</worksheet>
</file>

<file path=xl/worksheets/sheet4.xml><?xml version="1.0" encoding="utf-8"?>
<worksheet xmlns="http://schemas.openxmlformats.org/spreadsheetml/2006/main" xmlns:r="http://schemas.openxmlformats.org/officeDocument/2006/relationships">
  <dimension ref="A1:W54"/>
  <sheetViews>
    <sheetView workbookViewId="0" topLeftCell="A1">
      <selection activeCell="A54" sqref="A54:H54"/>
    </sheetView>
  </sheetViews>
  <sheetFormatPr defaultColWidth="9.140625" defaultRowHeight="12.75"/>
  <cols>
    <col min="1" max="1" width="1.7109375" style="254" bestFit="1" customWidth="1"/>
    <col min="2" max="2" width="4.28125" style="255" bestFit="1" customWidth="1"/>
    <col min="3" max="3" width="6.8515625" style="256" bestFit="1" customWidth="1"/>
    <col min="4" max="4" width="2.421875" style="254" bestFit="1" customWidth="1"/>
    <col min="5" max="5" width="1.7109375" style="254" bestFit="1" customWidth="1"/>
    <col min="6" max="6" width="3.140625" style="257" bestFit="1" customWidth="1"/>
    <col min="7" max="7" width="9.421875" style="258" bestFit="1" customWidth="1"/>
    <col min="8" max="8" width="6.8515625" style="259" bestFit="1" customWidth="1"/>
    <col min="9" max="9" width="4.8515625" style="256" bestFit="1" customWidth="1"/>
    <col min="10" max="10" width="8.7109375" style="260" bestFit="1" customWidth="1"/>
    <col min="11" max="11" width="5.7109375" style="261" bestFit="1" customWidth="1"/>
    <col min="12" max="12" width="5.57421875" style="262" bestFit="1" customWidth="1"/>
    <col min="13" max="13" width="1.7109375" style="257" bestFit="1" customWidth="1"/>
    <col min="14" max="14" width="8.7109375" style="258" bestFit="1" customWidth="1"/>
    <col min="15" max="15" width="5.7109375" style="259" bestFit="1" customWidth="1"/>
    <col min="16" max="16" width="5.57421875" style="263" bestFit="1" customWidth="1"/>
    <col min="17" max="17" width="2.421875" style="254" bestFit="1" customWidth="1"/>
    <col min="18" max="18" width="9.421875" style="260" bestFit="1" customWidth="1"/>
    <col min="19" max="19" width="6.8515625" style="261" bestFit="1" customWidth="1"/>
    <col min="20" max="20" width="5.57421875" style="262" bestFit="1" customWidth="1"/>
    <col min="21" max="21" width="19.28125" style="264" bestFit="1" customWidth="1"/>
    <col min="22" max="22" width="5.7109375" style="259" bestFit="1" customWidth="1"/>
    <col min="23" max="23" width="5.57421875" style="263" bestFit="1" customWidth="1"/>
    <col min="24" max="16384" width="9.140625" style="243" customWidth="1"/>
  </cols>
  <sheetData>
    <row r="1" spans="1:23" ht="14.25" thickBot="1">
      <c r="A1" s="228">
        <v>1</v>
      </c>
      <c r="B1" s="229" t="s">
        <v>142</v>
      </c>
      <c r="C1" s="230" t="s">
        <v>141</v>
      </c>
      <c r="D1" s="231">
        <v>10</v>
      </c>
      <c r="E1" s="232">
        <v>2</v>
      </c>
      <c r="F1" s="233">
        <v>56</v>
      </c>
      <c r="G1" s="234">
        <v>8691537.8</v>
      </c>
      <c r="H1" s="235">
        <v>1116749</v>
      </c>
      <c r="I1" s="236" t="s">
        <v>56</v>
      </c>
      <c r="J1" s="237">
        <v>2578324</v>
      </c>
      <c r="K1" s="238">
        <v>326212</v>
      </c>
      <c r="L1" s="239">
        <f aca="true" t="shared" si="0" ref="L1:L6">SUM(K1/H1)</f>
        <v>0.29210861169340646</v>
      </c>
      <c r="M1" s="233">
        <v>4</v>
      </c>
      <c r="N1" s="234">
        <v>3067842</v>
      </c>
      <c r="O1" s="240">
        <v>355957</v>
      </c>
      <c r="P1" s="241">
        <f aca="true" t="shared" si="1" ref="P1:P6">SUM(O1/H1)</f>
        <v>0.31874396126613946</v>
      </c>
      <c r="Q1" s="228">
        <v>15</v>
      </c>
      <c r="R1" s="237">
        <v>4982432.6</v>
      </c>
      <c r="S1" s="238">
        <v>687078</v>
      </c>
      <c r="T1" s="239">
        <f aca="true" t="shared" si="2" ref="T1:T6">SUM(S1/H1)</f>
        <v>0.6152483682546391</v>
      </c>
      <c r="U1" s="242" t="s">
        <v>143</v>
      </c>
      <c r="V1" s="240">
        <v>169709</v>
      </c>
      <c r="W1" s="241">
        <f aca="true" t="shared" si="3" ref="W1:W6">SUM(V1/H1)</f>
        <v>0.15196700422386766</v>
      </c>
    </row>
    <row r="2" spans="1:23" ht="14.25" thickBot="1">
      <c r="A2" s="228">
        <v>2</v>
      </c>
      <c r="B2" s="229" t="s">
        <v>144</v>
      </c>
      <c r="C2" s="230" t="s">
        <v>141</v>
      </c>
      <c r="D2" s="231">
        <v>11</v>
      </c>
      <c r="E2" s="232">
        <v>1</v>
      </c>
      <c r="F2" s="233">
        <v>60</v>
      </c>
      <c r="G2" s="234">
        <v>5118756.19</v>
      </c>
      <c r="H2" s="235">
        <v>659053</v>
      </c>
      <c r="I2" s="236" t="s">
        <v>57</v>
      </c>
      <c r="J2" s="237">
        <v>1728906</v>
      </c>
      <c r="K2" s="238">
        <v>201031</v>
      </c>
      <c r="L2" s="239">
        <f t="shared" si="0"/>
        <v>0.30503009621380983</v>
      </c>
      <c r="M2" s="233">
        <v>4</v>
      </c>
      <c r="N2" s="234">
        <v>1283953.79</v>
      </c>
      <c r="O2" s="240">
        <v>146284</v>
      </c>
      <c r="P2" s="241">
        <f t="shared" si="1"/>
        <v>0.22196090450995595</v>
      </c>
      <c r="Q2" s="228">
        <v>15</v>
      </c>
      <c r="R2" s="237">
        <v>2107779</v>
      </c>
      <c r="S2" s="238">
        <v>296899</v>
      </c>
      <c r="T2" s="239">
        <f t="shared" si="2"/>
        <v>0.4504933594111551</v>
      </c>
      <c r="U2" s="242" t="s">
        <v>164</v>
      </c>
      <c r="V2" s="240">
        <v>124215</v>
      </c>
      <c r="W2" s="241">
        <f t="shared" si="3"/>
        <v>0.18847497849186637</v>
      </c>
    </row>
    <row r="3" spans="1:23" ht="14.25" thickBot="1">
      <c r="A3" s="228">
        <v>3</v>
      </c>
      <c r="B3" s="229" t="s">
        <v>181</v>
      </c>
      <c r="C3" s="230" t="s">
        <v>141</v>
      </c>
      <c r="D3" s="231">
        <v>10</v>
      </c>
      <c r="E3" s="232">
        <v>2</v>
      </c>
      <c r="F3" s="233">
        <v>62</v>
      </c>
      <c r="G3" s="234">
        <v>6529602.8</v>
      </c>
      <c r="H3" s="235">
        <v>890256</v>
      </c>
      <c r="I3" s="236" t="s">
        <v>180</v>
      </c>
      <c r="J3" s="237">
        <v>3607269.5</v>
      </c>
      <c r="K3" s="238">
        <v>527388</v>
      </c>
      <c r="L3" s="239">
        <f t="shared" si="0"/>
        <v>0.5924003882029438</v>
      </c>
      <c r="M3" s="233">
        <v>5</v>
      </c>
      <c r="N3" s="234">
        <v>3682940.5</v>
      </c>
      <c r="O3" s="240">
        <v>511626</v>
      </c>
      <c r="P3" s="241">
        <f t="shared" si="1"/>
        <v>0.5746953685232113</v>
      </c>
      <c r="Q3" s="228">
        <v>16</v>
      </c>
      <c r="R3" s="237">
        <v>4246940.5</v>
      </c>
      <c r="S3" s="238">
        <v>616838</v>
      </c>
      <c r="T3" s="239">
        <f t="shared" si="2"/>
        <v>0.6928771050124908</v>
      </c>
      <c r="U3" s="242" t="s">
        <v>182</v>
      </c>
      <c r="V3" s="240">
        <v>453903</v>
      </c>
      <c r="W3" s="241">
        <f t="shared" si="3"/>
        <v>0.5098567153717583</v>
      </c>
    </row>
    <row r="4" spans="1:23" ht="14.25" thickBot="1">
      <c r="A4" s="228">
        <v>4</v>
      </c>
      <c r="B4" s="229" t="s">
        <v>185</v>
      </c>
      <c r="C4" s="230" t="s">
        <v>141</v>
      </c>
      <c r="D4" s="231">
        <v>10</v>
      </c>
      <c r="E4" s="232">
        <v>2</v>
      </c>
      <c r="F4" s="233">
        <v>61</v>
      </c>
      <c r="G4" s="234">
        <v>7092188.4</v>
      </c>
      <c r="H4" s="235">
        <v>992303</v>
      </c>
      <c r="I4" s="236" t="s">
        <v>180</v>
      </c>
      <c r="J4" s="237">
        <v>4481033</v>
      </c>
      <c r="K4" s="238">
        <v>657202</v>
      </c>
      <c r="L4" s="239">
        <f t="shared" si="0"/>
        <v>0.6622997209521688</v>
      </c>
      <c r="M4" s="233">
        <v>3</v>
      </c>
      <c r="N4" s="234">
        <v>2723182.5</v>
      </c>
      <c r="O4" s="240">
        <v>383964</v>
      </c>
      <c r="P4" s="241">
        <f t="shared" si="1"/>
        <v>0.38694229484340975</v>
      </c>
      <c r="Q4" s="228">
        <v>17</v>
      </c>
      <c r="R4" s="237">
        <v>5464750.5</v>
      </c>
      <c r="S4" s="238">
        <v>798920</v>
      </c>
      <c r="T4" s="239">
        <f t="shared" si="2"/>
        <v>0.8051169854369079</v>
      </c>
      <c r="U4" s="242" t="s">
        <v>186</v>
      </c>
      <c r="V4" s="240">
        <v>302980</v>
      </c>
      <c r="W4" s="241">
        <f t="shared" si="3"/>
        <v>0.30533012597966547</v>
      </c>
    </row>
    <row r="5" spans="1:23" ht="14.25" thickBot="1">
      <c r="A5" s="228">
        <v>5</v>
      </c>
      <c r="B5" s="229" t="s">
        <v>215</v>
      </c>
      <c r="C5" s="230" t="s">
        <v>216</v>
      </c>
      <c r="D5" s="231">
        <v>10</v>
      </c>
      <c r="E5" s="232">
        <v>2</v>
      </c>
      <c r="F5" s="233">
        <v>59</v>
      </c>
      <c r="G5" s="234">
        <v>9179330.2</v>
      </c>
      <c r="H5" s="235">
        <v>1224917</v>
      </c>
      <c r="I5" s="236" t="s">
        <v>56</v>
      </c>
      <c r="J5" s="237">
        <v>3493499</v>
      </c>
      <c r="K5" s="238">
        <v>456605</v>
      </c>
      <c r="L5" s="239">
        <f t="shared" si="0"/>
        <v>0.3727640321752413</v>
      </c>
      <c r="M5" s="233">
        <v>3</v>
      </c>
      <c r="N5" s="234">
        <v>4795747.5</v>
      </c>
      <c r="O5" s="240">
        <v>625765</v>
      </c>
      <c r="P5" s="241">
        <f t="shared" si="1"/>
        <v>0.5108631850158011</v>
      </c>
      <c r="Q5" s="228">
        <v>19</v>
      </c>
      <c r="R5" s="237">
        <v>7049057.5</v>
      </c>
      <c r="S5" s="238">
        <v>968934</v>
      </c>
      <c r="T5" s="239">
        <f t="shared" si="2"/>
        <v>0.7910201262616161</v>
      </c>
      <c r="U5" s="242" t="s">
        <v>217</v>
      </c>
      <c r="V5" s="240">
        <v>274655</v>
      </c>
      <c r="W5" s="241">
        <f t="shared" si="3"/>
        <v>0.22422335554164077</v>
      </c>
    </row>
    <row r="6" spans="1:23" ht="14.25" thickBot="1">
      <c r="A6" s="228">
        <v>6</v>
      </c>
      <c r="B6" s="229" t="s">
        <v>241</v>
      </c>
      <c r="C6" s="230" t="s">
        <v>216</v>
      </c>
      <c r="D6" s="231">
        <v>10</v>
      </c>
      <c r="E6" s="232">
        <v>2</v>
      </c>
      <c r="F6" s="233">
        <v>51</v>
      </c>
      <c r="G6" s="234">
        <v>8785416.1</v>
      </c>
      <c r="H6" s="235">
        <v>1151292</v>
      </c>
      <c r="I6" s="236" t="s">
        <v>56</v>
      </c>
      <c r="J6" s="237">
        <v>4155506</v>
      </c>
      <c r="K6" s="238">
        <v>521201</v>
      </c>
      <c r="L6" s="239">
        <f t="shared" si="0"/>
        <v>0.4527096514177116</v>
      </c>
      <c r="M6" s="233">
        <v>5</v>
      </c>
      <c r="N6" s="234">
        <v>1872291.5</v>
      </c>
      <c r="O6" s="240">
        <v>216438</v>
      </c>
      <c r="P6" s="241">
        <f t="shared" si="1"/>
        <v>0.18799574738641456</v>
      </c>
      <c r="Q6" s="228">
        <v>17</v>
      </c>
      <c r="R6" s="237">
        <v>5912605</v>
      </c>
      <c r="S6" s="238">
        <v>810354</v>
      </c>
      <c r="T6" s="239">
        <f t="shared" si="2"/>
        <v>0.7038648752879374</v>
      </c>
      <c r="U6" s="242" t="s">
        <v>217</v>
      </c>
      <c r="V6" s="240">
        <v>238848</v>
      </c>
      <c r="W6" s="241">
        <f t="shared" si="3"/>
        <v>0.2074608353050312</v>
      </c>
    </row>
    <row r="7" spans="1:23" ht="14.25" thickBot="1">
      <c r="A7" s="228"/>
      <c r="B7" s="229"/>
      <c r="C7" s="230"/>
      <c r="D7" s="231"/>
      <c r="E7" s="232"/>
      <c r="F7" s="233"/>
      <c r="G7" s="234"/>
      <c r="H7" s="235"/>
      <c r="I7" s="236"/>
      <c r="J7" s="237"/>
      <c r="K7" s="238"/>
      <c r="L7" s="239"/>
      <c r="M7" s="233"/>
      <c r="N7" s="234"/>
      <c r="O7" s="240"/>
      <c r="P7" s="241"/>
      <c r="Q7" s="228"/>
      <c r="R7" s="237"/>
      <c r="S7" s="238"/>
      <c r="T7" s="239"/>
      <c r="U7" s="242"/>
      <c r="V7" s="240"/>
      <c r="W7" s="241"/>
    </row>
    <row r="8" spans="1:23" ht="14.25" thickBot="1">
      <c r="A8" s="228"/>
      <c r="B8" s="229"/>
      <c r="C8" s="230"/>
      <c r="D8" s="231"/>
      <c r="E8" s="232"/>
      <c r="F8" s="233"/>
      <c r="G8" s="234"/>
      <c r="H8" s="235"/>
      <c r="I8" s="236"/>
      <c r="J8" s="237"/>
      <c r="K8" s="238"/>
      <c r="L8" s="239"/>
      <c r="M8" s="233"/>
      <c r="N8" s="234"/>
      <c r="O8" s="240"/>
      <c r="P8" s="241"/>
      <c r="Q8" s="228"/>
      <c r="R8" s="237"/>
      <c r="S8" s="238"/>
      <c r="T8" s="239"/>
      <c r="U8" s="242"/>
      <c r="V8" s="240"/>
      <c r="W8" s="241"/>
    </row>
    <row r="9" spans="1:23" ht="14.25" thickBot="1">
      <c r="A9" s="228"/>
      <c r="B9" s="229"/>
      <c r="C9" s="230"/>
      <c r="D9" s="231"/>
      <c r="E9" s="232"/>
      <c r="F9" s="233"/>
      <c r="G9" s="234"/>
      <c r="H9" s="235"/>
      <c r="I9" s="236"/>
      <c r="J9" s="237"/>
      <c r="K9" s="238"/>
      <c r="L9" s="239"/>
      <c r="M9" s="233"/>
      <c r="N9" s="234"/>
      <c r="O9" s="240"/>
      <c r="P9" s="241"/>
      <c r="Q9" s="228"/>
      <c r="R9" s="237"/>
      <c r="S9" s="238"/>
      <c r="T9" s="239"/>
      <c r="U9" s="242"/>
      <c r="V9" s="240"/>
      <c r="W9" s="241"/>
    </row>
    <row r="10" spans="1:23" ht="14.25" thickBot="1">
      <c r="A10" s="228"/>
      <c r="B10" s="229"/>
      <c r="C10" s="230"/>
      <c r="D10" s="231"/>
      <c r="E10" s="232"/>
      <c r="F10" s="233"/>
      <c r="G10" s="234"/>
      <c r="H10" s="235"/>
      <c r="I10" s="236"/>
      <c r="J10" s="237"/>
      <c r="K10" s="238"/>
      <c r="L10" s="239"/>
      <c r="M10" s="233"/>
      <c r="N10" s="234"/>
      <c r="O10" s="240"/>
      <c r="P10" s="241"/>
      <c r="Q10" s="228"/>
      <c r="R10" s="237"/>
      <c r="S10" s="238"/>
      <c r="T10" s="239"/>
      <c r="U10" s="242"/>
      <c r="V10" s="240"/>
      <c r="W10" s="241"/>
    </row>
    <row r="11" spans="1:23" ht="14.25" thickBot="1">
      <c r="A11" s="228"/>
      <c r="B11" s="229"/>
      <c r="C11" s="230"/>
      <c r="D11" s="231"/>
      <c r="E11" s="232"/>
      <c r="F11" s="233"/>
      <c r="G11" s="234"/>
      <c r="H11" s="235"/>
      <c r="I11" s="236"/>
      <c r="J11" s="237"/>
      <c r="K11" s="238"/>
      <c r="L11" s="239"/>
      <c r="M11" s="233"/>
      <c r="N11" s="234"/>
      <c r="O11" s="240"/>
      <c r="P11" s="241"/>
      <c r="Q11" s="228"/>
      <c r="R11" s="237"/>
      <c r="S11" s="238"/>
      <c r="T11" s="239"/>
      <c r="U11" s="242"/>
      <c r="V11" s="240"/>
      <c r="W11" s="241"/>
    </row>
    <row r="12" spans="1:23" ht="14.25" thickBot="1">
      <c r="A12" s="228"/>
      <c r="B12" s="229"/>
      <c r="C12" s="230"/>
      <c r="D12" s="231"/>
      <c r="E12" s="232"/>
      <c r="F12" s="233"/>
      <c r="G12" s="234"/>
      <c r="H12" s="235"/>
      <c r="I12" s="236"/>
      <c r="J12" s="237"/>
      <c r="K12" s="238"/>
      <c r="L12" s="239"/>
      <c r="M12" s="233"/>
      <c r="N12" s="234"/>
      <c r="O12" s="240"/>
      <c r="P12" s="241"/>
      <c r="Q12" s="228"/>
      <c r="R12" s="237"/>
      <c r="S12" s="238"/>
      <c r="T12" s="239"/>
      <c r="U12" s="242"/>
      <c r="V12" s="240"/>
      <c r="W12" s="241"/>
    </row>
    <row r="13" spans="1:23" ht="14.25" thickBot="1">
      <c r="A13" s="228"/>
      <c r="B13" s="229"/>
      <c r="C13" s="230"/>
      <c r="D13" s="231"/>
      <c r="E13" s="232"/>
      <c r="F13" s="233"/>
      <c r="G13" s="234"/>
      <c r="H13" s="235"/>
      <c r="I13" s="236"/>
      <c r="J13" s="237"/>
      <c r="K13" s="238"/>
      <c r="L13" s="239"/>
      <c r="M13" s="233"/>
      <c r="N13" s="234"/>
      <c r="O13" s="240"/>
      <c r="P13" s="241"/>
      <c r="Q13" s="228"/>
      <c r="R13" s="237"/>
      <c r="S13" s="238"/>
      <c r="T13" s="239"/>
      <c r="U13" s="242"/>
      <c r="V13" s="240"/>
      <c r="W13" s="241"/>
    </row>
    <row r="14" spans="1:23" ht="14.25" thickBot="1">
      <c r="A14" s="228"/>
      <c r="B14" s="229"/>
      <c r="C14" s="230"/>
      <c r="D14" s="231"/>
      <c r="E14" s="232"/>
      <c r="F14" s="233"/>
      <c r="G14" s="234"/>
      <c r="H14" s="235"/>
      <c r="I14" s="236"/>
      <c r="J14" s="237"/>
      <c r="K14" s="238"/>
      <c r="L14" s="239"/>
      <c r="M14" s="233"/>
      <c r="N14" s="234"/>
      <c r="O14" s="240"/>
      <c r="P14" s="241"/>
      <c r="Q14" s="228"/>
      <c r="R14" s="237"/>
      <c r="S14" s="238"/>
      <c r="T14" s="239"/>
      <c r="U14" s="242"/>
      <c r="V14" s="240"/>
      <c r="W14" s="241"/>
    </row>
    <row r="15" spans="1:23" ht="14.25" thickBot="1">
      <c r="A15" s="228"/>
      <c r="B15" s="229"/>
      <c r="C15" s="230"/>
      <c r="D15" s="231"/>
      <c r="E15" s="232"/>
      <c r="F15" s="233"/>
      <c r="G15" s="234"/>
      <c r="H15" s="235"/>
      <c r="I15" s="236"/>
      <c r="J15" s="237"/>
      <c r="K15" s="238"/>
      <c r="L15" s="239"/>
      <c r="M15" s="233"/>
      <c r="N15" s="234"/>
      <c r="O15" s="240"/>
      <c r="P15" s="241"/>
      <c r="Q15" s="228"/>
      <c r="R15" s="237"/>
      <c r="S15" s="238"/>
      <c r="T15" s="239"/>
      <c r="U15" s="242"/>
      <c r="V15" s="240"/>
      <c r="W15" s="241"/>
    </row>
    <row r="16" spans="1:23" ht="14.25" thickBot="1">
      <c r="A16" s="228"/>
      <c r="B16" s="229"/>
      <c r="C16" s="230"/>
      <c r="D16" s="231"/>
      <c r="E16" s="232"/>
      <c r="F16" s="233"/>
      <c r="G16" s="234"/>
      <c r="H16" s="235"/>
      <c r="I16" s="236"/>
      <c r="J16" s="237"/>
      <c r="K16" s="238"/>
      <c r="L16" s="239"/>
      <c r="M16" s="233"/>
      <c r="N16" s="234"/>
      <c r="O16" s="240"/>
      <c r="P16" s="241"/>
      <c r="Q16" s="228"/>
      <c r="R16" s="237"/>
      <c r="S16" s="238"/>
      <c r="T16" s="239"/>
      <c r="U16" s="242"/>
      <c r="V16" s="240"/>
      <c r="W16" s="241"/>
    </row>
    <row r="17" spans="1:23" ht="14.25" thickBot="1">
      <c r="A17" s="228"/>
      <c r="B17" s="229"/>
      <c r="C17" s="230"/>
      <c r="D17" s="231"/>
      <c r="E17" s="232"/>
      <c r="F17" s="233"/>
      <c r="G17" s="234"/>
      <c r="H17" s="235"/>
      <c r="I17" s="236"/>
      <c r="J17" s="237"/>
      <c r="K17" s="238"/>
      <c r="L17" s="239"/>
      <c r="M17" s="233"/>
      <c r="N17" s="234"/>
      <c r="O17" s="240"/>
      <c r="P17" s="241"/>
      <c r="Q17" s="228"/>
      <c r="R17" s="237"/>
      <c r="S17" s="238"/>
      <c r="T17" s="239"/>
      <c r="U17" s="242"/>
      <c r="V17" s="240"/>
      <c r="W17" s="241"/>
    </row>
    <row r="18" spans="1:23" ht="14.25" hidden="1" thickBot="1">
      <c r="A18" s="228"/>
      <c r="B18" s="229"/>
      <c r="C18" s="230"/>
      <c r="D18" s="231"/>
      <c r="E18" s="232"/>
      <c r="F18" s="233"/>
      <c r="G18" s="234"/>
      <c r="H18" s="235"/>
      <c r="I18" s="236"/>
      <c r="J18" s="237"/>
      <c r="K18" s="238"/>
      <c r="L18" s="239"/>
      <c r="M18" s="233"/>
      <c r="N18" s="234"/>
      <c r="O18" s="240"/>
      <c r="P18" s="241"/>
      <c r="Q18" s="228"/>
      <c r="R18" s="237"/>
      <c r="S18" s="238"/>
      <c r="T18" s="239"/>
      <c r="U18" s="242"/>
      <c r="V18" s="240"/>
      <c r="W18" s="241"/>
    </row>
    <row r="19" spans="1:23" ht="14.25" hidden="1" thickBot="1">
      <c r="A19" s="228"/>
      <c r="B19" s="229"/>
      <c r="C19" s="230"/>
      <c r="D19" s="231"/>
      <c r="E19" s="232"/>
      <c r="F19" s="233"/>
      <c r="G19" s="234"/>
      <c r="H19" s="235"/>
      <c r="I19" s="236"/>
      <c r="J19" s="237"/>
      <c r="K19" s="238"/>
      <c r="L19" s="239"/>
      <c r="M19" s="233"/>
      <c r="N19" s="234"/>
      <c r="O19" s="240"/>
      <c r="P19" s="241"/>
      <c r="Q19" s="228"/>
      <c r="R19" s="237"/>
      <c r="S19" s="238"/>
      <c r="T19" s="239"/>
      <c r="U19" s="242"/>
      <c r="V19" s="240"/>
      <c r="W19" s="241"/>
    </row>
    <row r="20" spans="1:23" ht="14.25" hidden="1" thickBot="1">
      <c r="A20" s="228"/>
      <c r="B20" s="229"/>
      <c r="C20" s="230"/>
      <c r="D20" s="231"/>
      <c r="E20" s="232"/>
      <c r="F20" s="233"/>
      <c r="G20" s="234"/>
      <c r="H20" s="235"/>
      <c r="I20" s="236"/>
      <c r="J20" s="237"/>
      <c r="K20" s="238"/>
      <c r="L20" s="239"/>
      <c r="M20" s="233"/>
      <c r="N20" s="234"/>
      <c r="O20" s="240"/>
      <c r="P20" s="241"/>
      <c r="Q20" s="228"/>
      <c r="R20" s="237"/>
      <c r="S20" s="238"/>
      <c r="T20" s="239"/>
      <c r="U20" s="242"/>
      <c r="V20" s="240"/>
      <c r="W20" s="241"/>
    </row>
    <row r="21" spans="1:23" ht="14.25" hidden="1" thickBot="1">
      <c r="A21" s="228"/>
      <c r="B21" s="229"/>
      <c r="C21" s="230"/>
      <c r="D21" s="231"/>
      <c r="E21" s="232"/>
      <c r="F21" s="233"/>
      <c r="G21" s="234"/>
      <c r="H21" s="235"/>
      <c r="I21" s="236"/>
      <c r="J21" s="237"/>
      <c r="K21" s="238"/>
      <c r="L21" s="239"/>
      <c r="M21" s="233"/>
      <c r="N21" s="234"/>
      <c r="O21" s="240"/>
      <c r="P21" s="241"/>
      <c r="Q21" s="228"/>
      <c r="R21" s="237"/>
      <c r="S21" s="238"/>
      <c r="T21" s="239"/>
      <c r="U21" s="242"/>
      <c r="V21" s="240"/>
      <c r="W21" s="241"/>
    </row>
    <row r="22" spans="1:23" ht="14.25" hidden="1" thickBot="1">
      <c r="A22" s="228"/>
      <c r="B22" s="229"/>
      <c r="C22" s="230"/>
      <c r="D22" s="231"/>
      <c r="E22" s="232"/>
      <c r="F22" s="233"/>
      <c r="G22" s="234"/>
      <c r="H22" s="235"/>
      <c r="I22" s="236"/>
      <c r="J22" s="237"/>
      <c r="K22" s="238"/>
      <c r="L22" s="239"/>
      <c r="M22" s="233"/>
      <c r="N22" s="234"/>
      <c r="O22" s="240"/>
      <c r="P22" s="241"/>
      <c r="Q22" s="228"/>
      <c r="R22" s="237"/>
      <c r="S22" s="238"/>
      <c r="T22" s="239"/>
      <c r="U22" s="242"/>
      <c r="V22" s="240"/>
      <c r="W22" s="241"/>
    </row>
    <row r="23" spans="1:23" ht="14.25" hidden="1" thickBot="1">
      <c r="A23" s="228"/>
      <c r="B23" s="229"/>
      <c r="C23" s="230"/>
      <c r="D23" s="231"/>
      <c r="E23" s="232"/>
      <c r="F23" s="233"/>
      <c r="G23" s="234"/>
      <c r="H23" s="235"/>
      <c r="I23" s="236"/>
      <c r="J23" s="237"/>
      <c r="K23" s="238"/>
      <c r="L23" s="239"/>
      <c r="M23" s="233"/>
      <c r="N23" s="234"/>
      <c r="O23" s="240"/>
      <c r="P23" s="241"/>
      <c r="Q23" s="228"/>
      <c r="R23" s="237"/>
      <c r="S23" s="238"/>
      <c r="T23" s="239"/>
      <c r="U23" s="242"/>
      <c r="V23" s="240"/>
      <c r="W23" s="241"/>
    </row>
    <row r="24" spans="1:23" ht="14.25" hidden="1" thickBot="1">
      <c r="A24" s="228"/>
      <c r="B24" s="229"/>
      <c r="C24" s="230"/>
      <c r="D24" s="231"/>
      <c r="E24" s="232"/>
      <c r="F24" s="233"/>
      <c r="G24" s="234"/>
      <c r="H24" s="235"/>
      <c r="I24" s="236"/>
      <c r="J24" s="237"/>
      <c r="K24" s="238"/>
      <c r="L24" s="239"/>
      <c r="M24" s="233"/>
      <c r="N24" s="234"/>
      <c r="O24" s="240"/>
      <c r="P24" s="241"/>
      <c r="Q24" s="228"/>
      <c r="R24" s="237"/>
      <c r="S24" s="238"/>
      <c r="T24" s="239"/>
      <c r="U24" s="242"/>
      <c r="V24" s="240"/>
      <c r="W24" s="241"/>
    </row>
    <row r="25" spans="1:23" ht="14.25" hidden="1" thickBot="1">
      <c r="A25" s="228"/>
      <c r="B25" s="229"/>
      <c r="C25" s="230"/>
      <c r="D25" s="231"/>
      <c r="E25" s="232"/>
      <c r="F25" s="233"/>
      <c r="G25" s="234"/>
      <c r="H25" s="235"/>
      <c r="I25" s="236"/>
      <c r="J25" s="237"/>
      <c r="K25" s="238"/>
      <c r="L25" s="239"/>
      <c r="M25" s="233"/>
      <c r="N25" s="234"/>
      <c r="O25" s="240"/>
      <c r="P25" s="241"/>
      <c r="Q25" s="228"/>
      <c r="R25" s="237"/>
      <c r="S25" s="238"/>
      <c r="T25" s="239"/>
      <c r="U25" s="242"/>
      <c r="V25" s="240"/>
      <c r="W25" s="241"/>
    </row>
    <row r="26" spans="1:23" ht="14.25" hidden="1" thickBot="1">
      <c r="A26" s="228"/>
      <c r="B26" s="229"/>
      <c r="C26" s="230"/>
      <c r="D26" s="231"/>
      <c r="E26" s="232"/>
      <c r="F26" s="233"/>
      <c r="G26" s="234"/>
      <c r="H26" s="235"/>
      <c r="I26" s="236"/>
      <c r="J26" s="237"/>
      <c r="K26" s="238"/>
      <c r="L26" s="239"/>
      <c r="M26" s="233"/>
      <c r="N26" s="234"/>
      <c r="O26" s="240"/>
      <c r="P26" s="241"/>
      <c r="Q26" s="228"/>
      <c r="R26" s="237"/>
      <c r="S26" s="238"/>
      <c r="T26" s="239"/>
      <c r="U26" s="242"/>
      <c r="V26" s="240"/>
      <c r="W26" s="241"/>
    </row>
    <row r="27" spans="1:23" ht="14.25" hidden="1" thickBot="1">
      <c r="A27" s="228"/>
      <c r="B27" s="229"/>
      <c r="C27" s="230"/>
      <c r="D27" s="231"/>
      <c r="E27" s="232"/>
      <c r="F27" s="233"/>
      <c r="G27" s="234"/>
      <c r="H27" s="235"/>
      <c r="I27" s="236"/>
      <c r="J27" s="237"/>
      <c r="K27" s="238"/>
      <c r="L27" s="239"/>
      <c r="M27" s="233"/>
      <c r="N27" s="234"/>
      <c r="O27" s="240"/>
      <c r="P27" s="241"/>
      <c r="Q27" s="228"/>
      <c r="R27" s="237"/>
      <c r="S27" s="238"/>
      <c r="T27" s="239"/>
      <c r="U27" s="242"/>
      <c r="V27" s="240"/>
      <c r="W27" s="241"/>
    </row>
    <row r="28" spans="1:23" ht="14.25" hidden="1" thickBot="1">
      <c r="A28" s="228"/>
      <c r="B28" s="229"/>
      <c r="C28" s="230"/>
      <c r="D28" s="231"/>
      <c r="E28" s="232"/>
      <c r="F28" s="233"/>
      <c r="G28" s="234"/>
      <c r="H28" s="235"/>
      <c r="I28" s="236"/>
      <c r="J28" s="237"/>
      <c r="K28" s="238"/>
      <c r="L28" s="239"/>
      <c r="M28" s="233"/>
      <c r="N28" s="234"/>
      <c r="O28" s="240"/>
      <c r="P28" s="241"/>
      <c r="Q28" s="228"/>
      <c r="R28" s="237"/>
      <c r="S28" s="238"/>
      <c r="T28" s="239"/>
      <c r="U28" s="242"/>
      <c r="V28" s="240"/>
      <c r="W28" s="241"/>
    </row>
    <row r="29" spans="1:23" ht="14.25" hidden="1" thickBot="1">
      <c r="A29" s="228"/>
      <c r="B29" s="229"/>
      <c r="C29" s="230"/>
      <c r="D29" s="231"/>
      <c r="E29" s="232"/>
      <c r="F29" s="233"/>
      <c r="G29" s="234"/>
      <c r="H29" s="235"/>
      <c r="I29" s="236"/>
      <c r="J29" s="237"/>
      <c r="K29" s="238"/>
      <c r="L29" s="239"/>
      <c r="M29" s="233"/>
      <c r="N29" s="234"/>
      <c r="O29" s="240"/>
      <c r="P29" s="241"/>
      <c r="Q29" s="228"/>
      <c r="R29" s="237"/>
      <c r="S29" s="238"/>
      <c r="T29" s="239"/>
      <c r="U29" s="242"/>
      <c r="V29" s="240"/>
      <c r="W29" s="241"/>
    </row>
    <row r="30" spans="1:23" ht="14.25" hidden="1" thickBot="1">
      <c r="A30" s="228"/>
      <c r="B30" s="229"/>
      <c r="C30" s="230"/>
      <c r="D30" s="231"/>
      <c r="E30" s="232"/>
      <c r="F30" s="233"/>
      <c r="G30" s="234"/>
      <c r="H30" s="235"/>
      <c r="I30" s="236"/>
      <c r="J30" s="237"/>
      <c r="K30" s="238"/>
      <c r="L30" s="239"/>
      <c r="M30" s="233"/>
      <c r="N30" s="234"/>
      <c r="O30" s="240"/>
      <c r="P30" s="241"/>
      <c r="Q30" s="228"/>
      <c r="R30" s="237"/>
      <c r="S30" s="238"/>
      <c r="T30" s="239"/>
      <c r="U30" s="242"/>
      <c r="V30" s="240"/>
      <c r="W30" s="241"/>
    </row>
    <row r="31" spans="1:23" ht="14.25" hidden="1" thickBot="1">
      <c r="A31" s="228"/>
      <c r="B31" s="229"/>
      <c r="C31" s="230"/>
      <c r="D31" s="231"/>
      <c r="E31" s="232"/>
      <c r="F31" s="233"/>
      <c r="G31" s="234"/>
      <c r="H31" s="235"/>
      <c r="I31" s="236"/>
      <c r="J31" s="237"/>
      <c r="K31" s="238"/>
      <c r="L31" s="239"/>
      <c r="M31" s="233"/>
      <c r="N31" s="234"/>
      <c r="O31" s="240"/>
      <c r="P31" s="241"/>
      <c r="Q31" s="228"/>
      <c r="R31" s="237"/>
      <c r="S31" s="238"/>
      <c r="T31" s="239"/>
      <c r="U31" s="242"/>
      <c r="V31" s="240"/>
      <c r="W31" s="241"/>
    </row>
    <row r="32" spans="1:23" ht="14.25" hidden="1" thickBot="1">
      <c r="A32" s="228"/>
      <c r="B32" s="229"/>
      <c r="C32" s="230"/>
      <c r="D32" s="231"/>
      <c r="E32" s="232"/>
      <c r="F32" s="233"/>
      <c r="G32" s="234"/>
      <c r="H32" s="235"/>
      <c r="I32" s="236"/>
      <c r="J32" s="237"/>
      <c r="K32" s="238"/>
      <c r="L32" s="239"/>
      <c r="M32" s="233"/>
      <c r="N32" s="234"/>
      <c r="O32" s="240"/>
      <c r="P32" s="241"/>
      <c r="Q32" s="228"/>
      <c r="R32" s="237"/>
      <c r="S32" s="238"/>
      <c r="T32" s="239"/>
      <c r="U32" s="242"/>
      <c r="V32" s="240"/>
      <c r="W32" s="241"/>
    </row>
    <row r="33" spans="1:23" ht="14.25" hidden="1" thickBot="1">
      <c r="A33" s="228"/>
      <c r="B33" s="229"/>
      <c r="C33" s="230"/>
      <c r="D33" s="231"/>
      <c r="E33" s="232"/>
      <c r="F33" s="233"/>
      <c r="G33" s="234"/>
      <c r="H33" s="235"/>
      <c r="I33" s="236"/>
      <c r="J33" s="237"/>
      <c r="K33" s="238"/>
      <c r="L33" s="239"/>
      <c r="M33" s="233"/>
      <c r="N33" s="234"/>
      <c r="O33" s="240"/>
      <c r="P33" s="241"/>
      <c r="Q33" s="228"/>
      <c r="R33" s="237"/>
      <c r="S33" s="238"/>
      <c r="T33" s="239"/>
      <c r="U33" s="242"/>
      <c r="V33" s="240"/>
      <c r="W33" s="241"/>
    </row>
    <row r="34" spans="1:23" ht="14.25" hidden="1" thickBot="1">
      <c r="A34" s="228"/>
      <c r="B34" s="229"/>
      <c r="C34" s="230"/>
      <c r="D34" s="231"/>
      <c r="E34" s="232"/>
      <c r="F34" s="233"/>
      <c r="G34" s="234"/>
      <c r="H34" s="235"/>
      <c r="I34" s="236"/>
      <c r="J34" s="237"/>
      <c r="K34" s="238"/>
      <c r="L34" s="239"/>
      <c r="M34" s="233"/>
      <c r="N34" s="234"/>
      <c r="O34" s="240"/>
      <c r="P34" s="241"/>
      <c r="Q34" s="228"/>
      <c r="R34" s="237"/>
      <c r="S34" s="238"/>
      <c r="T34" s="239"/>
      <c r="U34" s="242"/>
      <c r="V34" s="240"/>
      <c r="W34" s="241"/>
    </row>
    <row r="35" spans="1:23" ht="14.25" hidden="1" thickBot="1">
      <c r="A35" s="228"/>
      <c r="B35" s="229"/>
      <c r="C35" s="230"/>
      <c r="D35" s="231"/>
      <c r="E35" s="232"/>
      <c r="F35" s="233"/>
      <c r="G35" s="234"/>
      <c r="H35" s="235"/>
      <c r="I35" s="236"/>
      <c r="J35" s="237"/>
      <c r="K35" s="238"/>
      <c r="L35" s="239"/>
      <c r="M35" s="233"/>
      <c r="N35" s="234"/>
      <c r="O35" s="240"/>
      <c r="P35" s="241"/>
      <c r="Q35" s="228"/>
      <c r="R35" s="237"/>
      <c r="S35" s="238"/>
      <c r="T35" s="239"/>
      <c r="U35" s="242"/>
      <c r="V35" s="240"/>
      <c r="W35" s="241"/>
    </row>
    <row r="36" spans="1:23" ht="14.25" hidden="1" thickBot="1">
      <c r="A36" s="228"/>
      <c r="B36" s="229"/>
      <c r="C36" s="230"/>
      <c r="D36" s="231"/>
      <c r="E36" s="232"/>
      <c r="F36" s="233"/>
      <c r="G36" s="234"/>
      <c r="H36" s="235"/>
      <c r="I36" s="236"/>
      <c r="J36" s="237"/>
      <c r="K36" s="238"/>
      <c r="L36" s="239"/>
      <c r="M36" s="233"/>
      <c r="N36" s="234"/>
      <c r="O36" s="240"/>
      <c r="P36" s="241"/>
      <c r="Q36" s="228"/>
      <c r="R36" s="237"/>
      <c r="S36" s="238"/>
      <c r="T36" s="239"/>
      <c r="U36" s="242"/>
      <c r="V36" s="240"/>
      <c r="W36" s="241"/>
    </row>
    <row r="37" spans="1:23" ht="14.25" hidden="1" thickBot="1">
      <c r="A37" s="228"/>
      <c r="B37" s="229"/>
      <c r="C37" s="230"/>
      <c r="D37" s="231"/>
      <c r="E37" s="232"/>
      <c r="F37" s="233"/>
      <c r="G37" s="234"/>
      <c r="H37" s="235"/>
      <c r="I37" s="236"/>
      <c r="J37" s="237"/>
      <c r="K37" s="238"/>
      <c r="L37" s="239"/>
      <c r="M37" s="233"/>
      <c r="N37" s="234"/>
      <c r="O37" s="240"/>
      <c r="P37" s="241"/>
      <c r="Q37" s="228"/>
      <c r="R37" s="237"/>
      <c r="S37" s="238"/>
      <c r="T37" s="239"/>
      <c r="U37" s="242"/>
      <c r="V37" s="240"/>
      <c r="W37" s="241"/>
    </row>
    <row r="38" spans="1:23" ht="14.25" hidden="1" thickBot="1">
      <c r="A38" s="228"/>
      <c r="B38" s="229"/>
      <c r="C38" s="230"/>
      <c r="D38" s="231"/>
      <c r="E38" s="232"/>
      <c r="F38" s="233"/>
      <c r="G38" s="234"/>
      <c r="H38" s="235"/>
      <c r="I38" s="236"/>
      <c r="J38" s="237"/>
      <c r="K38" s="238"/>
      <c r="L38" s="239"/>
      <c r="M38" s="233"/>
      <c r="N38" s="234"/>
      <c r="O38" s="240"/>
      <c r="P38" s="241"/>
      <c r="Q38" s="228"/>
      <c r="R38" s="237"/>
      <c r="S38" s="238"/>
      <c r="T38" s="239"/>
      <c r="U38" s="242"/>
      <c r="V38" s="240"/>
      <c r="W38" s="241"/>
    </row>
    <row r="39" spans="1:23" ht="14.25" hidden="1" thickBot="1">
      <c r="A39" s="228"/>
      <c r="B39" s="229"/>
      <c r="C39" s="230"/>
      <c r="D39" s="231"/>
      <c r="E39" s="232"/>
      <c r="F39" s="233"/>
      <c r="G39" s="234"/>
      <c r="H39" s="235"/>
      <c r="I39" s="236"/>
      <c r="J39" s="237"/>
      <c r="K39" s="238"/>
      <c r="L39" s="239"/>
      <c r="M39" s="233"/>
      <c r="N39" s="234"/>
      <c r="O39" s="240"/>
      <c r="P39" s="241"/>
      <c r="Q39" s="228"/>
      <c r="R39" s="237"/>
      <c r="S39" s="238"/>
      <c r="T39" s="239"/>
      <c r="U39" s="242"/>
      <c r="V39" s="240"/>
      <c r="W39" s="241"/>
    </row>
    <row r="40" spans="1:23" ht="14.25" hidden="1" thickBot="1">
      <c r="A40" s="228"/>
      <c r="B40" s="229"/>
      <c r="C40" s="230"/>
      <c r="D40" s="231"/>
      <c r="E40" s="232"/>
      <c r="F40" s="233"/>
      <c r="G40" s="234"/>
      <c r="H40" s="235"/>
      <c r="I40" s="236"/>
      <c r="J40" s="237"/>
      <c r="K40" s="238"/>
      <c r="L40" s="239"/>
      <c r="M40" s="233"/>
      <c r="N40" s="234"/>
      <c r="O40" s="240"/>
      <c r="P40" s="241"/>
      <c r="Q40" s="228"/>
      <c r="R40" s="237"/>
      <c r="S40" s="238"/>
      <c r="T40" s="239"/>
      <c r="U40" s="242"/>
      <c r="V40" s="240"/>
      <c r="W40" s="241"/>
    </row>
    <row r="41" spans="1:23" ht="14.25" hidden="1" thickBot="1">
      <c r="A41" s="228"/>
      <c r="B41" s="229"/>
      <c r="C41" s="230"/>
      <c r="D41" s="231"/>
      <c r="E41" s="232"/>
      <c r="F41" s="233"/>
      <c r="G41" s="234"/>
      <c r="H41" s="235"/>
      <c r="I41" s="236"/>
      <c r="J41" s="237"/>
      <c r="K41" s="238"/>
      <c r="L41" s="239"/>
      <c r="M41" s="233"/>
      <c r="N41" s="234"/>
      <c r="O41" s="240"/>
      <c r="P41" s="241"/>
      <c r="Q41" s="228"/>
      <c r="R41" s="237"/>
      <c r="S41" s="238"/>
      <c r="T41" s="239"/>
      <c r="U41" s="242"/>
      <c r="V41" s="240"/>
      <c r="W41" s="241"/>
    </row>
    <row r="42" spans="1:23" ht="14.25" hidden="1" thickBot="1">
      <c r="A42" s="228"/>
      <c r="B42" s="229"/>
      <c r="C42" s="230"/>
      <c r="D42" s="231"/>
      <c r="E42" s="232"/>
      <c r="F42" s="233"/>
      <c r="G42" s="234"/>
      <c r="H42" s="235"/>
      <c r="I42" s="236"/>
      <c r="J42" s="237"/>
      <c r="K42" s="238"/>
      <c r="L42" s="239"/>
      <c r="M42" s="233"/>
      <c r="N42" s="234"/>
      <c r="O42" s="240"/>
      <c r="P42" s="241"/>
      <c r="Q42" s="228"/>
      <c r="R42" s="237"/>
      <c r="S42" s="238"/>
      <c r="T42" s="239"/>
      <c r="U42" s="242"/>
      <c r="V42" s="240"/>
      <c r="W42" s="241"/>
    </row>
    <row r="43" spans="1:23" ht="14.25" hidden="1" thickBot="1">
      <c r="A43" s="228"/>
      <c r="B43" s="229"/>
      <c r="C43" s="230"/>
      <c r="D43" s="231"/>
      <c r="E43" s="232"/>
      <c r="F43" s="233"/>
      <c r="G43" s="234"/>
      <c r="H43" s="235"/>
      <c r="I43" s="236"/>
      <c r="J43" s="237"/>
      <c r="K43" s="238"/>
      <c r="L43" s="239"/>
      <c r="M43" s="233"/>
      <c r="N43" s="234"/>
      <c r="O43" s="240"/>
      <c r="P43" s="241"/>
      <c r="Q43" s="228"/>
      <c r="R43" s="237"/>
      <c r="S43" s="238"/>
      <c r="T43" s="239"/>
      <c r="U43" s="242"/>
      <c r="V43" s="240"/>
      <c r="W43" s="241"/>
    </row>
    <row r="44" spans="1:23" ht="14.25" hidden="1" thickBot="1">
      <c r="A44" s="228"/>
      <c r="B44" s="229"/>
      <c r="C44" s="230"/>
      <c r="D44" s="231"/>
      <c r="E44" s="232"/>
      <c r="F44" s="233"/>
      <c r="G44" s="234"/>
      <c r="H44" s="235"/>
      <c r="I44" s="236"/>
      <c r="J44" s="237"/>
      <c r="K44" s="238"/>
      <c r="L44" s="239"/>
      <c r="M44" s="233"/>
      <c r="N44" s="234"/>
      <c r="O44" s="240"/>
      <c r="P44" s="241"/>
      <c r="Q44" s="228"/>
      <c r="R44" s="237"/>
      <c r="S44" s="238"/>
      <c r="T44" s="239"/>
      <c r="U44" s="242"/>
      <c r="V44" s="240"/>
      <c r="W44" s="241"/>
    </row>
    <row r="45" spans="1:23" ht="14.25" hidden="1" thickBot="1">
      <c r="A45" s="228"/>
      <c r="B45" s="229"/>
      <c r="C45" s="230"/>
      <c r="D45" s="231"/>
      <c r="E45" s="232"/>
      <c r="F45" s="233"/>
      <c r="G45" s="234"/>
      <c r="H45" s="235"/>
      <c r="I45" s="236"/>
      <c r="J45" s="237"/>
      <c r="K45" s="238"/>
      <c r="L45" s="239"/>
      <c r="M45" s="233"/>
      <c r="N45" s="234"/>
      <c r="O45" s="240"/>
      <c r="P45" s="241"/>
      <c r="Q45" s="228"/>
      <c r="R45" s="237"/>
      <c r="S45" s="238"/>
      <c r="T45" s="239"/>
      <c r="U45" s="242"/>
      <c r="V45" s="240"/>
      <c r="W45" s="241"/>
    </row>
    <row r="46" spans="1:23" ht="14.25" hidden="1" thickBot="1">
      <c r="A46" s="228"/>
      <c r="B46" s="229"/>
      <c r="C46" s="230"/>
      <c r="D46" s="231"/>
      <c r="E46" s="232"/>
      <c r="F46" s="233"/>
      <c r="G46" s="234"/>
      <c r="H46" s="235"/>
      <c r="I46" s="236"/>
      <c r="J46" s="237"/>
      <c r="K46" s="238"/>
      <c r="L46" s="239"/>
      <c r="M46" s="233"/>
      <c r="N46" s="234"/>
      <c r="O46" s="240"/>
      <c r="P46" s="241"/>
      <c r="Q46" s="228"/>
      <c r="R46" s="237"/>
      <c r="S46" s="238"/>
      <c r="T46" s="239"/>
      <c r="U46" s="242"/>
      <c r="V46" s="240"/>
      <c r="W46" s="241"/>
    </row>
    <row r="47" spans="1:23" ht="14.25" hidden="1" thickBot="1">
      <c r="A47" s="228"/>
      <c r="B47" s="229"/>
      <c r="C47" s="230"/>
      <c r="D47" s="231"/>
      <c r="E47" s="232"/>
      <c r="F47" s="233"/>
      <c r="G47" s="234"/>
      <c r="H47" s="235"/>
      <c r="I47" s="236"/>
      <c r="J47" s="237"/>
      <c r="K47" s="238"/>
      <c r="L47" s="239"/>
      <c r="M47" s="233"/>
      <c r="N47" s="234"/>
      <c r="O47" s="240"/>
      <c r="P47" s="241"/>
      <c r="Q47" s="228"/>
      <c r="R47" s="237"/>
      <c r="S47" s="238"/>
      <c r="T47" s="239"/>
      <c r="U47" s="242"/>
      <c r="V47" s="240"/>
      <c r="W47" s="241"/>
    </row>
    <row r="48" spans="1:23" ht="14.25" hidden="1" thickBot="1">
      <c r="A48" s="228"/>
      <c r="B48" s="229"/>
      <c r="C48" s="230"/>
      <c r="D48" s="231"/>
      <c r="E48" s="232"/>
      <c r="F48" s="233"/>
      <c r="G48" s="234"/>
      <c r="H48" s="235"/>
      <c r="I48" s="236"/>
      <c r="J48" s="237"/>
      <c r="K48" s="238"/>
      <c r="L48" s="239"/>
      <c r="M48" s="233"/>
      <c r="N48" s="234"/>
      <c r="O48" s="240"/>
      <c r="P48" s="241"/>
      <c r="Q48" s="228"/>
      <c r="R48" s="237"/>
      <c r="S48" s="238"/>
      <c r="T48" s="239"/>
      <c r="U48" s="242"/>
      <c r="V48" s="240"/>
      <c r="W48" s="241"/>
    </row>
    <row r="49" spans="1:23" ht="14.25" hidden="1" thickBot="1">
      <c r="A49" s="228"/>
      <c r="B49" s="229"/>
      <c r="C49" s="230"/>
      <c r="D49" s="231"/>
      <c r="E49" s="232"/>
      <c r="F49" s="233"/>
      <c r="G49" s="234"/>
      <c r="H49" s="235"/>
      <c r="I49" s="236"/>
      <c r="J49" s="237"/>
      <c r="K49" s="238"/>
      <c r="L49" s="239"/>
      <c r="M49" s="233"/>
      <c r="N49" s="234"/>
      <c r="O49" s="240"/>
      <c r="P49" s="241"/>
      <c r="Q49" s="228"/>
      <c r="R49" s="237"/>
      <c r="S49" s="238"/>
      <c r="T49" s="239"/>
      <c r="U49" s="242"/>
      <c r="V49" s="240"/>
      <c r="W49" s="241"/>
    </row>
    <row r="50" spans="1:23" ht="14.25" hidden="1" thickBot="1">
      <c r="A50" s="228"/>
      <c r="B50" s="229"/>
      <c r="C50" s="230"/>
      <c r="D50" s="231"/>
      <c r="E50" s="232"/>
      <c r="F50" s="233"/>
      <c r="G50" s="234"/>
      <c r="H50" s="235"/>
      <c r="I50" s="236"/>
      <c r="J50" s="237"/>
      <c r="K50" s="238"/>
      <c r="L50" s="239"/>
      <c r="M50" s="233"/>
      <c r="N50" s="234"/>
      <c r="O50" s="240"/>
      <c r="P50" s="241"/>
      <c r="Q50" s="228"/>
      <c r="R50" s="237"/>
      <c r="S50" s="238"/>
      <c r="T50" s="239"/>
      <c r="U50" s="242"/>
      <c r="V50" s="240"/>
      <c r="W50" s="241"/>
    </row>
    <row r="51" spans="1:23" ht="14.25" hidden="1" thickBot="1">
      <c r="A51" s="228"/>
      <c r="B51" s="229"/>
      <c r="C51" s="230"/>
      <c r="D51" s="231"/>
      <c r="E51" s="232"/>
      <c r="F51" s="233"/>
      <c r="G51" s="234"/>
      <c r="H51" s="235"/>
      <c r="I51" s="236"/>
      <c r="J51" s="237"/>
      <c r="K51" s="238"/>
      <c r="L51" s="239"/>
      <c r="M51" s="233"/>
      <c r="N51" s="234"/>
      <c r="O51" s="240"/>
      <c r="P51" s="241"/>
      <c r="Q51" s="228"/>
      <c r="R51" s="237"/>
      <c r="S51" s="238"/>
      <c r="T51" s="239"/>
      <c r="U51" s="242"/>
      <c r="V51" s="240"/>
      <c r="W51" s="241"/>
    </row>
    <row r="52" spans="1:23" ht="14.25" thickBot="1">
      <c r="A52" s="228"/>
      <c r="B52" s="229"/>
      <c r="C52" s="230"/>
      <c r="D52" s="231"/>
      <c r="E52" s="232"/>
      <c r="F52" s="233"/>
      <c r="G52" s="234"/>
      <c r="H52" s="235"/>
      <c r="I52" s="236"/>
      <c r="J52" s="237"/>
      <c r="K52" s="238"/>
      <c r="L52" s="239"/>
      <c r="M52" s="233"/>
      <c r="N52" s="234"/>
      <c r="O52" s="240"/>
      <c r="P52" s="241"/>
      <c r="Q52" s="228"/>
      <c r="R52" s="237"/>
      <c r="S52" s="238"/>
      <c r="T52" s="239"/>
      <c r="U52" s="242"/>
      <c r="V52" s="240"/>
      <c r="W52" s="241"/>
    </row>
    <row r="54" spans="1:23" ht="14.25" thickBot="1">
      <c r="A54" s="474">
        <v>2007</v>
      </c>
      <c r="B54" s="475"/>
      <c r="C54" s="475"/>
      <c r="D54" s="475"/>
      <c r="E54" s="475"/>
      <c r="F54" s="246">
        <f>SUM(F1:F53)</f>
        <v>349</v>
      </c>
      <c r="G54" s="247">
        <f>SUM(G1:G53)</f>
        <v>45396831.49</v>
      </c>
      <c r="H54" s="248">
        <f>SUM(H1:H53)</f>
        <v>6034570</v>
      </c>
      <c r="I54" s="245"/>
      <c r="J54" s="249"/>
      <c r="K54" s="250"/>
      <c r="L54" s="251"/>
      <c r="M54" s="246"/>
      <c r="N54" s="247"/>
      <c r="O54" s="248"/>
      <c r="P54" s="252"/>
      <c r="Q54" s="244"/>
      <c r="R54" s="249">
        <f>SUM(R1:R53)</f>
        <v>29763565.1</v>
      </c>
      <c r="S54" s="250">
        <f>SUM(S1:S53)</f>
        <v>4179023</v>
      </c>
      <c r="T54" s="251">
        <f>SUM(S54/H54)</f>
        <v>0.6925137996576393</v>
      </c>
      <c r="U54" s="253"/>
      <c r="V54" s="248"/>
      <c r="W54" s="252"/>
    </row>
  </sheetData>
  <mergeCells count="1">
    <mergeCell ref="A54:E54"/>
  </mergeCells>
  <printOptions/>
  <pageMargins left="0.75" right="0.75" top="1" bottom="1" header="0.5" footer="0.5"/>
  <pageSetup orientation="portrait" paperSize="9"/>
  <ignoredErrors>
    <ignoredError sqref="B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cp:lastModifiedBy>
  <cp:lastPrinted>2006-11-24T17:27:54Z</cp:lastPrinted>
  <dcterms:created xsi:type="dcterms:W3CDTF">2006-03-17T12:24:26Z</dcterms:created>
  <dcterms:modified xsi:type="dcterms:W3CDTF">2007-02-09T21:08:53Z</dcterms:modified>
  <cp:category/>
  <cp:version/>
  <cp:contentType/>
  <cp:contentStatus/>
</cp:coreProperties>
</file>