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Haftalık'!$A$1:$L$39</definedName>
  </definedNames>
  <calcPr fullCalcOnLoad="1"/>
</workbook>
</file>

<file path=xl/sharedStrings.xml><?xml version="1.0" encoding="utf-8"?>
<sst xmlns="http://schemas.openxmlformats.org/spreadsheetml/2006/main" count="110" uniqueCount="70">
  <si>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</si>
  <si>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</si>
  <si>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</si>
  <si>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</si>
  <si>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</si>
  <si>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</si>
  <si>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</si>
  <si>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</si>
  <si>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</si>
  <si>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</si>
  <si>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</si>
  <si>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</si>
  <si>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</si>
  <si>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ARAF</t>
  </si>
  <si>
    <t>BİR FİLM - DFGS</t>
  </si>
  <si>
    <t>HOWL'S MOVING CASTLE</t>
  </si>
  <si>
    <t>WILD BUNCH</t>
  </si>
  <si>
    <t>PATHE</t>
  </si>
  <si>
    <t>WIND THAT SHAKES THE BARLEY, THE</t>
  </si>
  <si>
    <t>CINEMEDYA</t>
  </si>
  <si>
    <t>TEXAS CHAINSAW MASSACRE, THE</t>
  </si>
  <si>
    <t>TRAMVAY</t>
  </si>
  <si>
    <t>C.R.A.Z.Y.</t>
  </si>
  <si>
    <t>ITALIAN FOR BEGINNERS</t>
  </si>
  <si>
    <t>OLGUN ARUN</t>
  </si>
  <si>
    <t>FILMS DIST.</t>
  </si>
  <si>
    <t>BIN JIP (3 Iron)</t>
  </si>
  <si>
    <t>CINECLICK ASIA</t>
  </si>
  <si>
    <t>TRUST FILMS</t>
  </si>
  <si>
    <t>BU HAFTA</t>
  </si>
  <si>
    <t>-</t>
  </si>
  <si>
    <t>2006 / 48</t>
  </si>
  <si>
    <t>24 - 30 Kasım 2006</t>
  </si>
  <si>
    <t>ORT. BİLET (YTL)</t>
  </si>
  <si>
    <t>SALON BAŞINA SEY.</t>
  </si>
  <si>
    <t>+</t>
  </si>
  <si>
    <t>BACKSTAGE</t>
  </si>
  <si>
    <t>MON ANGE</t>
  </si>
  <si>
    <t>MK2</t>
  </si>
  <si>
    <t>THUMBSUCKER</t>
  </si>
  <si>
    <t>AVŞAR - TMC</t>
  </si>
  <si>
    <t>LE GRAND VOYAGE</t>
  </si>
  <si>
    <t>ASKD - PYRAMIDE</t>
  </si>
  <si>
    <t>JOYEUX NOEL</t>
  </si>
  <si>
    <t>EVIL</t>
  </si>
  <si>
    <t>NORDISK</t>
  </si>
  <si>
    <t>WILBUR WANTS TO KILL HIMSELF</t>
  </si>
  <si>
    <t>RABBIT ON THE MOON</t>
  </si>
  <si>
    <t>LIMON - CAPITOL</t>
  </si>
  <si>
    <t>VA, VIE &amp; DEVIENS (LIVE &amp; BECOME)</t>
  </si>
  <si>
    <t>BİR F. - ERMAN F.</t>
  </si>
  <si>
    <t>LES REVENANTS</t>
  </si>
  <si>
    <t>ENDURING LOVE</t>
  </si>
  <si>
    <t>SILVER CITY</t>
  </si>
  <si>
    <t>NONSTOP SALES</t>
  </si>
  <si>
    <t>CRYING OUT LOVE
IN THE CENTER OF THE WORLD</t>
  </si>
  <si>
    <t>TOHO</t>
  </si>
  <si>
    <t>L'ITALIANO</t>
  </si>
  <si>
    <t>EL ABRAZO PARTIDO</t>
  </si>
  <si>
    <t>PI - BAVARIA</t>
  </si>
  <si>
    <t>JEUX D'ENFANTS</t>
  </si>
  <si>
    <t>THESIS</t>
  </si>
  <si>
    <t>SOGEPAQ</t>
  </si>
  <si>
    <t>LILYA 4-EVER</t>
  </si>
  <si>
    <t>IM JULI</t>
  </si>
  <si>
    <t>DONNIE DARKO</t>
  </si>
  <si>
    <t>PANDORA</t>
  </si>
  <si>
    <t>13 / TZAMETI</t>
  </si>
  <si>
    <t>KNALLHART - TOUGH ENOUGH</t>
  </si>
  <si>
    <t>MARS PROD.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</si>
</sst>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1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13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176" fontId="6" fillId="5" borderId="1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4" fontId="6" fillId="5" borderId="16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176" fontId="6" fillId="5" borderId="18" xfId="0" applyNumberFormat="1" applyFont="1" applyFill="1" applyBorder="1" applyAlignment="1">
      <alignment horizontal="right" vertical="center"/>
    </xf>
    <xf numFmtId="4" fontId="6" fillId="5" borderId="19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 wrapText="1"/>
    </xf>
    <xf numFmtId="3" fontId="6" fillId="6" borderId="2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176" fontId="6" fillId="5" borderId="5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4" fontId="6" fillId="5" borderId="12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17824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24350" y="790575"/>
          <a:ext cx="58483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344025" y="790575"/>
          <a:ext cx="29337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1676400</xdr:colOff>
      <xdr:row>3</xdr:row>
      <xdr:rowOff>219075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2400"/>
          <a:ext cx="1009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10" bestFit="1" customWidth="1"/>
    <col min="2" max="2" width="55.140625" style="11" customWidth="1"/>
    <col min="3" max="3" width="12.57421875" style="11" bestFit="1" customWidth="1"/>
    <col min="4" max="4" width="22.140625" style="11" bestFit="1" customWidth="1"/>
    <col min="5" max="5" width="10.7109375" style="11" bestFit="1" customWidth="1"/>
    <col min="6" max="6" width="1.28515625" style="11" customWidth="1"/>
    <col min="7" max="8" width="9.421875" style="11" bestFit="1" customWidth="1"/>
    <col min="9" max="9" width="13.28125" style="11" bestFit="1" customWidth="1"/>
    <col min="10" max="10" width="16.00390625" style="11" bestFit="1" customWidth="1"/>
    <col min="11" max="11" width="14.140625" style="11" customWidth="1"/>
    <col min="12" max="12" width="14.421875" style="11" customWidth="1"/>
    <col min="13" max="13" width="1.28515625" style="11" customWidth="1"/>
    <col min="14" max="14" width="13.28125" style="12" bestFit="1" customWidth="1"/>
    <col min="15" max="15" width="15.7109375" style="12" customWidth="1"/>
    <col min="16" max="16" width="10.57421875" style="12" customWidth="1"/>
    <col min="17" max="17" width="5.28125" style="74" customWidth="1"/>
    <col min="18" max="16384" width="9.140625" style="12" customWidth="1"/>
  </cols>
  <sheetData>
    <row r="1" spans="1:13" ht="8.25" customHeight="1" thickBo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6" ht="18" customHeight="1">
      <c r="A2" s="22"/>
      <c r="B2" s="39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54"/>
      <c r="N2" s="14" t="s">
        <v>9</v>
      </c>
      <c r="O2" s="42" t="s">
        <v>31</v>
      </c>
      <c r="P2" s="40"/>
    </row>
    <row r="3" spans="1:16" ht="18" customHeight="1">
      <c r="A3" s="2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54"/>
      <c r="N3" s="43" t="s">
        <v>32</v>
      </c>
      <c r="O3" s="41"/>
      <c r="P3" s="44"/>
    </row>
    <row r="4" spans="1:16" ht="18" customHeight="1" thickBot="1">
      <c r="A4" s="2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54"/>
      <c r="N4" s="45" t="s">
        <v>8</v>
      </c>
      <c r="O4" s="46" t="s">
        <v>11</v>
      </c>
      <c r="P4" s="38"/>
    </row>
    <row r="5" spans="1:13" ht="5.25" customHeight="1" thickBot="1">
      <c r="A5" s="22"/>
      <c r="B5" s="23"/>
      <c r="C5" s="28"/>
      <c r="D5" s="28"/>
      <c r="E5" s="28"/>
      <c r="F5" s="28"/>
      <c r="G5" s="28"/>
      <c r="H5" s="28"/>
      <c r="I5" s="28"/>
      <c r="J5" s="29"/>
      <c r="K5" s="30"/>
      <c r="L5" s="31"/>
      <c r="M5" s="31"/>
    </row>
    <row r="6" spans="1:16" ht="17.25" customHeight="1" thickBot="1">
      <c r="A6" s="22"/>
      <c r="B6" s="21"/>
      <c r="C6" s="21"/>
      <c r="D6" s="21"/>
      <c r="E6" s="21"/>
      <c r="F6" s="21"/>
      <c r="G6" s="35" t="s">
        <v>29</v>
      </c>
      <c r="H6" s="36"/>
      <c r="I6" s="36"/>
      <c r="J6" s="36"/>
      <c r="K6" s="36"/>
      <c r="L6" s="37"/>
      <c r="M6" s="69"/>
      <c r="N6" s="35" t="s">
        <v>6</v>
      </c>
      <c r="O6" s="55"/>
      <c r="P6" s="56"/>
    </row>
    <row r="7" spans="1:17" s="13" customFormat="1" ht="57.75" customHeight="1" thickBot="1">
      <c r="A7" s="24"/>
      <c r="B7" s="6" t="s">
        <v>0</v>
      </c>
      <c r="C7" s="8" t="s">
        <v>2</v>
      </c>
      <c r="D7" s="7" t="s">
        <v>1</v>
      </c>
      <c r="E7" s="8" t="s">
        <v>12</v>
      </c>
      <c r="F7" s="72"/>
      <c r="G7" s="57" t="s">
        <v>4</v>
      </c>
      <c r="H7" s="58" t="s">
        <v>3</v>
      </c>
      <c r="I7" s="33" t="s">
        <v>5</v>
      </c>
      <c r="J7" s="33" t="s">
        <v>10</v>
      </c>
      <c r="K7" s="33" t="s">
        <v>34</v>
      </c>
      <c r="L7" s="34" t="s">
        <v>33</v>
      </c>
      <c r="M7" s="70"/>
      <c r="N7" s="32" t="s">
        <v>5</v>
      </c>
      <c r="O7" s="33" t="s">
        <v>10</v>
      </c>
      <c r="P7" s="34" t="s">
        <v>33</v>
      </c>
      <c r="Q7" s="74"/>
    </row>
    <row r="8" spans="1:17" s="76" customFormat="1" ht="24.75" customHeight="1">
      <c r="A8" s="25">
        <v>1</v>
      </c>
      <c r="B8" s="1" t="s">
        <v>49</v>
      </c>
      <c r="C8" s="3">
        <v>38639</v>
      </c>
      <c r="D8" s="2" t="s">
        <v>50</v>
      </c>
      <c r="E8" s="4">
        <v>7</v>
      </c>
      <c r="F8" s="73"/>
      <c r="G8" s="59">
        <v>3</v>
      </c>
      <c r="H8" s="4">
        <v>23</v>
      </c>
      <c r="I8" s="5">
        <v>1009</v>
      </c>
      <c r="J8" s="9">
        <v>3027</v>
      </c>
      <c r="K8" s="53">
        <f>I8/G8</f>
        <v>336.3333333333333</v>
      </c>
      <c r="L8" s="60">
        <f>J8/I8</f>
        <v>3</v>
      </c>
      <c r="M8" s="71"/>
      <c r="N8" s="67">
        <f>3714+3514+2496+1322+559+1053+41+881+30+141+105+319+673+69+503+22+124+79+238+256+33+317+1009</f>
        <v>17498</v>
      </c>
      <c r="O8" s="9">
        <f>28963.5+28618+20693+7789.5+4183+3517+224+3660+150+741+315+957+2019+413+1509+66+992+237+714+844+264+951+3027</f>
        <v>110847</v>
      </c>
      <c r="P8" s="60">
        <f>O8/N8</f>
        <v>6.33483826723054</v>
      </c>
      <c r="Q8" s="75" t="s">
        <v>35</v>
      </c>
    </row>
    <row r="9" spans="1:17" s="26" customFormat="1" ht="24.75" customHeight="1">
      <c r="A9" s="25">
        <v>2</v>
      </c>
      <c r="B9" s="1" t="s">
        <v>13</v>
      </c>
      <c r="C9" s="3">
        <v>38996</v>
      </c>
      <c r="D9" s="2" t="s">
        <v>14</v>
      </c>
      <c r="E9" s="4">
        <v>103</v>
      </c>
      <c r="F9" s="73"/>
      <c r="G9" s="59">
        <v>7</v>
      </c>
      <c r="H9" s="4">
        <v>8</v>
      </c>
      <c r="I9" s="5">
        <v>942</v>
      </c>
      <c r="J9" s="9">
        <v>4733</v>
      </c>
      <c r="K9" s="53">
        <f>I9/G9</f>
        <v>134.57142857142858</v>
      </c>
      <c r="L9" s="60">
        <f>J9/I9</f>
        <v>5.024416135881104</v>
      </c>
      <c r="M9" s="71"/>
      <c r="N9" s="67">
        <f>50571+28658+22282+8309+5945+4268+2309+942</f>
        <v>123284</v>
      </c>
      <c r="O9" s="9">
        <f>354012+203593.5+132699+47076+28397.5+21570+11624+4733</f>
        <v>803705</v>
      </c>
      <c r="P9" s="60">
        <f aca="true" t="shared" si="0" ref="P9:P36">O9/N9</f>
        <v>6.519134680899387</v>
      </c>
      <c r="Q9" s="75" t="s">
        <v>35</v>
      </c>
    </row>
    <row r="10" spans="1:17" s="26" customFormat="1" ht="24.75" customHeight="1">
      <c r="A10" s="25">
        <v>3</v>
      </c>
      <c r="B10" s="1" t="s">
        <v>18</v>
      </c>
      <c r="C10" s="3">
        <v>39010</v>
      </c>
      <c r="D10" s="2" t="s">
        <v>17</v>
      </c>
      <c r="E10" s="4">
        <v>4</v>
      </c>
      <c r="F10" s="73"/>
      <c r="G10" s="59">
        <v>6</v>
      </c>
      <c r="H10" s="4">
        <v>4</v>
      </c>
      <c r="I10" s="5">
        <v>699</v>
      </c>
      <c r="J10" s="9">
        <v>2241.5</v>
      </c>
      <c r="K10" s="53">
        <f>I10/G10</f>
        <v>116.5</v>
      </c>
      <c r="L10" s="60">
        <f>J10/I10</f>
        <v>3.2067238912732474</v>
      </c>
      <c r="M10" s="71"/>
      <c r="N10" s="67">
        <f>3239+2157+1429+524+500+1570+699</f>
        <v>10118</v>
      </c>
      <c r="O10" s="9">
        <f>29917+16679+11125+3878+2666+4428+2241.5</f>
        <v>70934.5</v>
      </c>
      <c r="P10" s="60">
        <f t="shared" si="0"/>
        <v>7.010723463135007</v>
      </c>
      <c r="Q10" s="75" t="s">
        <v>35</v>
      </c>
    </row>
    <row r="11" spans="1:17" s="26" customFormat="1" ht="24.75" customHeight="1">
      <c r="A11" s="25">
        <v>4</v>
      </c>
      <c r="B11" s="1" t="s">
        <v>68</v>
      </c>
      <c r="C11" s="3">
        <v>39045</v>
      </c>
      <c r="D11" s="2" t="s">
        <v>69</v>
      </c>
      <c r="E11" s="4">
        <v>4</v>
      </c>
      <c r="F11" s="73"/>
      <c r="G11" s="59">
        <v>4</v>
      </c>
      <c r="H11" s="4">
        <v>1</v>
      </c>
      <c r="I11" s="5">
        <v>484</v>
      </c>
      <c r="J11" s="9">
        <v>4508</v>
      </c>
      <c r="K11" s="53">
        <f>I11/G11</f>
        <v>121</v>
      </c>
      <c r="L11" s="60">
        <f>J11/I11</f>
        <v>9.314049586776859</v>
      </c>
      <c r="M11" s="71"/>
      <c r="N11" s="67">
        <f>484</f>
        <v>484</v>
      </c>
      <c r="O11" s="9">
        <f>4508</f>
        <v>4508</v>
      </c>
      <c r="P11" s="60">
        <f>O11/N11</f>
        <v>9.314049586776859</v>
      </c>
      <c r="Q11" s="75" t="s">
        <v>35</v>
      </c>
    </row>
    <row r="12" spans="1:17" s="26" customFormat="1" ht="24.75" customHeight="1">
      <c r="A12" s="25">
        <v>5</v>
      </c>
      <c r="B12" s="1" t="s">
        <v>15</v>
      </c>
      <c r="C12" s="3">
        <v>38877</v>
      </c>
      <c r="D12" s="2" t="s">
        <v>16</v>
      </c>
      <c r="E12" s="4">
        <v>64</v>
      </c>
      <c r="F12" s="73"/>
      <c r="G12" s="59">
        <v>2</v>
      </c>
      <c r="H12" s="4">
        <v>24</v>
      </c>
      <c r="I12" s="5">
        <v>228</v>
      </c>
      <c r="J12" s="9">
        <v>709</v>
      </c>
      <c r="K12" s="53">
        <f>I12/G12</f>
        <v>114</v>
      </c>
      <c r="L12" s="60">
        <f>J12/I12</f>
        <v>3.1096491228070176</v>
      </c>
      <c r="M12" s="71"/>
      <c r="N12" s="67">
        <f>14426+9567+3182+3017+2315+1729+923+616+640+472+129+528+43+81+47+20+45+1220+34+161+225+329+168+228</f>
        <v>40145</v>
      </c>
      <c r="O12" s="9">
        <f>94169.5+63426.5+19841+16453.5+12618.5+9991+4741+3516+3356+2065.5+678+1792.5+320+299+194+83+215+3730+139+814+787+999+514+709</f>
        <v>241452</v>
      </c>
      <c r="P12" s="60">
        <f>O12/N12</f>
        <v>6.014497446755511</v>
      </c>
      <c r="Q12" s="75" t="s">
        <v>35</v>
      </c>
    </row>
    <row r="13" spans="1:17" s="26" customFormat="1" ht="24.75" customHeight="1">
      <c r="A13" s="25">
        <v>6</v>
      </c>
      <c r="B13" s="27" t="s">
        <v>20</v>
      </c>
      <c r="C13" s="3">
        <v>38891</v>
      </c>
      <c r="D13" s="2" t="s">
        <v>19</v>
      </c>
      <c r="E13" s="4">
        <v>45</v>
      </c>
      <c r="F13" s="73"/>
      <c r="G13" s="85">
        <v>2</v>
      </c>
      <c r="H13" s="78">
        <v>21</v>
      </c>
      <c r="I13" s="79">
        <v>99</v>
      </c>
      <c r="J13" s="80">
        <v>267</v>
      </c>
      <c r="K13" s="81">
        <f>I13/G13</f>
        <v>49.5</v>
      </c>
      <c r="L13" s="83">
        <f>J13/I13</f>
        <v>2.696969696969697</v>
      </c>
      <c r="M13" s="84"/>
      <c r="N13" s="82">
        <f>20153+14417+13506+7951+5799+4754+2261+1861+1328+521+366+427+432+364+123+456+898+122+20+72+99</f>
        <v>75930</v>
      </c>
      <c r="O13" s="80">
        <f>154658.5+107804+83531.5+43902+30665+24700+11888+9449+6526+2252.5+1787+2024+2034.5+1406.5+492+2062+3544.5+666+46+168+267</f>
        <v>489874</v>
      </c>
      <c r="P13" s="83">
        <f>O13/N13</f>
        <v>6.451652838140393</v>
      </c>
      <c r="Q13" s="75" t="s">
        <v>35</v>
      </c>
    </row>
    <row r="14" spans="1:17" s="26" customFormat="1" ht="24.75" customHeight="1">
      <c r="A14" s="25">
        <v>7</v>
      </c>
      <c r="B14" s="1" t="s">
        <v>67</v>
      </c>
      <c r="C14" s="3">
        <v>38996</v>
      </c>
      <c r="D14" s="2" t="s">
        <v>38</v>
      </c>
      <c r="E14" s="4">
        <v>3</v>
      </c>
      <c r="F14" s="73"/>
      <c r="G14" s="59">
        <v>2</v>
      </c>
      <c r="H14" s="4">
        <v>7</v>
      </c>
      <c r="I14" s="5">
        <v>86</v>
      </c>
      <c r="J14" s="9">
        <v>291</v>
      </c>
      <c r="K14" s="53">
        <f>I14/G14</f>
        <v>43</v>
      </c>
      <c r="L14" s="60">
        <f>J14/I14</f>
        <v>3.383720930232558</v>
      </c>
      <c r="M14" s="71"/>
      <c r="N14" s="67">
        <f>2246+865+798+56+383+419+554+86</f>
        <v>5407</v>
      </c>
      <c r="O14" s="9">
        <f>10863.75+6916+6396+452+3034+1816+1662+291</f>
        <v>31430.75</v>
      </c>
      <c r="P14" s="60">
        <f>O14/N14</f>
        <v>5.812973922692805</v>
      </c>
      <c r="Q14" s="75" t="s">
        <v>35</v>
      </c>
    </row>
    <row r="15" spans="1:17" s="26" customFormat="1" ht="24.75" customHeight="1">
      <c r="A15" s="25">
        <v>8</v>
      </c>
      <c r="B15" s="1" t="s">
        <v>21</v>
      </c>
      <c r="C15" s="3">
        <v>38926</v>
      </c>
      <c r="D15" s="2" t="s">
        <v>24</v>
      </c>
      <c r="E15" s="4">
        <v>14</v>
      </c>
      <c r="F15" s="73"/>
      <c r="G15" s="59">
        <v>1</v>
      </c>
      <c r="H15" s="4">
        <v>9</v>
      </c>
      <c r="I15" s="5">
        <v>59</v>
      </c>
      <c r="J15" s="9">
        <v>177</v>
      </c>
      <c r="K15" s="53">
        <f>I15/G15</f>
        <v>59</v>
      </c>
      <c r="L15" s="60">
        <f>J15/I15</f>
        <v>3</v>
      </c>
      <c r="M15" s="71"/>
      <c r="N15" s="67">
        <f>958+237+271+144+36+51+33+554+59</f>
        <v>2343</v>
      </c>
      <c r="O15" s="9">
        <f>7752+1550+1576.5+760.5+184+236+140+1662+177</f>
        <v>14038</v>
      </c>
      <c r="P15" s="60">
        <f t="shared" si="0"/>
        <v>5.991463935125907</v>
      </c>
      <c r="Q15" s="75" t="s">
        <v>35</v>
      </c>
    </row>
    <row r="16" spans="1:17" s="26" customFormat="1" ht="24.75" customHeight="1">
      <c r="A16" s="25">
        <v>9</v>
      </c>
      <c r="B16" s="1" t="s">
        <v>57</v>
      </c>
      <c r="C16" s="3">
        <v>38317</v>
      </c>
      <c r="D16" s="2">
        <v>38317</v>
      </c>
      <c r="E16" s="4">
        <v>3</v>
      </c>
      <c r="F16" s="73"/>
      <c r="G16" s="59">
        <v>1</v>
      </c>
      <c r="H16" s="4">
        <v>20</v>
      </c>
      <c r="I16" s="5">
        <v>59</v>
      </c>
      <c r="J16" s="9">
        <v>177</v>
      </c>
      <c r="K16" s="53">
        <f>I16/G16</f>
        <v>59</v>
      </c>
      <c r="L16" s="60">
        <f>J16/I16</f>
        <v>3</v>
      </c>
      <c r="M16" s="71"/>
      <c r="N16" s="67">
        <f>1647+940+607+20+713+104+414+35+13+83+130+22+39+37+65+67+187+22+182+59</f>
        <v>5386</v>
      </c>
      <c r="O16" s="9">
        <f>13213+6518+4250+94+4281+583.5+2533+187+73+290.5+455+110+176+205+352+356+675+106+866+177</f>
        <v>35501</v>
      </c>
      <c r="P16" s="60">
        <f t="shared" si="0"/>
        <v>6.591347939101374</v>
      </c>
      <c r="Q16" s="75" t="s">
        <v>35</v>
      </c>
    </row>
    <row r="17" spans="1:17" s="76" customFormat="1" ht="24.75" customHeight="1">
      <c r="A17" s="25">
        <v>10</v>
      </c>
      <c r="B17" s="1" t="s">
        <v>23</v>
      </c>
      <c r="C17" s="3">
        <v>37582</v>
      </c>
      <c r="D17" s="2" t="s">
        <v>28</v>
      </c>
      <c r="E17" s="4">
        <v>4</v>
      </c>
      <c r="F17" s="73"/>
      <c r="G17" s="59">
        <v>1</v>
      </c>
      <c r="H17" s="4">
        <v>43</v>
      </c>
      <c r="I17" s="5">
        <v>59</v>
      </c>
      <c r="J17" s="9">
        <v>177</v>
      </c>
      <c r="K17" s="53">
        <f>I17/G17</f>
        <v>59</v>
      </c>
      <c r="L17" s="60">
        <f>J17/I17</f>
        <v>3</v>
      </c>
      <c r="M17" s="71"/>
      <c r="N17" s="67">
        <f>24734+13+1017+158+158+59</f>
        <v>26139</v>
      </c>
      <c r="O17" s="9">
        <f>127672.25+58.5+4547.75+474+474+177</f>
        <v>133403.5</v>
      </c>
      <c r="P17" s="60">
        <f t="shared" si="0"/>
        <v>5.103619113202495</v>
      </c>
      <c r="Q17" s="75" t="s">
        <v>35</v>
      </c>
    </row>
    <row r="18" spans="1:17" s="76" customFormat="1" ht="31.5" customHeight="1">
      <c r="A18" s="25">
        <v>11</v>
      </c>
      <c r="B18" s="77" t="s">
        <v>55</v>
      </c>
      <c r="C18" s="3">
        <v>38359</v>
      </c>
      <c r="D18" s="2" t="s">
        <v>56</v>
      </c>
      <c r="E18" s="4">
        <v>4</v>
      </c>
      <c r="F18" s="73"/>
      <c r="G18" s="59">
        <v>1</v>
      </c>
      <c r="H18" s="4">
        <v>17</v>
      </c>
      <c r="I18" s="5">
        <v>59</v>
      </c>
      <c r="J18" s="9">
        <v>177</v>
      </c>
      <c r="K18" s="53">
        <f>I18/G18</f>
        <v>59</v>
      </c>
      <c r="L18" s="60">
        <f>J18/I18</f>
        <v>3</v>
      </c>
      <c r="M18" s="71"/>
      <c r="N18" s="67">
        <f>526+435+20+608+180+78+93+91+14+4+974+297+57+8+27+22+59</f>
        <v>3493</v>
      </c>
      <c r="O18" s="9">
        <f>4221+3387+120+3667.5+1040.5+428.5+454+347+66+17+3114.5+891+282+35+165+113+177</f>
        <v>18526</v>
      </c>
      <c r="P18" s="60">
        <f t="shared" si="0"/>
        <v>5.303750357858574</v>
      </c>
      <c r="Q18" s="75" t="s">
        <v>35</v>
      </c>
    </row>
    <row r="19" spans="1:17" s="76" customFormat="1" ht="24.75" customHeight="1">
      <c r="A19" s="25">
        <v>12</v>
      </c>
      <c r="B19" s="1" t="s">
        <v>53</v>
      </c>
      <c r="C19" s="3">
        <v>38408</v>
      </c>
      <c r="D19" s="2" t="s">
        <v>54</v>
      </c>
      <c r="E19" s="4">
        <v>2</v>
      </c>
      <c r="F19" s="73"/>
      <c r="G19" s="59">
        <v>1</v>
      </c>
      <c r="H19" s="4">
        <v>7</v>
      </c>
      <c r="I19" s="5">
        <v>59</v>
      </c>
      <c r="J19" s="9">
        <v>177</v>
      </c>
      <c r="K19" s="53">
        <f>I19/G19</f>
        <v>59</v>
      </c>
      <c r="L19" s="60">
        <f>J19/I19</f>
        <v>3</v>
      </c>
      <c r="M19" s="71"/>
      <c r="N19" s="67">
        <f>489+18+33+96+35+396+59</f>
        <v>1126</v>
      </c>
      <c r="O19" s="9">
        <f>3781+163+258+542+208+1188+177</f>
        <v>6317</v>
      </c>
      <c r="P19" s="60">
        <f t="shared" si="0"/>
        <v>5.610124333925399</v>
      </c>
      <c r="Q19" s="75" t="s">
        <v>35</v>
      </c>
    </row>
    <row r="20" spans="1:17" s="76" customFormat="1" ht="24.75" customHeight="1">
      <c r="A20" s="25">
        <v>13</v>
      </c>
      <c r="B20" s="1" t="s">
        <v>36</v>
      </c>
      <c r="C20" s="3">
        <v>38919</v>
      </c>
      <c r="D20" s="2" t="s">
        <v>16</v>
      </c>
      <c r="E20" s="4">
        <v>4</v>
      </c>
      <c r="F20" s="73"/>
      <c r="G20" s="59">
        <v>1</v>
      </c>
      <c r="H20" s="4">
        <v>11</v>
      </c>
      <c r="I20" s="5">
        <v>59</v>
      </c>
      <c r="J20" s="9">
        <v>177</v>
      </c>
      <c r="K20" s="53">
        <f>I20/G20</f>
        <v>59</v>
      </c>
      <c r="L20" s="60">
        <f>J20/I20</f>
        <v>3</v>
      </c>
      <c r="M20" s="71"/>
      <c r="N20" s="67">
        <f>523+774+396+145+61+139+385+176+597+25+271+59</f>
        <v>3551</v>
      </c>
      <c r="O20" s="9">
        <f>3116.25+6870.5+2836+1054+450+770+2580.5+1191+2755.5+166+1074+177</f>
        <v>23040.75</v>
      </c>
      <c r="P20" s="60">
        <f t="shared" si="0"/>
        <v>6.488524359335399</v>
      </c>
      <c r="Q20" s="75" t="s">
        <v>35</v>
      </c>
    </row>
    <row r="21" spans="1:17" s="76" customFormat="1" ht="24.75" customHeight="1">
      <c r="A21" s="25">
        <v>14</v>
      </c>
      <c r="B21" s="1" t="s">
        <v>37</v>
      </c>
      <c r="C21" s="3">
        <v>38828</v>
      </c>
      <c r="D21" s="2" t="s">
        <v>38</v>
      </c>
      <c r="E21" s="4">
        <v>6</v>
      </c>
      <c r="F21" s="73"/>
      <c r="G21" s="59">
        <v>1</v>
      </c>
      <c r="H21" s="4">
        <v>17</v>
      </c>
      <c r="I21" s="5">
        <v>59</v>
      </c>
      <c r="J21" s="9">
        <v>177</v>
      </c>
      <c r="K21" s="53">
        <f>I21/G21</f>
        <v>59</v>
      </c>
      <c r="L21" s="60">
        <f>J21/I21</f>
        <v>3</v>
      </c>
      <c r="M21" s="71"/>
      <c r="N21" s="67">
        <f>1055+574+361+886+56+580+32+529+180+158+11+58+51+42+73+594+59</f>
        <v>5299</v>
      </c>
      <c r="O21" s="9">
        <f>8964+4246+2175+6296+364+3248+189+2148.5+879.5+474+84+307+252+195+553+1782+177</f>
        <v>32334</v>
      </c>
      <c r="P21" s="60">
        <f t="shared" si="0"/>
        <v>6.101906020003774</v>
      </c>
      <c r="Q21" s="75" t="s">
        <v>35</v>
      </c>
    </row>
    <row r="22" spans="1:17" s="76" customFormat="1" ht="24.75" customHeight="1">
      <c r="A22" s="25">
        <v>15</v>
      </c>
      <c r="B22" s="1" t="s">
        <v>39</v>
      </c>
      <c r="C22" s="3">
        <v>38898</v>
      </c>
      <c r="D22" s="2" t="s">
        <v>40</v>
      </c>
      <c r="E22" s="4">
        <v>5</v>
      </c>
      <c r="F22" s="73"/>
      <c r="G22" s="59">
        <v>1</v>
      </c>
      <c r="H22" s="4">
        <v>11</v>
      </c>
      <c r="I22" s="5">
        <v>59</v>
      </c>
      <c r="J22" s="9">
        <v>177</v>
      </c>
      <c r="K22" s="53">
        <f>I22/G22</f>
        <v>59</v>
      </c>
      <c r="L22" s="60">
        <f>J22/I22</f>
        <v>3</v>
      </c>
      <c r="M22" s="71"/>
      <c r="N22" s="67">
        <f>756+441+97+365+71+118+58+8+277+117+59</f>
        <v>2367</v>
      </c>
      <c r="O22" s="9">
        <f>6551.5+3573+601+2282+519.5+723+269+40+831+565+177</f>
        <v>16132</v>
      </c>
      <c r="P22" s="60">
        <f t="shared" si="0"/>
        <v>6.815378115758344</v>
      </c>
      <c r="Q22" s="75" t="s">
        <v>35</v>
      </c>
    </row>
    <row r="23" spans="1:17" s="76" customFormat="1" ht="24.75" customHeight="1">
      <c r="A23" s="25">
        <v>16</v>
      </c>
      <c r="B23" s="1" t="s">
        <v>44</v>
      </c>
      <c r="C23" s="3">
        <v>38114</v>
      </c>
      <c r="D23" s="2" t="s">
        <v>45</v>
      </c>
      <c r="E23" s="4">
        <v>6</v>
      </c>
      <c r="F23" s="73"/>
      <c r="G23" s="59">
        <v>1</v>
      </c>
      <c r="H23" s="4">
        <v>34</v>
      </c>
      <c r="I23" s="5">
        <v>59</v>
      </c>
      <c r="J23" s="9">
        <v>177</v>
      </c>
      <c r="K23" s="53">
        <f>I23/G23</f>
        <v>59</v>
      </c>
      <c r="L23" s="60">
        <f>J23/I23</f>
        <v>3</v>
      </c>
      <c r="M23" s="71"/>
      <c r="N23" s="67">
        <f>20265+707+15+282+147+79+33+162+46+125+226+396+33+46+396+59</f>
        <v>23017</v>
      </c>
      <c r="O23" s="9">
        <f>109036.5+2553+75+1324+629+237+129+693+188+616+950+1188+85.5+322+1188+177</f>
        <v>119391</v>
      </c>
      <c r="P23" s="60">
        <f t="shared" si="0"/>
        <v>5.187079115436417</v>
      </c>
      <c r="Q23" s="75" t="s">
        <v>35</v>
      </c>
    </row>
    <row r="24" spans="1:17" s="76" customFormat="1" ht="24.75" customHeight="1">
      <c r="A24" s="25">
        <v>17</v>
      </c>
      <c r="B24" s="1" t="s">
        <v>46</v>
      </c>
      <c r="C24" s="3">
        <v>38128</v>
      </c>
      <c r="D24" s="2" t="s">
        <v>28</v>
      </c>
      <c r="E24" s="4">
        <v>4</v>
      </c>
      <c r="F24" s="73"/>
      <c r="G24" s="59">
        <v>1</v>
      </c>
      <c r="H24" s="4">
        <v>27</v>
      </c>
      <c r="I24" s="5">
        <v>59</v>
      </c>
      <c r="J24" s="9">
        <v>177</v>
      </c>
      <c r="K24" s="53">
        <f>I24/G24</f>
        <v>59</v>
      </c>
      <c r="L24" s="60">
        <f>J24/I24</f>
        <v>3</v>
      </c>
      <c r="M24" s="71"/>
      <c r="N24" s="67">
        <f>6536+13+10+37+475+64+36+210+210+396+59</f>
        <v>8046</v>
      </c>
      <c r="O24" s="9">
        <f>44121.5+68+47+114+1438+276+150+630+630+1188+177</f>
        <v>48839.5</v>
      </c>
      <c r="P24" s="60">
        <f t="shared" si="0"/>
        <v>6.070034799900572</v>
      </c>
      <c r="Q24" s="75" t="s">
        <v>35</v>
      </c>
    </row>
    <row r="25" spans="1:17" s="76" customFormat="1" ht="24.75" customHeight="1">
      <c r="A25" s="25">
        <v>18</v>
      </c>
      <c r="B25" s="1" t="s">
        <v>52</v>
      </c>
      <c r="C25" s="3">
        <v>38464</v>
      </c>
      <c r="D25" s="2" t="s">
        <v>17</v>
      </c>
      <c r="E25" s="4">
        <v>5</v>
      </c>
      <c r="F25" s="73"/>
      <c r="G25" s="59">
        <v>1</v>
      </c>
      <c r="H25" s="4">
        <v>20</v>
      </c>
      <c r="I25" s="5">
        <v>59</v>
      </c>
      <c r="J25" s="9">
        <v>177</v>
      </c>
      <c r="K25" s="53">
        <f>I25/G25</f>
        <v>59</v>
      </c>
      <c r="L25" s="60">
        <f>J25/I25</f>
        <v>3</v>
      </c>
      <c r="M25" s="71"/>
      <c r="N25" s="67">
        <f>1449+637+264+21+361+829+371+321+301+303+92+82+173+274+262+547+291+141+158+59</f>
        <v>6936</v>
      </c>
      <c r="O25" s="9">
        <f>12723+5413.5+1465.5+192+2333+4998.5+1885+1646+1881.5+1533+430+340+771.5+1489+1128+2914.5+1388.5+587+474+177</f>
        <v>43770.5</v>
      </c>
      <c r="P25" s="60">
        <f t="shared" si="0"/>
        <v>6.310625720876586</v>
      </c>
      <c r="Q25" s="75" t="s">
        <v>35</v>
      </c>
    </row>
    <row r="26" spans="1:17" s="76" customFormat="1" ht="24.75" customHeight="1">
      <c r="A26" s="25">
        <v>19</v>
      </c>
      <c r="B26" s="1" t="s">
        <v>47</v>
      </c>
      <c r="C26" s="3">
        <v>38723</v>
      </c>
      <c r="D26" s="2" t="s">
        <v>48</v>
      </c>
      <c r="E26" s="4">
        <v>5</v>
      </c>
      <c r="F26" s="73"/>
      <c r="G26" s="59">
        <v>1</v>
      </c>
      <c r="H26" s="4">
        <v>9</v>
      </c>
      <c r="I26" s="5">
        <v>59</v>
      </c>
      <c r="J26" s="9">
        <v>177</v>
      </c>
      <c r="K26" s="53">
        <f>I26/G26</f>
        <v>59</v>
      </c>
      <c r="L26" s="60">
        <f>J26/I26</f>
        <v>3</v>
      </c>
      <c r="M26" s="71"/>
      <c r="N26" s="67">
        <f>932+357+92+247+90+24+25+88+59</f>
        <v>1914</v>
      </c>
      <c r="O26" s="9">
        <f>7149+2747+756+1338+270+74+91+462+177</f>
        <v>13064</v>
      </c>
      <c r="P26" s="60">
        <f t="shared" si="0"/>
        <v>6.825496342737722</v>
      </c>
      <c r="Q26" s="75" t="s">
        <v>35</v>
      </c>
    </row>
    <row r="27" spans="1:17" s="76" customFormat="1" ht="24.75" customHeight="1">
      <c r="A27" s="25">
        <v>20</v>
      </c>
      <c r="B27" s="1" t="s">
        <v>58</v>
      </c>
      <c r="C27" s="3">
        <v>38303</v>
      </c>
      <c r="D27" s="2" t="s">
        <v>59</v>
      </c>
      <c r="E27" s="4">
        <v>3</v>
      </c>
      <c r="F27" s="73"/>
      <c r="G27" s="59">
        <v>1</v>
      </c>
      <c r="H27" s="4">
        <v>13</v>
      </c>
      <c r="I27" s="5">
        <v>59</v>
      </c>
      <c r="J27" s="9">
        <v>177</v>
      </c>
      <c r="K27" s="53">
        <f>I27/G27</f>
        <v>59</v>
      </c>
      <c r="L27" s="60">
        <f>J27/I27</f>
        <v>3</v>
      </c>
      <c r="M27" s="71"/>
      <c r="N27" s="67">
        <f>1415+594+166+182+50+6+118+210+210+45+24+12+59</f>
        <v>3091</v>
      </c>
      <c r="O27" s="9">
        <f>11732+4838+1418+1247.5+150+25+580.5+630+630+286+141+61+177</f>
        <v>21916</v>
      </c>
      <c r="P27" s="60">
        <f t="shared" si="0"/>
        <v>7.090262051116143</v>
      </c>
      <c r="Q27" s="75" t="s">
        <v>35</v>
      </c>
    </row>
    <row r="28" spans="1:17" s="76" customFormat="1" ht="24.75" customHeight="1">
      <c r="A28" s="25">
        <v>21</v>
      </c>
      <c r="B28" s="1" t="s">
        <v>60</v>
      </c>
      <c r="C28" s="3">
        <v>38103</v>
      </c>
      <c r="D28" s="2" t="s">
        <v>25</v>
      </c>
      <c r="E28" s="4">
        <v>10</v>
      </c>
      <c r="F28" s="73"/>
      <c r="G28" s="59">
        <v>1</v>
      </c>
      <c r="H28" s="4">
        <v>33</v>
      </c>
      <c r="I28" s="5">
        <v>59</v>
      </c>
      <c r="J28" s="9">
        <v>177</v>
      </c>
      <c r="K28" s="53">
        <f>I28/G28</f>
        <v>59</v>
      </c>
      <c r="L28" s="60">
        <f>J28/I28</f>
        <v>3</v>
      </c>
      <c r="M28" s="71"/>
      <c r="N28" s="67">
        <f>25503+68+32+59</f>
        <v>25662</v>
      </c>
      <c r="O28" s="9">
        <f>151215.5+420+172+177</f>
        <v>151984.5</v>
      </c>
      <c r="P28" s="60">
        <f t="shared" si="0"/>
        <v>5.922550853401917</v>
      </c>
      <c r="Q28" s="75" t="s">
        <v>35</v>
      </c>
    </row>
    <row r="29" spans="1:17" s="76" customFormat="1" ht="24.75" customHeight="1">
      <c r="A29" s="25">
        <v>22</v>
      </c>
      <c r="B29" s="1" t="s">
        <v>51</v>
      </c>
      <c r="C29" s="3">
        <v>38492</v>
      </c>
      <c r="D29" s="2">
        <v>38492</v>
      </c>
      <c r="E29" s="4">
        <v>4</v>
      </c>
      <c r="F29" s="73"/>
      <c r="G29" s="59">
        <v>1</v>
      </c>
      <c r="H29" s="4">
        <v>23</v>
      </c>
      <c r="I29" s="5">
        <v>59</v>
      </c>
      <c r="J29" s="9">
        <v>177</v>
      </c>
      <c r="K29" s="53">
        <f>I29/G29</f>
        <v>59</v>
      </c>
      <c r="L29" s="60">
        <f>J29/I29</f>
        <v>3</v>
      </c>
      <c r="M29" s="71"/>
      <c r="N29" s="67">
        <f>1985+833+407+233+1740+569+382+450+436+683+891+715+675+348+374+258+143+102+274+17+19+38+59</f>
        <v>11631</v>
      </c>
      <c r="O29" s="9">
        <f>15495+5698+2196+1745+9962+3199.5+1919+2082+1903.5+2735.5+6104.5+3886+3618+1859.5+1628.5+1019+545+290+1382+114+64.5+100+177</f>
        <v>67723.5</v>
      </c>
      <c r="P29" s="60">
        <f t="shared" si="0"/>
        <v>5.822672169202992</v>
      </c>
      <c r="Q29" s="75" t="s">
        <v>35</v>
      </c>
    </row>
    <row r="30" spans="1:17" s="76" customFormat="1" ht="24.75" customHeight="1">
      <c r="A30" s="25">
        <v>23</v>
      </c>
      <c r="B30" s="1" t="s">
        <v>41</v>
      </c>
      <c r="C30" s="3">
        <v>38779</v>
      </c>
      <c r="D30" s="2" t="s">
        <v>42</v>
      </c>
      <c r="E30" s="4">
        <v>10</v>
      </c>
      <c r="F30" s="73"/>
      <c r="G30" s="59">
        <v>1</v>
      </c>
      <c r="H30" s="4">
        <v>26</v>
      </c>
      <c r="I30" s="5">
        <v>59</v>
      </c>
      <c r="J30" s="9">
        <v>177</v>
      </c>
      <c r="K30" s="53">
        <f>I30/G30</f>
        <v>59</v>
      </c>
      <c r="L30" s="60">
        <f>J30/I30</f>
        <v>3</v>
      </c>
      <c r="M30" s="71"/>
      <c r="N30" s="67">
        <f>2548+994+309+438+475+587+190+1491+27+979+277+594+475+870+277+75+26+361+82+165+100+310+22+67+34+59</f>
        <v>11832</v>
      </c>
      <c r="O30" s="9">
        <f>19635+7029.5+1939.5+1932.5+1425+2285+846+5995.5+272.5+3026+831+1782+1425+2693.5+831+321+104+2033+455+780+635+1020+66+201+102+177</f>
        <v>57843</v>
      </c>
      <c r="P30" s="60">
        <f t="shared" si="0"/>
        <v>4.88869168356998</v>
      </c>
      <c r="Q30" s="75" t="s">
        <v>35</v>
      </c>
    </row>
    <row r="31" spans="1:17" s="76" customFormat="1" ht="24.75" customHeight="1">
      <c r="A31" s="25">
        <v>24</v>
      </c>
      <c r="B31" s="1" t="s">
        <v>61</v>
      </c>
      <c r="C31" s="3">
        <v>37624</v>
      </c>
      <c r="D31" s="2" t="s">
        <v>62</v>
      </c>
      <c r="E31" s="4">
        <v>3</v>
      </c>
      <c r="F31" s="73"/>
      <c r="G31" s="59">
        <v>1</v>
      </c>
      <c r="H31" s="4">
        <v>45</v>
      </c>
      <c r="I31" s="5">
        <v>59</v>
      </c>
      <c r="J31" s="9">
        <v>177</v>
      </c>
      <c r="K31" s="53">
        <f>I31/G31</f>
        <v>59</v>
      </c>
      <c r="L31" s="60">
        <f>J31/I31</f>
        <v>3</v>
      </c>
      <c r="M31" s="71"/>
      <c r="N31" s="67">
        <f>26471+59</f>
        <v>26530</v>
      </c>
      <c r="O31" s="9">
        <f>128729.5+177</f>
        <v>128906.5</v>
      </c>
      <c r="P31" s="60">
        <f t="shared" si="0"/>
        <v>4.8588955898982285</v>
      </c>
      <c r="Q31" s="75" t="s">
        <v>35</v>
      </c>
    </row>
    <row r="32" spans="1:17" s="76" customFormat="1" ht="24.75" customHeight="1">
      <c r="A32" s="25">
        <v>25</v>
      </c>
      <c r="B32" s="1" t="s">
        <v>64</v>
      </c>
      <c r="C32" s="3">
        <v>37813</v>
      </c>
      <c r="D32" s="2">
        <v>37813</v>
      </c>
      <c r="E32" s="4">
        <v>10</v>
      </c>
      <c r="F32" s="73"/>
      <c r="G32" s="59">
        <v>1</v>
      </c>
      <c r="H32" s="4">
        <v>46</v>
      </c>
      <c r="I32" s="5">
        <v>59</v>
      </c>
      <c r="J32" s="9">
        <v>177</v>
      </c>
      <c r="K32" s="53">
        <f>I32/G32</f>
        <v>59</v>
      </c>
      <c r="L32" s="60">
        <f>J32/I32</f>
        <v>3</v>
      </c>
      <c r="M32" s="71"/>
      <c r="N32" s="67">
        <f>21632+20+285+158+158+158+158+158+158+158+158+59</f>
        <v>23260</v>
      </c>
      <c r="O32" s="9">
        <f>101850+106+855+474+474+474+474+474+474+474+474+177</f>
        <v>106780</v>
      </c>
      <c r="P32" s="60">
        <f t="shared" si="0"/>
        <v>4.590713671539123</v>
      </c>
      <c r="Q32" s="75" t="s">
        <v>35</v>
      </c>
    </row>
    <row r="33" spans="1:17" s="76" customFormat="1" ht="24.75" customHeight="1">
      <c r="A33" s="25">
        <v>26</v>
      </c>
      <c r="B33" s="1" t="s">
        <v>63</v>
      </c>
      <c r="C33" s="3">
        <v>37848</v>
      </c>
      <c r="D33" s="2" t="s">
        <v>28</v>
      </c>
      <c r="E33" s="4">
        <v>4</v>
      </c>
      <c r="F33" s="73"/>
      <c r="G33" s="59">
        <v>1</v>
      </c>
      <c r="H33" s="4">
        <v>26</v>
      </c>
      <c r="I33" s="5">
        <v>59</v>
      </c>
      <c r="J33" s="9">
        <v>177</v>
      </c>
      <c r="K33" s="53">
        <f>I33/G33</f>
        <v>59</v>
      </c>
      <c r="L33" s="60">
        <f>J33/I33</f>
        <v>3</v>
      </c>
      <c r="M33" s="71"/>
      <c r="N33" s="67">
        <f>8608+59</f>
        <v>8667</v>
      </c>
      <c r="O33" s="9">
        <f>42546.5+177</f>
        <v>42723.5</v>
      </c>
      <c r="P33" s="60">
        <f t="shared" si="0"/>
        <v>4.929445021345333</v>
      </c>
      <c r="Q33" s="75" t="s">
        <v>35</v>
      </c>
    </row>
    <row r="34" spans="1:17" s="76" customFormat="1" ht="24.75" customHeight="1">
      <c r="A34" s="25">
        <v>27</v>
      </c>
      <c r="B34" s="1" t="s">
        <v>65</v>
      </c>
      <c r="C34" s="3">
        <v>37785</v>
      </c>
      <c r="D34" s="2" t="s">
        <v>66</v>
      </c>
      <c r="E34" s="4">
        <v>8</v>
      </c>
      <c r="F34" s="73"/>
      <c r="G34" s="59">
        <v>1</v>
      </c>
      <c r="H34" s="4">
        <v>51</v>
      </c>
      <c r="I34" s="5">
        <v>59</v>
      </c>
      <c r="J34" s="9">
        <v>177</v>
      </c>
      <c r="K34" s="53">
        <f>I34/G34</f>
        <v>59</v>
      </c>
      <c r="L34" s="60">
        <f>J34/I34</f>
        <v>3</v>
      </c>
      <c r="M34" s="71"/>
      <c r="N34" s="67">
        <f>34433+92+91+51+277+34+59</f>
        <v>35037</v>
      </c>
      <c r="O34" s="9">
        <f>166723+610+542.5+424+831+170+177</f>
        <v>169477.5</v>
      </c>
      <c r="P34" s="60">
        <f t="shared" si="0"/>
        <v>4.837100779176299</v>
      </c>
      <c r="Q34" s="75" t="s">
        <v>35</v>
      </c>
    </row>
    <row r="35" spans="1:17" s="26" customFormat="1" ht="24.75" customHeight="1">
      <c r="A35" s="25">
        <v>28</v>
      </c>
      <c r="B35" s="1" t="s">
        <v>22</v>
      </c>
      <c r="C35" s="3">
        <v>38870</v>
      </c>
      <c r="D35" s="2" t="s">
        <v>25</v>
      </c>
      <c r="E35" s="4">
        <v>5</v>
      </c>
      <c r="F35" s="73"/>
      <c r="G35" s="59">
        <v>1</v>
      </c>
      <c r="H35" s="4">
        <v>22</v>
      </c>
      <c r="I35" s="5">
        <v>59</v>
      </c>
      <c r="J35" s="9">
        <v>177</v>
      </c>
      <c r="K35" s="53">
        <f>I35/G35</f>
        <v>59</v>
      </c>
      <c r="L35" s="60">
        <f>J35/I35</f>
        <v>3</v>
      </c>
      <c r="M35" s="71"/>
      <c r="N35" s="67">
        <f>2709+885+473+442+218+235+996+335+288+86+108+45+118+20+53+550+402+621+190+950+150+237+59</f>
        <v>10170</v>
      </c>
      <c r="O35" s="9">
        <f>20882.25+8209.5+3896+2400+1136+1611+7379.5+2057+1578+454+596+242+607+80+357.5+2184+1212+1863+930+2850+450+711+177</f>
        <v>61862.75</v>
      </c>
      <c r="P35" s="60">
        <f t="shared" si="0"/>
        <v>6.082866273352999</v>
      </c>
      <c r="Q35" s="75" t="s">
        <v>35</v>
      </c>
    </row>
    <row r="36" spans="1:17" s="26" customFormat="1" ht="24.75" customHeight="1">
      <c r="A36" s="25">
        <v>29</v>
      </c>
      <c r="B36" s="1" t="s">
        <v>26</v>
      </c>
      <c r="C36" s="3">
        <v>38499</v>
      </c>
      <c r="D36" s="2" t="s">
        <v>27</v>
      </c>
      <c r="E36" s="4">
        <v>4</v>
      </c>
      <c r="F36" s="73"/>
      <c r="G36" s="59">
        <v>1</v>
      </c>
      <c r="H36" s="4">
        <v>31</v>
      </c>
      <c r="I36" s="5">
        <v>59</v>
      </c>
      <c r="J36" s="9">
        <v>177</v>
      </c>
      <c r="K36" s="53">
        <f>I36/G36</f>
        <v>59</v>
      </c>
      <c r="L36" s="60">
        <f>J36/I36</f>
        <v>3</v>
      </c>
      <c r="M36" s="71"/>
      <c r="N36" s="67">
        <f>2789+1727+1388+680+1807+625+989+1020+889+910+721+589+638+984+701+821+834+332+182+881+915+58+515+277+59+277+29+198+91+158+59</f>
        <v>22143</v>
      </c>
      <c r="O36" s="9">
        <f>22778+10601+8594+4583+9364.5+3598+6225.5+6523+4933.5+4428+3825.5+3189+3765.5+5757.5+4033+4106+4021+2190+1121.5+3123+2905+177+1545+831+202+831+87+594+487+474+177</f>
        <v>125070.5</v>
      </c>
      <c r="P36" s="60">
        <f t="shared" si="0"/>
        <v>5.6483087205889</v>
      </c>
      <c r="Q36" s="75" t="s">
        <v>35</v>
      </c>
    </row>
    <row r="37" spans="1:17" s="76" customFormat="1" ht="24.75" customHeight="1" thickBot="1">
      <c r="A37" s="25">
        <v>30</v>
      </c>
      <c r="B37" s="1" t="s">
        <v>43</v>
      </c>
      <c r="C37" s="3">
        <v>38814</v>
      </c>
      <c r="D37" s="2" t="s">
        <v>25</v>
      </c>
      <c r="E37" s="4">
        <v>14</v>
      </c>
      <c r="F37" s="73"/>
      <c r="G37" s="61">
        <v>1</v>
      </c>
      <c r="H37" s="62">
        <v>19</v>
      </c>
      <c r="I37" s="63">
        <v>45</v>
      </c>
      <c r="J37" s="64">
        <v>180</v>
      </c>
      <c r="K37" s="65">
        <f>I37/G37</f>
        <v>45</v>
      </c>
      <c r="L37" s="66">
        <f>J37/I37</f>
        <v>4</v>
      </c>
      <c r="M37" s="71"/>
      <c r="N37" s="68">
        <f>4620+1821+1003+1445+1813+1225+30+68+737+144+310+211+149+119+21+46+297+446+45</f>
        <v>14550</v>
      </c>
      <c r="O37" s="64">
        <f>43111+13278+6067.5+7325+7474+6516.5+154+328+3068+571+1240+894+596+476+168+213+1188+1784+180</f>
        <v>94632</v>
      </c>
      <c r="P37" s="66">
        <f>O37/N37</f>
        <v>6.503917525773196</v>
      </c>
      <c r="Q37" s="75" t="s">
        <v>35</v>
      </c>
    </row>
    <row r="38" spans="1:13" ht="6" customHeight="1" thickBot="1">
      <c r="A38" s="22"/>
      <c r="B38" s="15"/>
      <c r="C38" s="16"/>
      <c r="D38" s="17"/>
      <c r="E38" s="17"/>
      <c r="F38" s="17"/>
      <c r="G38" s="18"/>
      <c r="H38" s="18"/>
      <c r="I38" s="19"/>
      <c r="J38" s="20"/>
      <c r="K38" s="19"/>
      <c r="L38" s="20"/>
      <c r="M38" s="20"/>
    </row>
    <row r="39" spans="1:13" ht="20.25" customHeight="1" thickBot="1">
      <c r="A39" s="22"/>
      <c r="B39" s="47" t="s">
        <v>6</v>
      </c>
      <c r="C39" s="47"/>
      <c r="D39" s="47"/>
      <c r="E39" s="47"/>
      <c r="F39" s="52"/>
      <c r="G39" s="48">
        <f>SUM(G8:G37)</f>
        <v>49</v>
      </c>
      <c r="H39" s="48" t="s">
        <v>30</v>
      </c>
      <c r="I39" s="50">
        <f>SUM(I8:I37)</f>
        <v>4890</v>
      </c>
      <c r="J39" s="51">
        <f>SUM(J8:J37)</f>
        <v>19850.5</v>
      </c>
      <c r="K39" s="49">
        <f>I39/G39</f>
        <v>99.79591836734694</v>
      </c>
      <c r="L39" s="49">
        <f>J39/I39</f>
        <v>4.059406952965235</v>
      </c>
      <c r="M39" s="12"/>
    </row>
    <row r="43" ht="15.75">
      <c r="C43" s="12"/>
    </row>
  </sheetData>
  <mergeCells count="7">
    <mergeCell ref="N6:P6"/>
    <mergeCell ref="B39:E39"/>
    <mergeCell ref="B2:L4"/>
    <mergeCell ref="O2:P2"/>
    <mergeCell ref="O4:P4"/>
    <mergeCell ref="N3:P3"/>
    <mergeCell ref="G6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2006-10-13T13:45:29Z</cp:lastPrinted>
  <dcterms:created xsi:type="dcterms:W3CDTF">2004-03-26T15:51:12Z</dcterms:created>
  <dcterms:modified xsi:type="dcterms:W3CDTF">2006-12-04T21:56:06Z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1391249699</vt:i4>
  </property>
  <property fmtid="{D5CDD505-2E9C-101B-9397-08002B2CF9AE}" pid="3" name="_EmailSubject">
    <vt:lpwstr>Bir Film 2006/48.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