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65311" windowWidth="12120" windowHeight="9120" tabRatio="446" activeTab="0"/>
  </bookViews>
  <sheets>
    <sheet name="27 OCT - 02 NOV (WK 44)" sheetId="1" r:id="rId1"/>
    <sheet name="30 Dec' - 02 Nov' (Annual)" sheetId="2" r:id="rId2"/>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'27 OCT - 02 NOV (WK 44)'!$A$1:$O$84</definedName>
    <definedName name="_xlnm.Print_Area" localSheetId="1">'30 Dec' - 02 Nov' (Annual)'!$A$1:$J$219</definedName>
  </definedNames>
  <calcPr fullCalcOnLoad="1"/>
</workbook>
</file>

<file path=xl/sharedStrings.xml><?xml version="1.0" encoding="utf-8"?>
<sst xmlns="http://schemas.openxmlformats.org/spreadsheetml/2006/main" count="884" uniqueCount="379">
  <si>
    <t>U.I.P.</t>
  </si>
  <si>
    <t>KENDA</t>
  </si>
  <si>
    <t>UMUT SANAT</t>
  </si>
  <si>
    <t>BAMBI 2</t>
  </si>
  <si>
    <t>*Sorted according to Week Total G.B.O. - Haftalık toplam hasılat sütununa göre sıralanmıştır.</t>
  </si>
  <si>
    <t>KORKUYORUM ANNE</t>
  </si>
  <si>
    <t>BEYZA'NIN KADINLARI</t>
  </si>
  <si>
    <t>MEDYAVIZYON</t>
  </si>
  <si>
    <t>LAST WEEK</t>
  </si>
  <si>
    <t>TOTAL</t>
  </si>
  <si>
    <t>DISTRIBUTORS CHART</t>
  </si>
  <si>
    <t>THIS WEEKS</t>
  </si>
  <si>
    <t>BROKEBACK MOUNTAIN</t>
  </si>
  <si>
    <t>CAPOTE</t>
  </si>
  <si>
    <t>HOODWINKED</t>
  </si>
  <si>
    <t>CRY_WOLF</t>
  </si>
  <si>
    <t>16 BLOCKS</t>
  </si>
  <si>
    <t>PINK PANTHER</t>
  </si>
  <si>
    <t>Company</t>
  </si>
  <si>
    <t>Distributor</t>
  </si>
  <si>
    <t>UNP</t>
  </si>
  <si>
    <t>C2 PICTURES</t>
  </si>
  <si>
    <t>V FOR VENDETTA</t>
  </si>
  <si>
    <t>WB</t>
  </si>
  <si>
    <t>UIP</t>
  </si>
  <si>
    <t>ALTIOKLAR</t>
  </si>
  <si>
    <t>OZEN</t>
  </si>
  <si>
    <t>FOX</t>
  </si>
  <si>
    <t>CASANOVA</t>
  </si>
  <si>
    <t>BUENA VISTA</t>
  </si>
  <si>
    <t>COLUMBIA</t>
  </si>
  <si>
    <t>PANA</t>
  </si>
  <si>
    <t>FOCUS</t>
  </si>
  <si>
    <t>ATLANTIK</t>
  </si>
  <si>
    <t>UNIVERSAL</t>
  </si>
  <si>
    <t>CHANTIER</t>
  </si>
  <si>
    <t>PRA</t>
  </si>
  <si>
    <t>PARAMOUNT</t>
  </si>
  <si>
    <t>OZEN - UMUT</t>
  </si>
  <si>
    <t>DREAMWORKS</t>
  </si>
  <si>
    <t>SAME PERIOD LAST YEAR</t>
  </si>
  <si>
    <t>U.N.P.</t>
  </si>
  <si>
    <t>R FILM</t>
  </si>
  <si>
    <t>GEN</t>
  </si>
  <si>
    <t>TIGLON</t>
  </si>
  <si>
    <t>WOLF CREEK</t>
  </si>
  <si>
    <t>WEINSTEIN CO.</t>
  </si>
  <si>
    <t>IFR</t>
  </si>
  <si>
    <t>FIDA</t>
  </si>
  <si>
    <t>ASK THE DUST</t>
  </si>
  <si>
    <t>PHANTOM OF THE OPERA, THE</t>
  </si>
  <si>
    <t>Weekly Movie Magazine Antrakt Presents - Haftalık Antrakt Sinema Gazetesi Sunar</t>
  </si>
  <si>
    <t>LUCKY NUMBER SLEVIN</t>
  </si>
  <si>
    <t>DESCENT, THE</t>
  </si>
  <si>
    <t>EIGHT BELOW</t>
  </si>
  <si>
    <t>WHEN A STRANGER CALLS</t>
  </si>
  <si>
    <t>SLITHER</t>
  </si>
  <si>
    <t>35 MILIM</t>
  </si>
  <si>
    <t>INSIDE MAN</t>
  </si>
  <si>
    <t>FINAL DESTINATION 3</t>
  </si>
  <si>
    <t>TWO FOR THE MONEY</t>
  </si>
  <si>
    <t>DATE MOVIE</t>
  </si>
  <si>
    <t>PI FILM</t>
  </si>
  <si>
    <t>ANNE YA DA LEYLA</t>
  </si>
  <si>
    <t>SINEMA AJANS</t>
  </si>
  <si>
    <t>AVSAR FILM</t>
  </si>
  <si>
    <t>HILL HAVE EYES, THE</t>
  </si>
  <si>
    <t>NEW FILMS</t>
  </si>
  <si>
    <t>FILMPOP</t>
  </si>
  <si>
    <t>ROAD TO GUANTANAMO, THE</t>
  </si>
  <si>
    <t>PRIDE&amp;PREJUDICE</t>
  </si>
  <si>
    <t>NANNY  MCHPEE</t>
  </si>
  <si>
    <t>KISIK ATESTE 15 DAKIKA</t>
  </si>
  <si>
    <t>VIZYON</t>
  </si>
  <si>
    <t>WEATHER MAN</t>
  </si>
  <si>
    <t>WHAT THE BLEEP DO WE KNOW?</t>
  </si>
  <si>
    <t>BIR FILM</t>
  </si>
  <si>
    <t>LE TEMPS QUI RESTE</t>
  </si>
  <si>
    <t>ALLEGRO</t>
  </si>
  <si>
    <t>CELLULOID</t>
  </si>
  <si>
    <t>DANDELION</t>
  </si>
  <si>
    <t>LE GRAND VOYAGE</t>
  </si>
  <si>
    <t>DARK HORSE</t>
  </si>
  <si>
    <t>FALSCHER BEKENNER</t>
  </si>
  <si>
    <t>TRUST FILMS</t>
  </si>
  <si>
    <t>CARS</t>
  </si>
  <si>
    <t>LADY IN THE WATER</t>
  </si>
  <si>
    <t>PIRATES OF THE CARIBBEN: DEAD MAN'S CHEST</t>
  </si>
  <si>
    <t>ODYSSE</t>
  </si>
  <si>
    <t>LADIES IN LAVENDER</t>
  </si>
  <si>
    <t>LAKESHORE</t>
  </si>
  <si>
    <t>OYUN</t>
  </si>
  <si>
    <t>SEX &amp; PHILOSOPHY</t>
  </si>
  <si>
    <t>WILD BUNCH</t>
  </si>
  <si>
    <t>LES TEMPS QUI CHANGENT</t>
  </si>
  <si>
    <t>FRANCE</t>
  </si>
  <si>
    <t>FATELESS</t>
  </si>
  <si>
    <t>H20</t>
  </si>
  <si>
    <t>RABBIT ON THE MOON</t>
  </si>
  <si>
    <t>LIMON - CAPITOL</t>
  </si>
  <si>
    <t>ZOZO</t>
  </si>
  <si>
    <t>HAYALEVI</t>
  </si>
  <si>
    <t>ENEL MUNDO E CADA RATO</t>
  </si>
  <si>
    <t>UNICEF</t>
  </si>
  <si>
    <t>CERTI BAMBINI</t>
  </si>
  <si>
    <t># of Films</t>
  </si>
  <si>
    <t># of Total
Prints</t>
  </si>
  <si>
    <t>LOCAL FILMS</t>
  </si>
  <si>
    <t>FOREIGN FILMS</t>
  </si>
  <si>
    <t>SHE'S THE MAN</t>
  </si>
  <si>
    <t>DERAILED</t>
  </si>
  <si>
    <t>ETERNAL SUNSHINE OF THE SPOTLESS MIND</t>
  </si>
  <si>
    <t>X MEN: THE LAST STAND</t>
  </si>
  <si>
    <t>CONSTANT GARDENER</t>
  </si>
  <si>
    <t>PEINDRE OU FAIRE L'AMOUR</t>
  </si>
  <si>
    <t>SUGAR WORKZ</t>
  </si>
  <si>
    <t>C.R.A.Z.Y.</t>
  </si>
  <si>
    <t>10</t>
  </si>
  <si>
    <t>8</t>
  </si>
  <si>
    <t>FAILURE TO LAUNCH</t>
  </si>
  <si>
    <t>FIREWALL</t>
  </si>
  <si>
    <t>BANDIDAS</t>
  </si>
  <si>
    <t>HOWL'S MOVING CASTLE</t>
  </si>
  <si>
    <t>TRANSAMERICA</t>
  </si>
  <si>
    <t>REZO</t>
  </si>
  <si>
    <t>TF1</t>
  </si>
  <si>
    <t>11</t>
  </si>
  <si>
    <t>MAN ABOUT TOWN</t>
  </si>
  <si>
    <t>MEDYAPIM</t>
  </si>
  <si>
    <t>CONTENT</t>
  </si>
  <si>
    <t>COMBIEN TU M'AIMES</t>
  </si>
  <si>
    <t>ONE AND ONLY, THE</t>
  </si>
  <si>
    <t>POSEIDON</t>
  </si>
  <si>
    <t>TEXAS CHAINSAW MASSACRE, THE</t>
  </si>
  <si>
    <t>DOMINO</t>
  </si>
  <si>
    <t>SUMMIT</t>
  </si>
  <si>
    <t>PATHE</t>
  </si>
  <si>
    <t>TAKESHIS</t>
  </si>
  <si>
    <t>PYRAMIDE</t>
  </si>
  <si>
    <t>-</t>
  </si>
  <si>
    <t>MELISSA P.</t>
  </si>
  <si>
    <t>FROSTBITE</t>
  </si>
  <si>
    <t>SHEITAN</t>
  </si>
  <si>
    <t>31</t>
  </si>
  <si>
    <t>ROMANCE&amp;CIGARETTES</t>
  </si>
  <si>
    <t>D PRODUCTIONS</t>
  </si>
  <si>
    <t>THUMBSUCKER</t>
  </si>
  <si>
    <t>KELOGLAN KARA PRENSE KARSI</t>
  </si>
  <si>
    <t>BEE SEASON</t>
  </si>
  <si>
    <t>BUBBA HO-TEP</t>
  </si>
  <si>
    <t>STAY</t>
  </si>
  <si>
    <t>LOVE IS IN THE AIR</t>
  </si>
  <si>
    <t>EFLATUN</t>
  </si>
  <si>
    <t>20 NIGHTS &amp; A RAINY DAY</t>
  </si>
  <si>
    <t>BIR F. - ERMAN F.</t>
  </si>
  <si>
    <t>MISSION IMPOSSIBLE 3</t>
  </si>
  <si>
    <t>FAMILY STONE, THE</t>
  </si>
  <si>
    <t>COMPANY, THE</t>
  </si>
  <si>
    <t>AVSAR FILM - TMC</t>
  </si>
  <si>
    <t>HABABAM SINIFI UC BUCUK</t>
  </si>
  <si>
    <t>SUPERMAN RETURNS</t>
  </si>
  <si>
    <t>BOY EATS GIRL</t>
  </si>
  <si>
    <t>KURTLAR VADISI IRAK</t>
  </si>
  <si>
    <t>ANGEL-A</t>
  </si>
  <si>
    <t>21</t>
  </si>
  <si>
    <t>UNDISCOVERED</t>
  </si>
  <si>
    <t>20</t>
  </si>
  <si>
    <t>TRAMVAY</t>
  </si>
  <si>
    <t>OLGUN ARUN</t>
  </si>
  <si>
    <t>BACKSTAGE</t>
  </si>
  <si>
    <t>J PLAN</t>
  </si>
  <si>
    <t>LAKE HOUSE</t>
  </si>
  <si>
    <t>HACIVAT KARAGOZ NEDEN OLDURULDU?</t>
  </si>
  <si>
    <t>This Week's Total</t>
  </si>
  <si>
    <t>Films</t>
  </si>
  <si>
    <t>Admission</t>
  </si>
  <si>
    <t>EXCHANGE RATES</t>
  </si>
  <si>
    <t>Buying</t>
  </si>
  <si>
    <t>Selling</t>
  </si>
  <si>
    <t>Avg. Ticket</t>
  </si>
  <si>
    <t>USD</t>
  </si>
  <si>
    <t>EUR</t>
  </si>
  <si>
    <t>GBP</t>
  </si>
  <si>
    <t>CHF</t>
  </si>
  <si>
    <t>Title</t>
  </si>
  <si>
    <t>Release
Date</t>
  </si>
  <si>
    <t># of
Prints</t>
  </si>
  <si>
    <t>Week</t>
  </si>
  <si>
    <t>Cumulative</t>
  </si>
  <si>
    <t>G.B.O.</t>
  </si>
  <si>
    <t>Adm.</t>
  </si>
  <si>
    <t>Avg.
Ticket</t>
  </si>
  <si>
    <t xml:space="preserve">Avg.
Ticket </t>
  </si>
  <si>
    <t>HOSTEL</t>
  </si>
  <si>
    <t>RUMOR HAS IT</t>
  </si>
  <si>
    <t>DABBE</t>
  </si>
  <si>
    <t>WALK THE LINE</t>
  </si>
  <si>
    <t># of
Screen</t>
  </si>
  <si>
    <t># of Last Weeks New Releases</t>
  </si>
  <si>
    <t>Total Admission of New Releases</t>
  </si>
  <si>
    <t>WARNER BROS.</t>
  </si>
  <si>
    <t>OZEN FILM</t>
  </si>
  <si>
    <t>FUN WITH DICK &amp; JANE</t>
  </si>
  <si>
    <t>LES CHEVALIERS DU CIEL - SKY FIGHTERS</t>
  </si>
  <si>
    <t>UMUT</t>
  </si>
  <si>
    <t>MONSTER HOUSE</t>
  </si>
  <si>
    <t>FEARLESS</t>
  </si>
  <si>
    <t>WILD, THE</t>
  </si>
  <si>
    <t>SONY</t>
  </si>
  <si>
    <t>BREAK UP</t>
  </si>
  <si>
    <t>DARK, THE</t>
  </si>
  <si>
    <t>SEE NO EVIL</t>
  </si>
  <si>
    <t>DON'T TELL</t>
  </si>
  <si>
    <t>SINEFILM</t>
  </si>
  <si>
    <t>16</t>
  </si>
  <si>
    <t>GARFIELD 2</t>
  </si>
  <si>
    <t>ILLUSIONIST</t>
  </si>
  <si>
    <t>AMERICAN HAUNTING, AN</t>
  </si>
  <si>
    <t>EUROPA</t>
  </si>
  <si>
    <t>HEIGHTS</t>
  </si>
  <si>
    <t>7</t>
  </si>
  <si>
    <t>BITTERSWEET LIFE, A</t>
  </si>
  <si>
    <t>HALF LIGHT</t>
  </si>
  <si>
    <t>LITTLE MAN</t>
  </si>
  <si>
    <t>ARSENE LUPEN</t>
  </si>
  <si>
    <t>BUENAVISTA</t>
  </si>
  <si>
    <t>FOUR STARS</t>
  </si>
  <si>
    <t>14</t>
  </si>
  <si>
    <t>25</t>
  </si>
  <si>
    <t>CINEMEDYA</t>
  </si>
  <si>
    <t>BIG MOMA'S HOUSE 2</t>
  </si>
  <si>
    <t>CRANK</t>
  </si>
  <si>
    <t>DREAM WORKS</t>
  </si>
  <si>
    <t>UNITED 93</t>
  </si>
  <si>
    <t>THEM</t>
  </si>
  <si>
    <t>BIG WHITE, THE</t>
  </si>
  <si>
    <t>4</t>
  </si>
  <si>
    <t>6</t>
  </si>
  <si>
    <t>PI FILMCILIK</t>
  </si>
  <si>
    <t>SUGARWORKZ</t>
  </si>
  <si>
    <t>ZATHURA: A SPACE ADVANTURE</t>
  </si>
  <si>
    <t>ME AND YOU AND EVERYONE WE KNOW</t>
  </si>
  <si>
    <t>SQUID AND THE WHALE, THE</t>
  </si>
  <si>
    <t>JE NE SUIS PAS LA POUR ETRE AIME</t>
  </si>
  <si>
    <t>MATADOR, THE</t>
  </si>
  <si>
    <t>MERCHANT OF VENICE, THE</t>
  </si>
  <si>
    <t>LOST CITY, THE</t>
  </si>
  <si>
    <t>SHAGGY DOG, THE</t>
  </si>
  <si>
    <t>BUNHONGSIN - RED SHOES</t>
  </si>
  <si>
    <t>CHRONICLES OF NARNIA</t>
  </si>
  <si>
    <t>BASIC INSTINCT: RISK ADDICTION</t>
  </si>
  <si>
    <t>MATCH POINT</t>
  </si>
  <si>
    <t>FAST &amp; FURIOUS: THE TOKYO DRAFT</t>
  </si>
  <si>
    <t>GARFIELD: A TAIL OF TWO KITTIES</t>
  </si>
  <si>
    <t>THREE BURIALS OF MELQUIADES ESTRADA</t>
  </si>
  <si>
    <t>DA VINCI CODE, THE</t>
  </si>
  <si>
    <t>OMEN 666, THE</t>
  </si>
  <si>
    <t>MIAMI VICE</t>
  </si>
  <si>
    <t>PULSE</t>
  </si>
  <si>
    <t>MY SUPER EX GIRLFRIEND</t>
  </si>
  <si>
    <t>ANT BULLY</t>
  </si>
  <si>
    <t>OVER THE HEDGE</t>
  </si>
  <si>
    <t>LEMMING</t>
  </si>
  <si>
    <t>ICE AGE 2: THE MELTDOWN</t>
  </si>
  <si>
    <t>FILM POP</t>
  </si>
  <si>
    <t>BES VAKIT</t>
  </si>
  <si>
    <t>STOLEN EYES</t>
  </si>
  <si>
    <t>YAKA FILM</t>
  </si>
  <si>
    <t>MON ANGE</t>
  </si>
  <si>
    <t>MK2</t>
  </si>
  <si>
    <t>JOYEUX NOEL</t>
  </si>
  <si>
    <t>FILMS DIST.</t>
  </si>
  <si>
    <t>ENTRE SES MAINS</t>
  </si>
  <si>
    <t>Screen Avg. (Adm.)</t>
  </si>
  <si>
    <t>Release Date</t>
  </si>
  <si>
    <t>Week in Release</t>
  </si>
  <si>
    <t>Avg. Ticket Price</t>
  </si>
  <si>
    <t>G.B.O. YTL</t>
  </si>
  <si>
    <t>ARZU - FIDA</t>
  </si>
  <si>
    <t>ENERGY</t>
  </si>
  <si>
    <t>MUNICH</t>
  </si>
  <si>
    <t>MEMOIRS OF A GEISHA</t>
  </si>
  <si>
    <t>FOG, THE</t>
  </si>
  <si>
    <t>NEW WORLD, THE</t>
  </si>
  <si>
    <t>TIGER AND THE SNOW, THE</t>
  </si>
  <si>
    <t>SYRIANA</t>
  </si>
  <si>
    <t>PROOF</t>
  </si>
  <si>
    <t>METRO</t>
  </si>
  <si>
    <t>AEON FLUX</t>
  </si>
  <si>
    <t>DREAMER</t>
  </si>
  <si>
    <t>PINEMA</t>
  </si>
  <si>
    <t>SAINT ANGE</t>
  </si>
  <si>
    <t>JARHEAD</t>
  </si>
  <si>
    <t>DUN GECE BIR RUYA GORDUM</t>
  </si>
  <si>
    <t>TRAVMA</t>
  </si>
  <si>
    <t>GOOD NIGHT &amp; GOOD LUCK</t>
  </si>
  <si>
    <t>CINECLICK ASIA</t>
  </si>
  <si>
    <t>CACHE</t>
  </si>
  <si>
    <t>BELGE FILM</t>
  </si>
  <si>
    <t>BARBAR FILM</t>
  </si>
  <si>
    <t>CLICK</t>
  </si>
  <si>
    <t>DEAD OR ALIVE</t>
  </si>
  <si>
    <t>AE FOND KISS</t>
  </si>
  <si>
    <t>HARD CANDY</t>
  </si>
  <si>
    <t>PIRATES OF THE CARIBBEN 2</t>
  </si>
  <si>
    <t>KARDAN ADAMLAR</t>
  </si>
  <si>
    <t>PROJE</t>
  </si>
  <si>
    <t>IKLIMLER</t>
  </si>
  <si>
    <t>CO PRODUCTION</t>
  </si>
  <si>
    <t>COMME T'Y ES BELLE!</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</si>
  <si>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</si>
  <si>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</si>
  <si>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</si>
  <si>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 of Last Weeks Local Releases</t>
  </si>
  <si>
    <t>Total Admission of Local Releases</t>
  </si>
  <si>
    <t>WORLD TRADE CENTER</t>
  </si>
  <si>
    <t>REEKER, THE</t>
  </si>
  <si>
    <t>IKI SUPER FILM BIRDEN</t>
  </si>
  <si>
    <t>10.03.06</t>
  </si>
  <si>
    <t>1</t>
  </si>
  <si>
    <t>12</t>
  </si>
  <si>
    <t>DEVIL WEARS PRADA, THE</t>
  </si>
  <si>
    <t>ARAF</t>
  </si>
  <si>
    <t>YOU , ME  AND DUPREE</t>
  </si>
  <si>
    <t>FLYBOYS</t>
  </si>
  <si>
    <t>NIGHT LISTENER, THE</t>
  </si>
  <si>
    <t>ARRIVEDERCI AMORE, CIAO</t>
  </si>
  <si>
    <t>13 / TZAMETI</t>
  </si>
  <si>
    <t>MURDERERS</t>
  </si>
  <si>
    <t>5</t>
  </si>
  <si>
    <t>9</t>
  </si>
  <si>
    <t>SILENT HILL</t>
  </si>
  <si>
    <t>OZEN-UMUT</t>
  </si>
  <si>
    <t>ODYSSEY</t>
  </si>
  <si>
    <t>UNIVERSE</t>
  </si>
  <si>
    <t>AVSAR FILM-TMC</t>
  </si>
  <si>
    <t>BıR F.-CINEMEDYA</t>
  </si>
  <si>
    <t>SINAV</t>
  </si>
  <si>
    <t>GRUDGE 2</t>
  </si>
  <si>
    <t>BARNYARD</t>
  </si>
  <si>
    <t>BIR F.</t>
  </si>
  <si>
    <t>BIR F. - DFGS</t>
  </si>
  <si>
    <t>WIND THAT SHAKES THE BARLEY, THE</t>
  </si>
  <si>
    <t>SENTINEL, THE</t>
  </si>
  <si>
    <t>MY SUPER EXGIRLFRIEND</t>
  </si>
  <si>
    <t>050 FILMS SHOWN</t>
  </si>
  <si>
    <t>TRANSYLVANIA</t>
  </si>
  <si>
    <t>PRINCES</t>
  </si>
  <si>
    <t>RE-CYCLE / GWAI WINK</t>
  </si>
  <si>
    <t>02.11.2006 - 15.30</t>
  </si>
  <si>
    <t>1.5069</t>
  </si>
  <si>
    <t>1.5142</t>
  </si>
  <si>
    <t>1.9117</t>
  </si>
  <si>
    <t>1.9209</t>
  </si>
  <si>
    <t>2.8203</t>
  </si>
  <si>
    <t>2.8350</t>
  </si>
  <si>
    <t>1.2041</t>
  </si>
  <si>
    <t>1.2119</t>
  </si>
  <si>
    <t>047 FILMS SHOWN</t>
  </si>
  <si>
    <r>
      <t xml:space="preserve">2006 Türkiye Annual Box Office Report  </t>
    </r>
    <r>
      <rPr>
        <sz val="16"/>
        <color indexed="9"/>
        <rFont val="Impact"/>
        <family val="2"/>
      </rPr>
      <t>30 Dec' 05 - 02 Nov' '06</t>
    </r>
  </si>
  <si>
    <t>HOKKABAZ</t>
  </si>
  <si>
    <t>BKM</t>
  </si>
  <si>
    <t>225</t>
  </si>
  <si>
    <t>346</t>
  </si>
  <si>
    <t>2</t>
  </si>
  <si>
    <t xml:space="preserve">OZEN </t>
  </si>
  <si>
    <t>GUARDIAN</t>
  </si>
  <si>
    <t>UNDERWORLD II</t>
  </si>
  <si>
    <t>SPOT</t>
  </si>
  <si>
    <t>ATLANTİK</t>
  </si>
  <si>
    <t>SCARY MOVIE  4</t>
  </si>
  <si>
    <t>THREE BURRIALS</t>
  </si>
  <si>
    <t>FAST &amp; FURIOUS 3</t>
  </si>
  <si>
    <t>COMME T'Y ES BELLE</t>
  </si>
  <si>
    <t>TRUST</t>
  </si>
  <si>
    <t>*Dağıtımcı firmalardan Barbar Film, ve UNP bu hafta film  dağıtmamıştır.</t>
  </si>
  <si>
    <t>610.125</t>
  </si>
  <si>
    <t>69.582</t>
  </si>
  <si>
    <t>054 FILMS SHOWN</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</si>
</sst>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4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b/>
      <sz val="10"/>
      <name val="Century Gothic"/>
      <family val="2"/>
    </font>
    <font>
      <sz val="10"/>
      <name val="Impact"/>
      <family val="2"/>
    </font>
    <font>
      <sz val="14"/>
      <name val="Arial"/>
      <family val="2"/>
    </font>
    <font>
      <sz val="40"/>
      <color indexed="9"/>
      <name val="Impact"/>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0"/>
    </font>
    <font>
      <b/>
      <sz val="10"/>
      <name val="Arial"/>
      <family val="2"/>
    </font>
    <font>
      <sz val="20"/>
      <name val="Impact"/>
      <family val="2"/>
    </font>
    <font>
      <b/>
      <sz val="10"/>
      <name val="Trebuchet MS"/>
      <family val="0"/>
    </font>
    <font>
      <sz val="10"/>
      <name val="Trebuchet MS"/>
      <family val="0"/>
    </font>
    <font>
      <sz val="20"/>
      <color indexed="44"/>
      <name val="GoudyLight"/>
      <family val="0"/>
    </font>
    <font>
      <i/>
      <sz val="9"/>
      <name val="Arial"/>
      <family val="2"/>
    </font>
    <font>
      <b/>
      <sz val="10"/>
      <color indexed="9"/>
      <name val="Trebuchet MS"/>
      <family val="2"/>
    </font>
    <font>
      <b/>
      <sz val="10"/>
      <color indexed="10"/>
      <name val="Trebuchet MS"/>
      <family val="2"/>
    </font>
    <font>
      <sz val="10"/>
      <color indexed="10"/>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0"/>
    </font>
    <font>
      <sz val="9"/>
      <name val="Arial"/>
      <family val="0"/>
    </font>
    <font>
      <sz val="9"/>
      <name val="Trebuchet MS"/>
      <family val="0"/>
    </font>
    <font>
      <sz val="9"/>
      <color indexed="10"/>
      <name val="Trebuchet MS"/>
      <family val="0"/>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8"/>
      <name val="Trebuchet MS"/>
      <family val="2"/>
    </font>
    <font>
      <b/>
      <sz val="10"/>
      <color indexed="8"/>
      <name val="Trebuchet MS"/>
      <family val="2"/>
    </font>
  </fonts>
  <fills count="5">
    <fill>
      <patternFill/>
    </fill>
    <fill>
      <patternFill patternType="gray125"/>
    </fill>
    <fill>
      <patternFill patternType="solid">
        <fgColor indexed="8"/>
        <bgColor indexed="64"/>
      </patternFill>
    </fill>
    <fill>
      <patternFill patternType="solid">
        <fgColor indexed="42"/>
        <bgColor indexed="64"/>
      </patternFill>
    </fill>
    <fill>
      <patternFill patternType="solid">
        <fgColor indexed="56"/>
        <bgColor indexed="64"/>
      </patternFill>
    </fill>
  </fills>
  <borders count="62">
    <border>
      <left/>
      <right/>
      <top/>
      <bottom/>
      <diagonal/>
    </border>
    <border>
      <left style="hair"/>
      <right style="hair"/>
      <top style="hair"/>
      <bottom style="hair"/>
    </border>
    <border>
      <left style="hair"/>
      <right style="hair"/>
      <top style="hair"/>
      <bottom style="medium"/>
    </border>
    <border>
      <left style="hair"/>
      <right style="hair"/>
      <top style="medium"/>
      <bottom style="hair"/>
    </border>
    <border>
      <left style="hair"/>
      <right style="medium"/>
      <top style="hair"/>
      <bottom style="hair"/>
    </border>
    <border>
      <left style="hair"/>
      <right style="medium"/>
      <top style="hair"/>
      <bottom style="medium"/>
    </border>
    <border>
      <left style="hair"/>
      <right style="medium"/>
      <top style="medium"/>
      <bottom style="hair"/>
    </border>
    <border>
      <left style="thin"/>
      <right style="thin"/>
      <top style="thin"/>
      <bottom style="medium"/>
    </border>
    <border>
      <left style="thin"/>
      <right style="medium"/>
      <top style="thin"/>
      <bottom style="medium"/>
    </border>
    <border>
      <left style="thin"/>
      <right style="thin"/>
      <top style="medium"/>
      <bottom style="thin"/>
    </border>
    <border>
      <left style="thin"/>
      <right style="hair"/>
      <top style="thin"/>
      <bottom style="thin"/>
    </border>
    <border>
      <left style="hair"/>
      <right style="hair"/>
      <top style="thin"/>
      <bottom style="thin"/>
    </border>
    <border>
      <left style="hair"/>
      <right style="medium"/>
      <top style="thin"/>
      <bottom style="thin"/>
    </border>
    <border>
      <left style="medium"/>
      <right style="hair"/>
      <top>
        <color indexed="63"/>
      </top>
      <bottom style="hair"/>
    </border>
    <border>
      <left style="hair"/>
      <right style="thin"/>
      <top>
        <color indexed="63"/>
      </top>
      <bottom style="hair"/>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hair"/>
    </border>
    <border>
      <left style="thin"/>
      <right style="hair"/>
      <top style="hair"/>
      <bottom style="hair"/>
    </border>
    <border>
      <left style="medium"/>
      <right style="hair"/>
      <top style="hair"/>
      <bottom style="medium"/>
    </border>
    <border>
      <left style="thin"/>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hair"/>
      <right style="thin"/>
      <top style="hair"/>
      <bottom style="hair"/>
    </border>
    <border>
      <left style="hair"/>
      <right style="thin"/>
      <top style="hair"/>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thin"/>
    </border>
    <border>
      <left style="medium"/>
      <right style="hair"/>
      <top style="medium"/>
      <bottom style="hair"/>
    </border>
    <border>
      <left style="medium"/>
      <right style="hair"/>
      <top style="hair"/>
      <bottom style="thin"/>
    </border>
    <border>
      <left style="hair"/>
      <right style="hair"/>
      <top style="medium"/>
      <bottom>
        <color indexed="63"/>
      </bottom>
    </border>
    <border>
      <left style="hair"/>
      <right style="medium"/>
      <top style="medium"/>
      <bottom>
        <color indexed="63"/>
      </bottom>
    </border>
    <border>
      <left style="thin"/>
      <right style="medium"/>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medium"/>
      <bottom style="hair"/>
    </border>
    <border>
      <left style="medium"/>
      <right>
        <color indexed="63"/>
      </right>
      <top style="hair"/>
      <bottom style="medium"/>
    </border>
    <border>
      <left style="hair"/>
      <right style="thin"/>
      <top style="medium"/>
      <bottom style="hair"/>
    </border>
    <border>
      <left style="hair"/>
      <right style="thin"/>
      <top style="hair"/>
      <bottom style="thin"/>
    </border>
    <border>
      <left style="thin"/>
      <right style="hair"/>
      <top style="medium"/>
      <bottom>
        <color indexed="63"/>
      </bottom>
    </border>
    <border>
      <left style="thin"/>
      <right style="medium"/>
      <top style="thin"/>
      <bottom>
        <color indexed="63"/>
      </botto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5">
    <xf numFmtId="0" fontId="0" fillId="0" borderId="0" xfId="0" applyAlignment="1">
      <alignment/>
    </xf>
    <xf numFmtId="43"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192" fontId="13" fillId="0" borderId="0" xfId="15" applyNumberFormat="1" applyFont="1" applyFill="1" applyBorder="1" applyAlignment="1" applyProtection="1">
      <alignment vertical="center"/>
      <protection/>
    </xf>
    <xf numFmtId="0" fontId="15"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3" fillId="0" borderId="0" xfId="0" applyNumberFormat="1" applyFont="1" applyFill="1" applyBorder="1" applyAlignment="1" applyProtection="1">
      <alignment horizontal="center" vertical="center"/>
      <protection locked="0"/>
    </xf>
    <xf numFmtId="184" fontId="7"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13" fillId="0" borderId="0" xfId="0" applyNumberFormat="1" applyFont="1" applyFill="1" applyBorder="1" applyAlignment="1" applyProtection="1">
      <alignment horizontal="right" vertical="center"/>
      <protection locked="0"/>
    </xf>
    <xf numFmtId="187" fontId="7"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3" fillId="0" borderId="0" xfId="0" applyNumberFormat="1" applyFont="1" applyFill="1" applyBorder="1" applyAlignment="1" applyProtection="1">
      <alignment vertical="center"/>
      <protection locked="0"/>
    </xf>
    <xf numFmtId="0" fontId="14" fillId="0" borderId="0" xfId="0" applyFont="1" applyBorder="1" applyAlignment="1">
      <alignment horizontal="center" vertical="center"/>
    </xf>
    <xf numFmtId="0" fontId="19" fillId="0" borderId="0" xfId="0" applyFont="1" applyBorder="1" applyAlignment="1" applyProtection="1">
      <alignment vertical="center" wrapText="1"/>
      <protection locked="0"/>
    </xf>
    <xf numFmtId="187" fontId="12"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7" fillId="0" borderId="0" xfId="0" applyNumberFormat="1" applyFont="1" applyFill="1" applyBorder="1" applyAlignment="1" applyProtection="1">
      <alignment vertical="center"/>
      <protection locked="0"/>
    </xf>
    <xf numFmtId="0" fontId="17"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23" fillId="2" borderId="1" xfId="0" applyFont="1" applyFill="1" applyBorder="1" applyAlignment="1">
      <alignment vertical="center"/>
    </xf>
    <xf numFmtId="184" fontId="23" fillId="2" borderId="1" xfId="0" applyNumberFormat="1" applyFont="1" applyFill="1" applyBorder="1" applyAlignment="1">
      <alignment horizontal="center" vertical="center"/>
    </xf>
    <xf numFmtId="0" fontId="23" fillId="2" borderId="1" xfId="0" applyFont="1" applyFill="1" applyBorder="1" applyAlignment="1">
      <alignment horizontal="center" vertical="center"/>
    </xf>
    <xf numFmtId="3" fontId="23" fillId="2" borderId="1" xfId="0" applyNumberFormat="1" applyFont="1" applyFill="1" applyBorder="1" applyAlignment="1">
      <alignment horizontal="center" vertical="center"/>
    </xf>
    <xf numFmtId="192" fontId="23" fillId="2" borderId="1" xfId="0" applyNumberFormat="1" applyFont="1" applyFill="1" applyBorder="1" applyAlignment="1">
      <alignment vertical="center"/>
    </xf>
    <xf numFmtId="193" fontId="12" fillId="0" borderId="0" xfId="0" applyNumberFormat="1" applyFont="1" applyFill="1" applyBorder="1" applyAlignment="1" applyProtection="1">
      <alignment horizontal="right" vertical="center"/>
      <protection locked="0"/>
    </xf>
    <xf numFmtId="193" fontId="13"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23" fillId="2" borderId="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23" fillId="2" borderId="2" xfId="0" applyFont="1" applyFill="1" applyBorder="1" applyAlignment="1">
      <alignment vertical="center"/>
    </xf>
    <xf numFmtId="184" fontId="23" fillId="2" borderId="2" xfId="0" applyNumberFormat="1" applyFont="1" applyFill="1" applyBorder="1" applyAlignment="1">
      <alignment horizontal="center" vertical="center"/>
    </xf>
    <xf numFmtId="0" fontId="23" fillId="2" borderId="2" xfId="0" applyFont="1" applyFill="1" applyBorder="1" applyAlignment="1">
      <alignment horizontal="center" vertical="center"/>
    </xf>
    <xf numFmtId="3" fontId="23" fillId="2" borderId="2" xfId="0" applyNumberFormat="1" applyFont="1" applyFill="1" applyBorder="1" applyAlignment="1">
      <alignment horizontal="center" vertical="center"/>
    </xf>
    <xf numFmtId="193" fontId="23" fillId="2" borderId="2" xfId="0" applyNumberFormat="1" applyFont="1" applyFill="1" applyBorder="1" applyAlignment="1">
      <alignment horizontal="right" vertical="center"/>
    </xf>
    <xf numFmtId="192" fontId="23" fillId="2" borderId="2" xfId="0" applyNumberFormat="1" applyFont="1" applyFill="1" applyBorder="1" applyAlignment="1">
      <alignment vertical="center"/>
    </xf>
    <xf numFmtId="0" fontId="17" fillId="0" borderId="3" xfId="0" applyFont="1" applyBorder="1" applyAlignment="1">
      <alignment horizontal="center" vertical="center"/>
    </xf>
    <xf numFmtId="3" fontId="17" fillId="0" borderId="3" xfId="0" applyNumberFormat="1" applyFont="1" applyBorder="1" applyAlignment="1">
      <alignment horizontal="center" vertical="center"/>
    </xf>
    <xf numFmtId="187" fontId="20" fillId="2" borderId="2" xfId="0" applyNumberFormat="1" applyFont="1" applyFill="1" applyBorder="1" applyAlignment="1">
      <alignment horizontal="right" vertical="center"/>
    </xf>
    <xf numFmtId="187" fontId="23" fillId="2" borderId="1" xfId="0" applyNumberFormat="1" applyFont="1" applyFill="1" applyBorder="1" applyAlignment="1">
      <alignment horizontal="right" vertical="center"/>
    </xf>
    <xf numFmtId="187" fontId="23" fillId="2" borderId="2" xfId="0" applyNumberFormat="1" applyFont="1" applyFill="1" applyBorder="1" applyAlignment="1">
      <alignment horizontal="right" vertical="center"/>
    </xf>
    <xf numFmtId="187" fontId="13" fillId="0" borderId="0" xfId="15"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23" fillId="2" borderId="4" xfId="0" applyNumberFormat="1" applyFont="1" applyFill="1" applyBorder="1" applyAlignment="1">
      <alignment horizontal="right" vertical="center"/>
    </xf>
    <xf numFmtId="192" fontId="23" fillId="2" borderId="5" xfId="0" applyNumberFormat="1" applyFont="1" applyFill="1" applyBorder="1" applyAlignment="1">
      <alignment horizontal="right" vertical="center"/>
    </xf>
    <xf numFmtId="192" fontId="13" fillId="0" borderId="0" xfId="0" applyNumberFormat="1" applyFont="1" applyFill="1" applyBorder="1" applyAlignment="1" applyProtection="1">
      <alignment horizontal="right" vertical="center"/>
      <protection locked="0"/>
    </xf>
    <xf numFmtId="192" fontId="7" fillId="0" borderId="0" xfId="0" applyNumberFormat="1" applyFont="1" applyFill="1" applyBorder="1" applyAlignment="1" applyProtection="1">
      <alignment horizontal="right" vertical="center"/>
      <protection locked="0"/>
    </xf>
    <xf numFmtId="187" fontId="26" fillId="0" borderId="0" xfId="0" applyNumberFormat="1" applyFont="1" applyFill="1" applyBorder="1" applyAlignment="1" applyProtection="1">
      <alignment horizontal="right" vertical="center"/>
      <protection/>
    </xf>
    <xf numFmtId="187" fontId="20" fillId="2" borderId="1" xfId="0" applyNumberFormat="1" applyFont="1" applyFill="1" applyBorder="1" applyAlignment="1">
      <alignment horizontal="right" vertical="center"/>
    </xf>
    <xf numFmtId="187" fontId="27" fillId="0" borderId="0" xfId="0" applyNumberFormat="1" applyFont="1" applyFill="1" applyBorder="1" applyAlignment="1" applyProtection="1">
      <alignment horizontal="right" vertical="center"/>
      <protection locked="0"/>
    </xf>
    <xf numFmtId="187" fontId="28" fillId="0" borderId="0" xfId="0" applyNumberFormat="1" applyFont="1" applyFill="1" applyBorder="1" applyAlignment="1" applyProtection="1">
      <alignment horizontal="right" vertical="center"/>
      <protection locked="0"/>
    </xf>
    <xf numFmtId="192" fontId="17" fillId="0" borderId="6" xfId="0" applyNumberFormat="1" applyFont="1" applyBorder="1" applyAlignment="1">
      <alignment vertical="center"/>
    </xf>
    <xf numFmtId="187" fontId="16" fillId="0" borderId="3" xfId="0" applyNumberFormat="1" applyFont="1" applyBorder="1" applyAlignment="1">
      <alignment horizontal="right" vertical="center"/>
    </xf>
    <xf numFmtId="0" fontId="13" fillId="0" borderId="0" xfId="0" applyFont="1" applyFill="1" applyBorder="1" applyAlignment="1" applyProtection="1">
      <alignment horizontal="right" vertical="center"/>
      <protection locked="0"/>
    </xf>
    <xf numFmtId="0" fontId="13" fillId="0" borderId="0" xfId="0" applyFont="1" applyFill="1" applyBorder="1" applyAlignment="1" applyProtection="1">
      <alignment horizontal="left" vertical="center" indent="1"/>
      <protection locked="0"/>
    </xf>
    <xf numFmtId="0" fontId="0" fillId="0" borderId="0" xfId="0" applyFont="1" applyBorder="1" applyAlignment="1">
      <alignment horizontal="center"/>
    </xf>
    <xf numFmtId="0" fontId="0" fillId="0" borderId="0" xfId="0" applyBorder="1" applyAlignment="1">
      <alignment horizontal="center" vertical="center"/>
    </xf>
    <xf numFmtId="1" fontId="30" fillId="0" borderId="0" xfId="0" applyNumberFormat="1" applyFont="1" applyFill="1" applyBorder="1" applyAlignment="1" applyProtection="1">
      <alignment horizontal="right" vertical="center"/>
      <protection/>
    </xf>
    <xf numFmtId="1" fontId="30" fillId="0" borderId="0" xfId="0" applyNumberFormat="1" applyFont="1" applyFill="1" applyBorder="1" applyAlignment="1" applyProtection="1">
      <alignment horizontal="right" vertical="center"/>
      <protection locked="0"/>
    </xf>
    <xf numFmtId="187" fontId="33" fillId="0" borderId="7" xfId="0" applyNumberFormat="1" applyFont="1" applyFill="1" applyBorder="1" applyAlignment="1" applyProtection="1">
      <alignment horizontal="center" wrapText="1"/>
      <protection/>
    </xf>
    <xf numFmtId="193" fontId="33" fillId="0" borderId="7" xfId="0" applyNumberFormat="1" applyFont="1" applyFill="1" applyBorder="1" applyAlignment="1" applyProtection="1">
      <alignment horizontal="center" wrapText="1"/>
      <protection/>
    </xf>
    <xf numFmtId="192" fontId="33" fillId="0" borderId="7" xfId="0" applyNumberFormat="1" applyFont="1" applyFill="1" applyBorder="1" applyAlignment="1" applyProtection="1">
      <alignment horizontal="center" wrapText="1"/>
      <protection/>
    </xf>
    <xf numFmtId="192" fontId="33" fillId="0" borderId="8" xfId="0" applyNumberFormat="1" applyFont="1" applyFill="1" applyBorder="1" applyAlignment="1" applyProtection="1">
      <alignment horizontal="center" wrapText="1"/>
      <protection/>
    </xf>
    <xf numFmtId="0" fontId="33" fillId="0" borderId="9" xfId="0" applyNumberFormat="1" applyFont="1" applyFill="1" applyBorder="1" applyAlignment="1" applyProtection="1">
      <alignment horizontal="center" vertical="center" wrapText="1"/>
      <protection/>
    </xf>
    <xf numFmtId="184" fontId="22" fillId="2" borderId="3" xfId="0" applyNumberFormat="1" applyFont="1" applyFill="1" applyBorder="1" applyAlignment="1">
      <alignment horizontal="center" vertical="center"/>
    </xf>
    <xf numFmtId="0" fontId="22" fillId="2" borderId="3" xfId="0" applyFont="1" applyFill="1" applyBorder="1" applyAlignment="1">
      <alignment horizontal="center" vertical="center"/>
    </xf>
    <xf numFmtId="0" fontId="22" fillId="2" borderId="3" xfId="0" applyFont="1" applyFill="1" applyBorder="1" applyAlignment="1">
      <alignment vertical="center"/>
    </xf>
    <xf numFmtId="3" fontId="22" fillId="2" borderId="3" xfId="0" applyNumberFormat="1" applyFont="1" applyFill="1" applyBorder="1" applyAlignment="1">
      <alignment horizontal="center" vertical="center"/>
    </xf>
    <xf numFmtId="187" fontId="21" fillId="2" borderId="3" xfId="0" applyNumberFormat="1" applyFont="1" applyFill="1" applyBorder="1" applyAlignment="1">
      <alignment horizontal="right" vertical="center"/>
    </xf>
    <xf numFmtId="193" fontId="22" fillId="2" borderId="3" xfId="0" applyNumberFormat="1" applyFont="1" applyFill="1" applyBorder="1" applyAlignment="1">
      <alignment horizontal="right" vertical="center"/>
    </xf>
    <xf numFmtId="192" fontId="22" fillId="2" borderId="3" xfId="0" applyNumberFormat="1" applyFont="1" applyFill="1" applyBorder="1" applyAlignment="1">
      <alignment vertical="center"/>
    </xf>
    <xf numFmtId="187" fontId="22" fillId="2" borderId="3" xfId="0" applyNumberFormat="1" applyFont="1" applyFill="1" applyBorder="1" applyAlignment="1">
      <alignment horizontal="right" vertical="center"/>
    </xf>
    <xf numFmtId="192" fontId="22" fillId="2" borderId="6" xfId="0" applyNumberFormat="1" applyFont="1" applyFill="1" applyBorder="1" applyAlignment="1">
      <alignment horizontal="right" vertical="center"/>
    </xf>
    <xf numFmtId="0" fontId="36" fillId="0" borderId="10" xfId="0" applyFont="1" applyFill="1" applyBorder="1" applyAlignment="1" applyProtection="1">
      <alignment horizontal="center" vertical="center"/>
      <protection locked="0"/>
    </xf>
    <xf numFmtId="0" fontId="36" fillId="0" borderId="11" xfId="0" applyNumberFormat="1" applyFont="1" applyFill="1" applyBorder="1" applyAlignment="1" applyProtection="1">
      <alignment horizontal="center" vertical="center"/>
      <protection locked="0"/>
    </xf>
    <xf numFmtId="0" fontId="36" fillId="0" borderId="12" xfId="0" applyNumberFormat="1" applyFont="1" applyFill="1" applyBorder="1" applyAlignment="1" applyProtection="1">
      <alignment horizontal="center" vertical="center"/>
      <protection locked="0"/>
    </xf>
    <xf numFmtId="0" fontId="38" fillId="0" borderId="13" xfId="0" applyFont="1" applyFill="1" applyBorder="1" applyAlignment="1" applyProtection="1">
      <alignment horizontal="right" vertical="center"/>
      <protection locked="0"/>
    </xf>
    <xf numFmtId="49" fontId="38" fillId="0" borderId="14" xfId="0" applyNumberFormat="1" applyFont="1" applyFill="1" applyBorder="1" applyAlignment="1" applyProtection="1">
      <alignment horizontal="center" vertical="center"/>
      <protection locked="0"/>
    </xf>
    <xf numFmtId="0" fontId="38" fillId="0" borderId="15" xfId="0" applyFont="1" applyFill="1" applyBorder="1" applyAlignment="1" applyProtection="1">
      <alignment horizontal="left" vertical="center" indent="1"/>
      <protection locked="0"/>
    </xf>
    <xf numFmtId="49" fontId="39" fillId="0" borderId="16" xfId="0" applyNumberFormat="1" applyFont="1" applyFill="1" applyBorder="1" applyAlignment="1" applyProtection="1">
      <alignment horizontal="center" vertical="center"/>
      <protection locked="0"/>
    </xf>
    <xf numFmtId="49" fontId="39" fillId="0" borderId="17" xfId="0" applyNumberFormat="1" applyFont="1" applyFill="1" applyBorder="1" applyAlignment="1" applyProtection="1">
      <alignment horizontal="center" vertical="center"/>
      <protection locked="0"/>
    </xf>
    <xf numFmtId="0" fontId="38" fillId="0" borderId="18" xfId="0" applyFont="1" applyFill="1" applyBorder="1" applyAlignment="1" applyProtection="1">
      <alignment horizontal="right" vertical="center"/>
      <protection locked="0"/>
    </xf>
    <xf numFmtId="0" fontId="38" fillId="0" borderId="19" xfId="0" applyFont="1" applyFill="1" applyBorder="1" applyAlignment="1" applyProtection="1">
      <alignment horizontal="left" vertical="center" indent="1"/>
      <protection locked="0"/>
    </xf>
    <xf numFmtId="49" fontId="39" fillId="0" borderId="1" xfId="0" applyNumberFormat="1" applyFont="1" applyFill="1" applyBorder="1" applyAlignment="1" applyProtection="1">
      <alignment horizontal="center" vertical="center"/>
      <protection locked="0"/>
    </xf>
    <xf numFmtId="49" fontId="39" fillId="0" borderId="4" xfId="0" applyNumberFormat="1" applyFont="1" applyFill="1" applyBorder="1" applyAlignment="1" applyProtection="1">
      <alignment horizontal="center" vertical="center"/>
      <protection locked="0"/>
    </xf>
    <xf numFmtId="0" fontId="38" fillId="0" borderId="20" xfId="0" applyFont="1" applyFill="1" applyBorder="1" applyAlignment="1" applyProtection="1">
      <alignment horizontal="right" vertical="center"/>
      <protection locked="0"/>
    </xf>
    <xf numFmtId="0" fontId="38" fillId="0" borderId="21" xfId="0" applyFont="1" applyFill="1" applyBorder="1" applyAlignment="1" applyProtection="1">
      <alignment horizontal="left" vertical="center" indent="1"/>
      <protection locked="0"/>
    </xf>
    <xf numFmtId="49" fontId="39" fillId="0" borderId="2" xfId="0" applyNumberFormat="1" applyFont="1" applyFill="1" applyBorder="1" applyAlignment="1" applyProtection="1">
      <alignment horizontal="center" vertical="center"/>
      <protection locked="0"/>
    </xf>
    <xf numFmtId="49" fontId="39" fillId="0" borderId="5" xfId="0" applyNumberFormat="1" applyFont="1" applyFill="1" applyBorder="1" applyAlignment="1" applyProtection="1">
      <alignment horizontal="center" vertical="center"/>
      <protection locked="0"/>
    </xf>
    <xf numFmtId="0" fontId="38" fillId="0" borderId="1" xfId="0" applyNumberFormat="1" applyFont="1" applyFill="1" applyBorder="1" applyAlignment="1" applyProtection="1">
      <alignment horizontal="center" vertical="center"/>
      <protection locked="0"/>
    </xf>
    <xf numFmtId="4" fontId="36" fillId="0" borderId="1" xfId="0" applyNumberFormat="1" applyFont="1" applyFill="1" applyBorder="1" applyAlignment="1" applyProtection="1">
      <alignment horizontal="right" vertical="center" indent="1"/>
      <protection locked="0"/>
    </xf>
    <xf numFmtId="193" fontId="38" fillId="0" borderId="1" xfId="0" applyNumberFormat="1" applyFont="1" applyFill="1" applyBorder="1" applyAlignment="1" applyProtection="1">
      <alignment horizontal="right" vertical="center" indent="1"/>
      <protection locked="0"/>
    </xf>
    <xf numFmtId="192" fontId="38" fillId="0" borderId="4" xfId="0" applyNumberFormat="1" applyFont="1" applyFill="1" applyBorder="1" applyAlignment="1" applyProtection="1">
      <alignment horizontal="center" vertical="center"/>
      <protection locked="0"/>
    </xf>
    <xf numFmtId="0" fontId="38" fillId="0" borderId="2" xfId="0" applyNumberFormat="1" applyFont="1" applyFill="1" applyBorder="1" applyAlignment="1" applyProtection="1">
      <alignment horizontal="center" vertical="center"/>
      <protection locked="0"/>
    </xf>
    <xf numFmtId="4" fontId="36" fillId="0" borderId="2" xfId="0" applyNumberFormat="1" applyFont="1" applyFill="1" applyBorder="1" applyAlignment="1" applyProtection="1">
      <alignment horizontal="right" vertical="center" indent="1"/>
      <protection locked="0"/>
    </xf>
    <xf numFmtId="193" fontId="38" fillId="0" borderId="2" xfId="0" applyNumberFormat="1" applyFont="1" applyFill="1" applyBorder="1" applyAlignment="1" applyProtection="1">
      <alignment horizontal="right" vertical="center" indent="1"/>
      <protection locked="0"/>
    </xf>
    <xf numFmtId="192" fontId="38" fillId="0" borderId="5" xfId="0" applyNumberFormat="1" applyFont="1" applyFill="1" applyBorder="1" applyAlignment="1" applyProtection="1">
      <alignment horizontal="center" vertical="center"/>
      <protection locked="0"/>
    </xf>
    <xf numFmtId="0" fontId="36" fillId="0" borderId="22" xfId="0" applyFont="1" applyFill="1" applyBorder="1" applyAlignment="1" applyProtection="1">
      <alignment horizontal="center" vertical="center"/>
      <protection locked="0"/>
    </xf>
    <xf numFmtId="0" fontId="38" fillId="0" borderId="23" xfId="0" applyFont="1" applyFill="1" applyBorder="1" applyAlignment="1" applyProtection="1">
      <alignment horizontal="right" vertical="center"/>
      <protection locked="0"/>
    </xf>
    <xf numFmtId="0" fontId="38" fillId="0" borderId="24" xfId="0" applyFont="1" applyFill="1" applyBorder="1" applyAlignment="1" applyProtection="1">
      <alignment horizontal="right" vertical="center"/>
      <protection locked="0"/>
    </xf>
    <xf numFmtId="1" fontId="40" fillId="0" borderId="25" xfId="0" applyNumberFormat="1" applyFont="1" applyFill="1" applyBorder="1" applyAlignment="1" applyProtection="1">
      <alignment horizontal="right" vertical="center"/>
      <protection locked="0"/>
    </xf>
    <xf numFmtId="1" fontId="40" fillId="0" borderId="26" xfId="0" applyNumberFormat="1" applyFont="1" applyFill="1" applyBorder="1" applyAlignment="1" applyProtection="1">
      <alignment horizontal="right" vertical="center"/>
      <protection/>
    </xf>
    <xf numFmtId="1" fontId="40" fillId="0" borderId="27" xfId="0" applyNumberFormat="1" applyFont="1" applyFill="1" applyBorder="1" applyAlignment="1" applyProtection="1">
      <alignment horizontal="right" vertical="center"/>
      <protection/>
    </xf>
    <xf numFmtId="1" fontId="40" fillId="0" borderId="28" xfId="0" applyNumberFormat="1" applyFont="1" applyFill="1" applyBorder="1" applyAlignment="1" applyProtection="1">
      <alignment horizontal="right" vertical="center"/>
      <protection/>
    </xf>
    <xf numFmtId="0" fontId="38" fillId="0" borderId="29" xfId="0" applyFont="1" applyFill="1" applyBorder="1" applyAlignment="1" applyProtection="1">
      <alignment horizontal="right" vertical="center"/>
      <protection locked="0"/>
    </xf>
    <xf numFmtId="0" fontId="38" fillId="0" borderId="16" xfId="0" applyNumberFormat="1" applyFont="1" applyFill="1" applyBorder="1" applyAlignment="1" applyProtection="1">
      <alignment horizontal="center" vertical="center"/>
      <protection locked="0"/>
    </xf>
    <xf numFmtId="4" fontId="36" fillId="0" borderId="16" xfId="0" applyNumberFormat="1" applyFont="1" applyFill="1" applyBorder="1" applyAlignment="1" applyProtection="1">
      <alignment horizontal="right" vertical="center" indent="1"/>
      <protection locked="0"/>
    </xf>
    <xf numFmtId="193" fontId="38" fillId="0" borderId="16" xfId="0" applyNumberFormat="1" applyFont="1" applyFill="1" applyBorder="1" applyAlignment="1" applyProtection="1">
      <alignment horizontal="right" vertical="center" indent="1"/>
      <protection locked="0"/>
    </xf>
    <xf numFmtId="192" fontId="38" fillId="0" borderId="17" xfId="0" applyNumberFormat="1" applyFont="1" applyFill="1" applyBorder="1" applyAlignment="1" applyProtection="1">
      <alignment horizontal="center" vertical="center"/>
      <protection locked="0"/>
    </xf>
    <xf numFmtId="1" fontId="40" fillId="0" borderId="30" xfId="0" applyNumberFormat="1" applyFont="1" applyFill="1" applyBorder="1" applyAlignment="1" applyProtection="1">
      <alignment horizontal="right" vertical="center"/>
      <protection locked="0"/>
    </xf>
    <xf numFmtId="0" fontId="36" fillId="0" borderId="31" xfId="0" applyFont="1" applyFill="1" applyBorder="1" applyAlignment="1" applyProtection="1">
      <alignment horizontal="center" vertical="center"/>
      <protection locked="0"/>
    </xf>
    <xf numFmtId="184" fontId="36" fillId="0" borderId="32" xfId="0" applyNumberFormat="1"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protection locked="0"/>
    </xf>
    <xf numFmtId="0" fontId="36" fillId="0" borderId="33"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32" fillId="0" borderId="34" xfId="0" applyNumberFormat="1" applyFont="1" applyFill="1" applyBorder="1" applyAlignment="1" applyProtection="1">
      <alignment horizontal="center" vertical="center" wrapText="1"/>
      <protection/>
    </xf>
    <xf numFmtId="1" fontId="34" fillId="0" borderId="35" xfId="0" applyNumberFormat="1" applyFont="1" applyFill="1" applyBorder="1" applyAlignment="1" applyProtection="1">
      <alignment horizontal="center" vertical="center" wrapText="1"/>
      <protection/>
    </xf>
    <xf numFmtId="187" fontId="33" fillId="0" borderId="36" xfId="0" applyNumberFormat="1" applyFont="1" applyFill="1" applyBorder="1" applyAlignment="1" applyProtection="1">
      <alignment horizontal="center" vertical="center" wrapText="1"/>
      <protection/>
    </xf>
    <xf numFmtId="193" fontId="33" fillId="0" borderId="36" xfId="0" applyNumberFormat="1" applyFont="1" applyFill="1" applyBorder="1" applyAlignment="1" applyProtection="1">
      <alignment horizontal="center" vertical="center" wrapText="1"/>
      <protection/>
    </xf>
    <xf numFmtId="0" fontId="24" fillId="0" borderId="0" xfId="0" applyFont="1" applyBorder="1" applyAlignment="1">
      <alignment vertical="center"/>
    </xf>
    <xf numFmtId="0" fontId="3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0" xfId="0" applyFont="1" applyFill="1" applyBorder="1" applyAlignment="1">
      <alignment vertical="center"/>
    </xf>
    <xf numFmtId="2" fontId="14"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4"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4" fillId="0" borderId="0" xfId="0" applyNumberFormat="1" applyFont="1" applyBorder="1" applyAlignment="1">
      <alignment horizontal="right" vertical="center"/>
    </xf>
    <xf numFmtId="193" fontId="14" fillId="0" borderId="0" xfId="0" applyNumberFormat="1" applyFont="1" applyBorder="1" applyAlignment="1">
      <alignment horizontal="right" vertical="center" indent="1"/>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30" fillId="0" borderId="0" xfId="0" applyFont="1" applyFill="1" applyBorder="1" applyAlignment="1">
      <alignment horizontal="right" vertical="center"/>
    </xf>
    <xf numFmtId="0" fontId="30" fillId="0" borderId="0" xfId="0" applyFont="1" applyBorder="1" applyAlignment="1">
      <alignment horizontal="right" vertical="center"/>
    </xf>
    <xf numFmtId="193" fontId="44" fillId="0" borderId="0" xfId="0" applyNumberFormat="1" applyFont="1" applyFill="1" applyBorder="1" applyAlignment="1" applyProtection="1">
      <alignment horizontal="right" vertical="center"/>
      <protection/>
    </xf>
    <xf numFmtId="193" fontId="21" fillId="2" borderId="3" xfId="0" applyNumberFormat="1" applyFont="1" applyFill="1" applyBorder="1" applyAlignment="1">
      <alignment horizontal="right" vertical="center"/>
    </xf>
    <xf numFmtId="193" fontId="20" fillId="2" borderId="1" xfId="0" applyNumberFormat="1" applyFont="1" applyFill="1" applyBorder="1" applyAlignment="1">
      <alignment horizontal="right" vertical="center"/>
    </xf>
    <xf numFmtId="193" fontId="20" fillId="2" borderId="2" xfId="0" applyNumberFormat="1" applyFont="1" applyFill="1" applyBorder="1" applyAlignment="1">
      <alignment horizontal="right" vertical="center"/>
    </xf>
    <xf numFmtId="0" fontId="14" fillId="0" borderId="0" xfId="0" applyFont="1" applyAlignment="1">
      <alignment horizontal="right" vertical="center"/>
    </xf>
    <xf numFmtId="0" fontId="14" fillId="0" borderId="0" xfId="0" applyFont="1" applyAlignment="1">
      <alignment vertical="center" readingOrder="1"/>
    </xf>
    <xf numFmtId="193" fontId="45" fillId="0" borderId="0" xfId="0" applyNumberFormat="1" applyFont="1" applyFill="1" applyBorder="1" applyAlignment="1" applyProtection="1">
      <alignment horizontal="right" vertical="center"/>
      <protection locked="0"/>
    </xf>
    <xf numFmtId="0" fontId="17" fillId="0" borderId="1" xfId="0" applyFont="1" applyFill="1" applyBorder="1" applyAlignment="1">
      <alignment horizontal="left" vertical="center"/>
    </xf>
    <xf numFmtId="184"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pplyProtection="1">
      <alignment horizontal="left" vertical="center"/>
      <protection locked="0"/>
    </xf>
    <xf numFmtId="184" fontId="17" fillId="0" borderId="1" xfId="0" applyNumberFormat="1" applyFont="1" applyFill="1" applyBorder="1" applyAlignment="1" applyProtection="1">
      <alignment horizontal="center" vertical="center"/>
      <protection locked="0"/>
    </xf>
    <xf numFmtId="184" fontId="17" fillId="0" borderId="1" xfId="0" applyNumberFormat="1" applyFont="1" applyFill="1" applyBorder="1" applyAlignment="1" applyProtection="1">
      <alignment horizontal="left" vertical="center"/>
      <protection locked="0"/>
    </xf>
    <xf numFmtId="0" fontId="17" fillId="0" borderId="1" xfId="0" applyFont="1" applyFill="1" applyBorder="1" applyAlignment="1" applyProtection="1">
      <alignment horizontal="center" vertical="center"/>
      <protection locked="0"/>
    </xf>
    <xf numFmtId="49" fontId="17" fillId="0" borderId="1" xfId="0" applyNumberFormat="1" applyFont="1" applyFill="1" applyBorder="1" applyAlignment="1" applyProtection="1">
      <alignment horizontal="left" vertical="center"/>
      <protection locked="0"/>
    </xf>
    <xf numFmtId="49" fontId="17" fillId="0" borderId="1" xfId="0" applyNumberFormat="1" applyFont="1" applyFill="1" applyBorder="1" applyAlignment="1" applyProtection="1">
      <alignment horizontal="center" vertical="center"/>
      <protection locked="0"/>
    </xf>
    <xf numFmtId="49" fontId="17" fillId="0" borderId="1" xfId="0" applyNumberFormat="1" applyFont="1" applyFill="1" applyBorder="1" applyAlignment="1">
      <alignment horizontal="left" vertical="center"/>
    </xf>
    <xf numFmtId="49" fontId="17" fillId="0" borderId="1" xfId="0" applyNumberFormat="1" applyFont="1" applyFill="1" applyBorder="1" applyAlignment="1">
      <alignment horizontal="center" vertical="center"/>
    </xf>
    <xf numFmtId="3" fontId="17" fillId="0" borderId="1" xfId="0" applyNumberFormat="1" applyFont="1" applyFill="1" applyBorder="1" applyAlignment="1" applyProtection="1">
      <alignment horizontal="left" vertical="center"/>
      <protection locked="0"/>
    </xf>
    <xf numFmtId="3" fontId="17" fillId="0" borderId="1" xfId="0" applyNumberFormat="1" applyFont="1" applyFill="1" applyBorder="1" applyAlignment="1" applyProtection="1">
      <alignment horizontal="center" vertical="center"/>
      <protection locked="0"/>
    </xf>
    <xf numFmtId="3" fontId="17" fillId="0" borderId="1" xfId="0" applyNumberFormat="1" applyFont="1" applyFill="1" applyBorder="1" applyAlignment="1">
      <alignment horizontal="center" vertical="center"/>
    </xf>
    <xf numFmtId="0" fontId="46" fillId="0" borderId="1" xfId="0" applyFont="1" applyFill="1" applyBorder="1" applyAlignment="1">
      <alignment horizontal="left" vertical="center"/>
    </xf>
    <xf numFmtId="0" fontId="46" fillId="0" borderId="1" xfId="0" applyFont="1" applyFill="1" applyBorder="1" applyAlignment="1">
      <alignment horizontal="center" vertical="center"/>
    </xf>
    <xf numFmtId="197" fontId="17" fillId="0" borderId="1" xfId="0" applyNumberFormat="1" applyFont="1" applyFill="1" applyBorder="1" applyAlignment="1">
      <alignment horizontal="left" vertical="center"/>
    </xf>
    <xf numFmtId="0" fontId="30" fillId="0" borderId="34" xfId="0" applyFont="1" applyFill="1" applyBorder="1" applyAlignment="1">
      <alignment horizontal="center" vertical="center"/>
    </xf>
    <xf numFmtId="0" fontId="31" fillId="0" borderId="35" xfId="0" applyFont="1" applyFill="1" applyBorder="1" applyAlignment="1">
      <alignment horizontal="center" vertical="center"/>
    </xf>
    <xf numFmtId="187" fontId="33" fillId="0" borderId="7" xfId="0" applyNumberFormat="1" applyFont="1" applyFill="1" applyBorder="1" applyAlignment="1" applyProtection="1">
      <alignment horizontal="center" vertical="center" wrapText="1"/>
      <protection/>
    </xf>
    <xf numFmtId="193" fontId="33" fillId="0" borderId="7" xfId="0" applyNumberFormat="1" applyFont="1" applyFill="1" applyBorder="1" applyAlignment="1" applyProtection="1">
      <alignment horizontal="center" vertical="center" wrapText="1"/>
      <protection/>
    </xf>
    <xf numFmtId="0" fontId="17" fillId="0" borderId="3" xfId="0" applyFont="1" applyFill="1" applyBorder="1" applyAlignment="1">
      <alignment horizontal="left" vertical="center"/>
    </xf>
    <xf numFmtId="184" fontId="17" fillId="0" borderId="3" xfId="0" applyNumberFormat="1" applyFont="1" applyFill="1" applyBorder="1" applyAlignment="1">
      <alignment horizontal="center" vertical="center"/>
    </xf>
    <xf numFmtId="0" fontId="17" fillId="0" borderId="3" xfId="0" applyFont="1" applyFill="1" applyBorder="1" applyAlignment="1">
      <alignment horizontal="center" vertical="center"/>
    </xf>
    <xf numFmtId="192" fontId="17" fillId="0" borderId="6" xfId="0" applyNumberFormat="1" applyFont="1" applyFill="1" applyBorder="1" applyAlignment="1">
      <alignment vertical="center"/>
    </xf>
    <xf numFmtId="192" fontId="17" fillId="0" borderId="4" xfId="0" applyNumberFormat="1" applyFont="1" applyFill="1" applyBorder="1" applyAlignment="1">
      <alignment vertical="center"/>
    </xf>
    <xf numFmtId="192" fontId="17" fillId="0" borderId="4" xfId="15" applyNumberFormat="1" applyFont="1" applyFill="1" applyBorder="1" applyAlignment="1" applyProtection="1">
      <alignment vertical="center"/>
      <protection/>
    </xf>
    <xf numFmtId="192" fontId="17" fillId="0" borderId="4" xfId="21" applyNumberFormat="1" applyFont="1" applyFill="1" applyBorder="1" applyAlignment="1" applyProtection="1">
      <alignment vertical="center"/>
      <protection/>
    </xf>
    <xf numFmtId="0" fontId="17" fillId="0" borderId="2" xfId="0" applyFont="1" applyFill="1" applyBorder="1" applyAlignment="1">
      <alignment horizontal="left" vertical="center"/>
    </xf>
    <xf numFmtId="184"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30" fillId="0" borderId="37" xfId="0" applyFont="1" applyFill="1" applyBorder="1" applyAlignment="1" applyProtection="1">
      <alignment horizontal="right" vertical="center"/>
      <protection/>
    </xf>
    <xf numFmtId="0" fontId="30" fillId="0" borderId="38" xfId="0" applyFont="1" applyFill="1" applyBorder="1" applyAlignment="1" applyProtection="1">
      <alignment horizontal="right" vertical="center"/>
      <protection/>
    </xf>
    <xf numFmtId="184" fontId="17" fillId="0" borderId="32" xfId="0" applyNumberFormat="1" applyFont="1" applyFill="1" applyBorder="1" applyAlignment="1" applyProtection="1">
      <alignment horizontal="center" vertical="center"/>
      <protection locked="0"/>
    </xf>
    <xf numFmtId="193" fontId="14" fillId="0" borderId="0" xfId="0" applyNumberFormat="1" applyFont="1" applyFill="1" applyBorder="1" applyAlignment="1">
      <alignment horizontal="right" vertical="center" indent="1"/>
    </xf>
    <xf numFmtId="193" fontId="14" fillId="0" borderId="0" xfId="0" applyNumberFormat="1" applyFont="1" applyBorder="1" applyAlignment="1">
      <alignment horizontal="right" vertical="center" indent="1"/>
    </xf>
    <xf numFmtId="0" fontId="14" fillId="0" borderId="0" xfId="0" applyFont="1" applyBorder="1" applyAlignment="1">
      <alignment horizontal="right" vertical="center" wrapText="1"/>
    </xf>
    <xf numFmtId="187" fontId="14" fillId="0" borderId="0" xfId="0" applyNumberFormat="1" applyFont="1" applyBorder="1" applyAlignment="1">
      <alignment horizontal="right" vertical="center"/>
    </xf>
    <xf numFmtId="0" fontId="33" fillId="0" borderId="34" xfId="0" applyFont="1" applyFill="1" applyBorder="1" applyAlignment="1">
      <alignment horizontal="center" vertical="center"/>
    </xf>
    <xf numFmtId="0" fontId="33" fillId="0" borderId="36" xfId="0" applyNumberFormat="1" applyFont="1" applyFill="1" applyBorder="1" applyAlignment="1">
      <alignment horizontal="center" wrapText="1"/>
    </xf>
    <xf numFmtId="0" fontId="41" fillId="0" borderId="39" xfId="0" applyFont="1" applyFill="1" applyBorder="1" applyAlignment="1">
      <alignment horizontal="center" vertical="center"/>
    </xf>
    <xf numFmtId="193" fontId="16" fillId="0" borderId="3" xfId="0" applyNumberFormat="1" applyFont="1" applyBorder="1" applyAlignment="1">
      <alignment vertical="center"/>
    </xf>
    <xf numFmtId="0" fontId="17" fillId="0" borderId="2" xfId="0" applyFont="1" applyBorder="1" applyAlignment="1">
      <alignment horizontal="center" vertical="center"/>
    </xf>
    <xf numFmtId="3" fontId="17" fillId="0" borderId="2" xfId="0" applyNumberFormat="1" applyFont="1" applyBorder="1" applyAlignment="1">
      <alignment horizontal="center" vertical="center"/>
    </xf>
    <xf numFmtId="187" fontId="16" fillId="0" borderId="2" xfId="0" applyNumberFormat="1" applyFont="1" applyBorder="1" applyAlignment="1">
      <alignment horizontal="right" vertical="center"/>
    </xf>
    <xf numFmtId="193" fontId="16" fillId="0" borderId="2" xfId="0" applyNumberFormat="1" applyFont="1" applyBorder="1" applyAlignment="1">
      <alignment vertical="center"/>
    </xf>
    <xf numFmtId="192" fontId="17" fillId="0" borderId="5" xfId="0" applyNumberFormat="1" applyFont="1" applyBorder="1" applyAlignment="1">
      <alignment vertical="center"/>
    </xf>
    <xf numFmtId="0" fontId="20" fillId="2" borderId="40" xfId="0" applyFont="1" applyFill="1" applyBorder="1" applyAlignment="1">
      <alignment horizontal="center" vertical="center"/>
    </xf>
    <xf numFmtId="3" fontId="20" fillId="2" borderId="40" xfId="0" applyNumberFormat="1" applyFont="1" applyFill="1" applyBorder="1" applyAlignment="1">
      <alignment horizontal="center" vertical="center"/>
    </xf>
    <xf numFmtId="187" fontId="20" fillId="2" borderId="40" xfId="0" applyNumberFormat="1" applyFont="1" applyFill="1" applyBorder="1" applyAlignment="1">
      <alignment horizontal="center" vertical="center"/>
    </xf>
    <xf numFmtId="193" fontId="20" fillId="2" borderId="40" xfId="0" applyNumberFormat="1" applyFont="1" applyFill="1" applyBorder="1" applyAlignment="1">
      <alignment horizontal="center" vertical="center"/>
    </xf>
    <xf numFmtId="192" fontId="20" fillId="2" borderId="41" xfId="0" applyNumberFormat="1" applyFont="1" applyFill="1" applyBorder="1" applyAlignment="1">
      <alignment horizontal="center" vertical="center"/>
    </xf>
    <xf numFmtId="0" fontId="17" fillId="0" borderId="22" xfId="0" applyFont="1" applyBorder="1" applyAlignment="1">
      <alignment vertical="center"/>
    </xf>
    <xf numFmtId="0" fontId="17" fillId="0" borderId="24" xfId="0" applyFont="1" applyBorder="1" applyAlignment="1">
      <alignment vertical="center"/>
    </xf>
    <xf numFmtId="49" fontId="38" fillId="0" borderId="42" xfId="0" applyNumberFormat="1" applyFont="1" applyFill="1" applyBorder="1" applyAlignment="1" applyProtection="1">
      <alignment horizontal="center" vertical="center"/>
      <protection locked="0"/>
    </xf>
    <xf numFmtId="49" fontId="38" fillId="0" borderId="43" xfId="0" applyNumberFormat="1" applyFont="1" applyFill="1" applyBorder="1" applyAlignment="1" applyProtection="1">
      <alignment horizontal="center" vertical="center"/>
      <protection locked="0"/>
    </xf>
    <xf numFmtId="192" fontId="17" fillId="0" borderId="1" xfId="15" applyNumberFormat="1" applyFont="1" applyFill="1" applyBorder="1" applyAlignment="1" applyProtection="1">
      <alignment vertical="center"/>
      <protection/>
    </xf>
    <xf numFmtId="192" fontId="17" fillId="0" borderId="1" xfId="21" applyNumberFormat="1" applyFont="1" applyFill="1" applyBorder="1" applyAlignment="1" applyProtection="1">
      <alignment vertical="center"/>
      <protection/>
    </xf>
    <xf numFmtId="0" fontId="17" fillId="0" borderId="1" xfId="0" applyNumberFormat="1" applyFont="1" applyFill="1" applyBorder="1" applyAlignment="1" applyProtection="1">
      <alignment horizontal="left" vertical="center"/>
      <protection locked="0"/>
    </xf>
    <xf numFmtId="1" fontId="30" fillId="0" borderId="44" xfId="0" applyNumberFormat="1" applyFont="1" applyFill="1" applyBorder="1" applyAlignment="1" applyProtection="1">
      <alignment horizontal="right" vertical="center"/>
      <protection/>
    </xf>
    <xf numFmtId="1" fontId="30" fillId="0" borderId="45" xfId="0" applyNumberFormat="1" applyFont="1" applyFill="1" applyBorder="1" applyAlignment="1" applyProtection="1">
      <alignment horizontal="right" vertical="center"/>
      <protection/>
    </xf>
    <xf numFmtId="1" fontId="30" fillId="0" borderId="46" xfId="0" applyNumberFormat="1" applyFont="1" applyFill="1" applyBorder="1" applyAlignment="1" applyProtection="1">
      <alignment horizontal="right" vertical="center"/>
      <protection/>
    </xf>
    <xf numFmtId="192" fontId="17" fillId="0" borderId="3" xfId="15" applyNumberFormat="1" applyFont="1" applyFill="1" applyBorder="1" applyAlignment="1" applyProtection="1">
      <alignment vertical="center"/>
      <protection/>
    </xf>
    <xf numFmtId="0" fontId="17" fillId="0" borderId="18" xfId="0" applyFont="1" applyFill="1" applyBorder="1" applyAlignment="1">
      <alignment horizontal="left" vertical="center"/>
    </xf>
    <xf numFmtId="0" fontId="17" fillId="0" borderId="18" xfId="0" applyFont="1" applyFill="1" applyBorder="1" applyAlignment="1" applyProtection="1">
      <alignment horizontal="left" vertical="center"/>
      <protection locked="0"/>
    </xf>
    <xf numFmtId="0" fontId="17" fillId="0" borderId="18" xfId="0" applyNumberFormat="1" applyFont="1" applyFill="1" applyBorder="1" applyAlignment="1" applyProtection="1">
      <alignment horizontal="left" vertical="center"/>
      <protection locked="0"/>
    </xf>
    <xf numFmtId="49" fontId="17" fillId="0" borderId="18" xfId="0" applyNumberFormat="1" applyFont="1" applyFill="1" applyBorder="1" applyAlignment="1">
      <alignment horizontal="left" vertical="center"/>
    </xf>
    <xf numFmtId="49" fontId="17" fillId="0" borderId="18" xfId="0" applyNumberFormat="1" applyFont="1" applyFill="1" applyBorder="1" applyAlignment="1" applyProtection="1">
      <alignment horizontal="left" vertical="center"/>
      <protection locked="0"/>
    </xf>
    <xf numFmtId="0" fontId="21" fillId="2" borderId="3" xfId="0" applyFont="1" applyFill="1" applyBorder="1" applyAlignment="1">
      <alignment horizontal="center" vertical="center"/>
    </xf>
    <xf numFmtId="3" fontId="21" fillId="2" borderId="3" xfId="0" applyNumberFormat="1" applyFont="1" applyFill="1" applyBorder="1" applyAlignment="1">
      <alignment horizontal="center" vertical="center"/>
    </xf>
    <xf numFmtId="187" fontId="21" fillId="2" borderId="3" xfId="0" applyNumberFormat="1" applyFont="1" applyFill="1" applyBorder="1" applyAlignment="1">
      <alignment horizontal="center" vertical="center"/>
    </xf>
    <xf numFmtId="193" fontId="21" fillId="2" borderId="3" xfId="0" applyNumberFormat="1" applyFont="1" applyFill="1" applyBorder="1" applyAlignment="1">
      <alignment horizontal="center" vertical="center"/>
    </xf>
    <xf numFmtId="192" fontId="21" fillId="2" borderId="6" xfId="0" applyNumberFormat="1" applyFont="1" applyFill="1" applyBorder="1" applyAlignment="1">
      <alignment horizontal="center" vertical="center"/>
    </xf>
    <xf numFmtId="0" fontId="20" fillId="2" borderId="2" xfId="0" applyFont="1" applyFill="1" applyBorder="1" applyAlignment="1">
      <alignment horizontal="center" vertical="center"/>
    </xf>
    <xf numFmtId="3" fontId="20" fillId="2" borderId="2" xfId="0" applyNumberFormat="1" applyFont="1" applyFill="1" applyBorder="1" applyAlignment="1">
      <alignment horizontal="center" vertical="center"/>
    </xf>
    <xf numFmtId="187" fontId="20" fillId="2" borderId="2" xfId="0" applyNumberFormat="1" applyFont="1" applyFill="1" applyBorder="1" applyAlignment="1">
      <alignment horizontal="center" vertical="center"/>
    </xf>
    <xf numFmtId="193" fontId="20" fillId="2" borderId="2" xfId="0" applyNumberFormat="1" applyFont="1" applyFill="1" applyBorder="1" applyAlignment="1">
      <alignment horizontal="center" vertical="center"/>
    </xf>
    <xf numFmtId="192" fontId="20" fillId="2" borderId="5" xfId="0" applyNumberFormat="1" applyFont="1" applyFill="1" applyBorder="1" applyAlignment="1">
      <alignment horizontal="center" vertical="center"/>
    </xf>
    <xf numFmtId="0" fontId="30" fillId="0" borderId="34" xfId="0" applyFont="1" applyFill="1" applyBorder="1" applyAlignment="1" applyProtection="1">
      <alignment horizontal="right" vertical="center"/>
      <protection/>
    </xf>
    <xf numFmtId="0" fontId="30" fillId="0" borderId="39" xfId="0" applyFont="1" applyFill="1" applyBorder="1" applyAlignment="1" applyProtection="1">
      <alignment horizontal="right" vertical="center"/>
      <protection/>
    </xf>
    <xf numFmtId="0" fontId="30" fillId="0" borderId="47" xfId="0" applyFont="1" applyFill="1" applyBorder="1" applyAlignment="1" applyProtection="1">
      <alignment horizontal="right" vertical="center"/>
      <protection/>
    </xf>
    <xf numFmtId="0" fontId="17" fillId="0" borderId="48" xfId="0" applyFont="1" applyFill="1" applyBorder="1" applyAlignment="1">
      <alignment horizontal="left" vertical="center"/>
    </xf>
    <xf numFmtId="3" fontId="17" fillId="0" borderId="18" xfId="0" applyNumberFormat="1" applyFont="1" applyFill="1" applyBorder="1" applyAlignment="1" applyProtection="1">
      <alignment horizontal="left" vertical="center"/>
      <protection locked="0"/>
    </xf>
    <xf numFmtId="0" fontId="46" fillId="0" borderId="18" xfId="0" applyFont="1" applyFill="1" applyBorder="1" applyAlignment="1">
      <alignment horizontal="left" vertical="center"/>
    </xf>
    <xf numFmtId="0" fontId="17" fillId="0" borderId="20" xfId="0" applyFont="1" applyFill="1" applyBorder="1" applyAlignment="1">
      <alignment horizontal="left" vertical="center"/>
    </xf>
    <xf numFmtId="192" fontId="17" fillId="0" borderId="5" xfId="15" applyNumberFormat="1" applyFont="1" applyFill="1" applyBorder="1" applyAlignment="1" applyProtection="1">
      <alignment vertical="center"/>
      <protection/>
    </xf>
    <xf numFmtId="0" fontId="17" fillId="0" borderId="13" xfId="0" applyFont="1" applyFill="1" applyBorder="1" applyAlignment="1" applyProtection="1">
      <alignment horizontal="left" vertical="center"/>
      <protection locked="0"/>
    </xf>
    <xf numFmtId="192" fontId="17" fillId="0" borderId="2" xfId="15" applyNumberFormat="1" applyFont="1" applyFill="1" applyBorder="1" applyAlignment="1" applyProtection="1">
      <alignment vertical="center"/>
      <protection/>
    </xf>
    <xf numFmtId="192" fontId="17" fillId="0" borderId="32" xfId="15" applyNumberFormat="1" applyFont="1" applyFill="1" applyBorder="1" applyAlignment="1" applyProtection="1">
      <alignment vertical="center"/>
      <protection/>
    </xf>
    <xf numFmtId="0" fontId="17" fillId="0" borderId="1" xfId="0" applyFont="1" applyFill="1" applyBorder="1" applyAlignment="1">
      <alignment horizontal="left"/>
    </xf>
    <xf numFmtId="184" fontId="17" fillId="0" borderId="1" xfId="0" applyNumberFormat="1" applyFont="1" applyFill="1" applyBorder="1" applyAlignment="1">
      <alignment horizontal="center"/>
    </xf>
    <xf numFmtId="0" fontId="17" fillId="0" borderId="1" xfId="0" applyFont="1" applyFill="1" applyBorder="1" applyAlignment="1">
      <alignment horizontal="center"/>
    </xf>
    <xf numFmtId="200" fontId="17" fillId="0" borderId="1" xfId="15" applyNumberFormat="1" applyFont="1" applyFill="1" applyBorder="1" applyAlignment="1" applyProtection="1">
      <alignment vertical="center"/>
      <protection locked="0"/>
    </xf>
    <xf numFmtId="200" fontId="17" fillId="0" borderId="1" xfId="15" applyNumberFormat="1" applyFont="1" applyFill="1" applyBorder="1" applyAlignment="1" applyProtection="1">
      <alignment vertical="center"/>
      <protection/>
    </xf>
    <xf numFmtId="0" fontId="17" fillId="0" borderId="1" xfId="0" applyNumberFormat="1" applyFont="1" applyFill="1" applyBorder="1" applyAlignment="1" applyProtection="1">
      <alignment horizontal="center" vertical="center"/>
      <protection locked="0"/>
    </xf>
    <xf numFmtId="0" fontId="17" fillId="0" borderId="1" xfId="0" applyNumberFormat="1" applyFont="1" applyFill="1" applyBorder="1" applyAlignment="1">
      <alignment horizontal="center" vertical="center"/>
    </xf>
    <xf numFmtId="0" fontId="17" fillId="0" borderId="1" xfId="0" applyNumberFormat="1" applyFont="1" applyFill="1" applyBorder="1" applyAlignment="1">
      <alignment horizontal="left" vertical="center"/>
    </xf>
    <xf numFmtId="0" fontId="17" fillId="0" borderId="18" xfId="0" applyFont="1" applyFill="1" applyBorder="1" applyAlignment="1" applyProtection="1">
      <alignment vertical="center"/>
      <protection locked="0"/>
    </xf>
    <xf numFmtId="0" fontId="17" fillId="0" borderId="18" xfId="0" applyFont="1" applyFill="1" applyBorder="1" applyAlignment="1">
      <alignment horizontal="left"/>
    </xf>
    <xf numFmtId="49" fontId="17" fillId="0" borderId="18" xfId="0" applyNumberFormat="1" applyFont="1" applyFill="1" applyBorder="1" applyAlignment="1">
      <alignment vertical="center"/>
    </xf>
    <xf numFmtId="49" fontId="17" fillId="0" borderId="18" xfId="0" applyNumberFormat="1" applyFont="1" applyFill="1" applyBorder="1" applyAlignment="1" applyProtection="1">
      <alignment vertical="center"/>
      <protection locked="0"/>
    </xf>
    <xf numFmtId="0" fontId="17" fillId="0" borderId="18" xfId="0" applyFont="1" applyFill="1" applyBorder="1" applyAlignment="1">
      <alignment vertical="center"/>
    </xf>
    <xf numFmtId="0" fontId="17" fillId="0" borderId="18" xfId="0" applyFont="1" applyFill="1" applyBorder="1" applyAlignment="1">
      <alignment/>
    </xf>
    <xf numFmtId="0" fontId="17" fillId="0" borderId="18" xfId="0" applyNumberFormat="1" applyFont="1" applyFill="1" applyBorder="1" applyAlignment="1" applyProtection="1">
      <alignment vertical="center"/>
      <protection locked="0"/>
    </xf>
    <xf numFmtId="0" fontId="17" fillId="0" borderId="18" xfId="0" applyNumberFormat="1" applyFont="1" applyFill="1" applyBorder="1" applyAlignment="1">
      <alignment vertical="center"/>
    </xf>
    <xf numFmtId="192" fontId="17" fillId="0" borderId="16" xfId="15" applyNumberFormat="1" applyFont="1" applyFill="1" applyBorder="1" applyAlignment="1" applyProtection="1">
      <alignment vertical="center"/>
      <protection/>
    </xf>
    <xf numFmtId="192" fontId="17" fillId="0" borderId="17" xfId="15" applyNumberFormat="1" applyFont="1" applyFill="1" applyBorder="1" applyAlignment="1" applyProtection="1">
      <alignment vertical="center"/>
      <protection/>
    </xf>
    <xf numFmtId="200" fontId="16" fillId="3" borderId="1" xfId="15" applyNumberFormat="1" applyFont="1" applyFill="1" applyBorder="1" applyAlignment="1" applyProtection="1">
      <alignment vertical="center"/>
      <protection locked="0"/>
    </xf>
    <xf numFmtId="200" fontId="16" fillId="3" borderId="1" xfId="15" applyNumberFormat="1" applyFont="1" applyFill="1" applyBorder="1" applyAlignment="1" applyProtection="1">
      <alignment vertical="center"/>
      <protection/>
    </xf>
    <xf numFmtId="200" fontId="16" fillId="0" borderId="1" xfId="0" applyNumberFormat="1" applyFont="1" applyFill="1" applyBorder="1" applyAlignment="1">
      <alignment vertical="center"/>
    </xf>
    <xf numFmtId="200" fontId="16" fillId="0" borderId="1" xfId="15" applyNumberFormat="1" applyFont="1" applyFill="1" applyBorder="1" applyAlignment="1" applyProtection="1">
      <alignment vertical="center"/>
      <protection locked="0"/>
    </xf>
    <xf numFmtId="200" fontId="16" fillId="0" borderId="1" xfId="0" applyNumberFormat="1" applyFont="1" applyFill="1" applyBorder="1" applyAlignment="1">
      <alignment horizontal="right"/>
    </xf>
    <xf numFmtId="200" fontId="16" fillId="0" borderId="1" xfId="0" applyNumberFormat="1" applyFont="1" applyFill="1" applyBorder="1" applyAlignment="1" applyProtection="1">
      <alignment vertical="center"/>
      <protection locked="0"/>
    </xf>
    <xf numFmtId="200" fontId="16" fillId="0" borderId="1" xfId="0" applyNumberFormat="1" applyFont="1" applyFill="1" applyBorder="1" applyAlignment="1">
      <alignment/>
    </xf>
    <xf numFmtId="200" fontId="16" fillId="0" borderId="1" xfId="15" applyNumberFormat="1" applyFont="1" applyFill="1" applyBorder="1" applyAlignment="1" applyProtection="1">
      <alignment vertical="center"/>
      <protection/>
    </xf>
    <xf numFmtId="200" fontId="16" fillId="0" borderId="1" xfId="0" applyNumberFormat="1" applyFont="1" applyFill="1" applyBorder="1" applyAlignment="1">
      <alignment horizontal="right" vertical="center"/>
    </xf>
    <xf numFmtId="200" fontId="16" fillId="0" borderId="1" xfId="15" applyNumberFormat="1" applyFont="1" applyFill="1" applyBorder="1" applyAlignment="1" applyProtection="1">
      <alignment horizontal="right" vertical="center"/>
      <protection locked="0"/>
    </xf>
    <xf numFmtId="200" fontId="47" fillId="0" borderId="1" xfId="0" applyNumberFormat="1" applyFont="1" applyFill="1" applyBorder="1" applyAlignment="1">
      <alignment vertical="center"/>
    </xf>
    <xf numFmtId="200" fontId="16" fillId="0" borderId="3" xfId="0" applyNumberFormat="1" applyFont="1" applyFill="1" applyBorder="1" applyAlignment="1">
      <alignment vertical="center"/>
    </xf>
    <xf numFmtId="200" fontId="16" fillId="0" borderId="2" xfId="0" applyNumberFormat="1" applyFont="1" applyFill="1" applyBorder="1" applyAlignment="1">
      <alignment vertical="center"/>
    </xf>
    <xf numFmtId="200" fontId="16" fillId="0" borderId="32" xfId="15" applyNumberFormat="1" applyFont="1" applyFill="1" applyBorder="1" applyAlignment="1" applyProtection="1">
      <alignment vertical="center"/>
      <protection locked="0"/>
    </xf>
    <xf numFmtId="200" fontId="17" fillId="0" borderId="1" xfId="0" applyNumberFormat="1" applyFont="1" applyFill="1" applyBorder="1" applyAlignment="1">
      <alignment vertical="center"/>
    </xf>
    <xf numFmtId="49" fontId="17" fillId="0" borderId="2" xfId="0" applyNumberFormat="1" applyFont="1" applyFill="1" applyBorder="1" applyAlignment="1" applyProtection="1">
      <alignment horizontal="left" vertical="center"/>
      <protection locked="0"/>
    </xf>
    <xf numFmtId="200" fontId="17" fillId="0" borderId="2" xfId="15" applyNumberFormat="1" applyFont="1" applyFill="1" applyBorder="1" applyAlignment="1" applyProtection="1">
      <alignment vertical="center"/>
      <protection locked="0"/>
    </xf>
    <xf numFmtId="0" fontId="17" fillId="0" borderId="13" xfId="0" applyFont="1" applyFill="1" applyBorder="1" applyAlignment="1" applyProtection="1">
      <alignment vertical="center"/>
      <protection locked="0"/>
    </xf>
    <xf numFmtId="184" fontId="17" fillId="0" borderId="16" xfId="0" applyNumberFormat="1" applyFont="1" applyFill="1" applyBorder="1" applyAlignment="1" applyProtection="1">
      <alignment horizontal="center" vertical="center"/>
      <protection locked="0"/>
    </xf>
    <xf numFmtId="184" fontId="17" fillId="0" borderId="16" xfId="0" applyNumberFormat="1" applyFont="1" applyFill="1" applyBorder="1" applyAlignment="1" applyProtection="1">
      <alignment horizontal="left" vertical="center"/>
      <protection locked="0"/>
    </xf>
    <xf numFmtId="0" fontId="17" fillId="0" borderId="16" xfId="0" applyFont="1" applyFill="1" applyBorder="1" applyAlignment="1" applyProtection="1">
      <alignment horizontal="left" vertical="center"/>
      <protection locked="0"/>
    </xf>
    <xf numFmtId="0" fontId="17" fillId="0" borderId="16" xfId="0" applyFont="1" applyFill="1" applyBorder="1" applyAlignment="1" applyProtection="1">
      <alignment horizontal="center" vertical="center"/>
      <protection locked="0"/>
    </xf>
    <xf numFmtId="200" fontId="17" fillId="0" borderId="16" xfId="15" applyNumberFormat="1" applyFont="1" applyFill="1" applyBorder="1" applyAlignment="1" applyProtection="1">
      <alignment vertical="center"/>
      <protection locked="0"/>
    </xf>
    <xf numFmtId="184" fontId="17" fillId="0" borderId="32" xfId="0" applyNumberFormat="1" applyFont="1" applyFill="1" applyBorder="1" applyAlignment="1">
      <alignment horizontal="center" vertical="center"/>
    </xf>
    <xf numFmtId="0" fontId="17" fillId="0" borderId="32" xfId="0" applyFont="1" applyFill="1" applyBorder="1" applyAlignment="1">
      <alignment horizontal="left" vertical="center"/>
    </xf>
    <xf numFmtId="0" fontId="17" fillId="0" borderId="32" xfId="0" applyFont="1" applyFill="1" applyBorder="1" applyAlignment="1">
      <alignment horizontal="center" vertical="center"/>
    </xf>
    <xf numFmtId="200" fontId="17" fillId="0" borderId="32" xfId="0" applyNumberFormat="1" applyFont="1" applyFill="1" applyBorder="1" applyAlignment="1">
      <alignment vertical="center"/>
    </xf>
    <xf numFmtId="200" fontId="16" fillId="3" borderId="32" xfId="0" applyNumberFormat="1" applyFont="1" applyFill="1" applyBorder="1" applyAlignment="1">
      <alignment vertical="center"/>
    </xf>
    <xf numFmtId="200" fontId="16" fillId="3" borderId="16" xfId="15" applyNumberFormat="1" applyFont="1" applyFill="1" applyBorder="1" applyAlignment="1" applyProtection="1">
      <alignment vertical="center"/>
      <protection locked="0"/>
    </xf>
    <xf numFmtId="200" fontId="16" fillId="3" borderId="1" xfId="0" applyNumberFormat="1" applyFont="1" applyFill="1" applyBorder="1" applyAlignment="1">
      <alignment vertical="center"/>
    </xf>
    <xf numFmtId="200" fontId="16" fillId="3" borderId="2" xfId="15" applyNumberFormat="1" applyFont="1" applyFill="1" applyBorder="1" applyAlignment="1" applyProtection="1">
      <alignment vertical="center"/>
      <protection locked="0"/>
    </xf>
    <xf numFmtId="193" fontId="16" fillId="0" borderId="1" xfId="0" applyNumberFormat="1" applyFont="1" applyFill="1" applyBorder="1" applyAlignment="1">
      <alignment vertical="center"/>
    </xf>
    <xf numFmtId="193" fontId="16" fillId="0" borderId="1" xfId="15" applyNumberFormat="1" applyFont="1" applyFill="1" applyBorder="1" applyAlignment="1" applyProtection="1">
      <alignment vertical="center"/>
      <protection locked="0"/>
    </xf>
    <xf numFmtId="193" fontId="16" fillId="0" borderId="1" xfId="0" applyNumberFormat="1" applyFont="1" applyFill="1" applyBorder="1" applyAlignment="1" applyProtection="1">
      <alignment vertical="center"/>
      <protection locked="0"/>
    </xf>
    <xf numFmtId="193" fontId="16" fillId="0" borderId="1" xfId="0" applyNumberFormat="1" applyFont="1" applyFill="1" applyBorder="1" applyAlignment="1">
      <alignment/>
    </xf>
    <xf numFmtId="193" fontId="16" fillId="0" borderId="1" xfId="0" applyNumberFormat="1" applyFont="1" applyFill="1" applyBorder="1" applyAlignment="1">
      <alignment horizontal="right" vertical="center"/>
    </xf>
    <xf numFmtId="193" fontId="16" fillId="0" borderId="1" xfId="0" applyNumberFormat="1" applyFont="1" applyFill="1" applyBorder="1" applyAlignment="1">
      <alignment horizontal="right"/>
    </xf>
    <xf numFmtId="193" fontId="47" fillId="0" borderId="1" xfId="0" applyNumberFormat="1" applyFont="1" applyFill="1" applyBorder="1" applyAlignment="1">
      <alignment vertical="center"/>
    </xf>
    <xf numFmtId="193" fontId="16" fillId="0" borderId="3" xfId="0" applyNumberFormat="1" applyFont="1" applyFill="1" applyBorder="1" applyAlignment="1">
      <alignment vertical="center"/>
    </xf>
    <xf numFmtId="193" fontId="16" fillId="0" borderId="2" xfId="0" applyNumberFormat="1" applyFont="1" applyFill="1" applyBorder="1" applyAlignment="1">
      <alignment vertical="center"/>
    </xf>
    <xf numFmtId="192" fontId="17" fillId="0" borderId="5" xfId="0" applyNumberFormat="1" applyFont="1" applyFill="1" applyBorder="1" applyAlignment="1">
      <alignment vertical="center"/>
    </xf>
    <xf numFmtId="193" fontId="16" fillId="0" borderId="32" xfId="15" applyNumberFormat="1" applyFont="1" applyFill="1" applyBorder="1" applyAlignment="1" applyProtection="1">
      <alignment vertical="center"/>
      <protection locked="0"/>
    </xf>
    <xf numFmtId="3" fontId="17" fillId="0" borderId="1" xfId="15" applyNumberFormat="1" applyFont="1" applyFill="1" applyBorder="1" applyAlignment="1" applyProtection="1">
      <alignment vertical="center"/>
      <protection/>
    </xf>
    <xf numFmtId="3" fontId="17" fillId="0" borderId="1" xfId="15" applyNumberFormat="1" applyFont="1" applyFill="1" applyBorder="1" applyAlignment="1" applyProtection="1">
      <alignment vertical="center"/>
      <protection locked="0"/>
    </xf>
    <xf numFmtId="3" fontId="17" fillId="0" borderId="1" xfId="0" applyNumberFormat="1" applyFont="1" applyFill="1" applyBorder="1" applyAlignment="1">
      <alignment vertical="center"/>
    </xf>
    <xf numFmtId="197" fontId="17" fillId="0" borderId="1" xfId="0" applyNumberFormat="1" applyFont="1" applyFill="1" applyBorder="1" applyAlignment="1">
      <alignment horizontal="center" vertical="center"/>
    </xf>
    <xf numFmtId="3" fontId="17" fillId="0" borderId="1" xfId="21" applyNumberFormat="1" applyFont="1" applyFill="1" applyBorder="1" applyAlignment="1" applyProtection="1">
      <alignment vertical="center"/>
      <protection/>
    </xf>
    <xf numFmtId="49" fontId="17" fillId="0" borderId="48" xfId="0" applyNumberFormat="1" applyFont="1" applyFill="1" applyBorder="1" applyAlignment="1" applyProtection="1">
      <alignment horizontal="left" vertical="center"/>
      <protection locked="0"/>
    </xf>
    <xf numFmtId="184" fontId="17" fillId="0" borderId="3" xfId="0" applyNumberFormat="1" applyFont="1" applyFill="1" applyBorder="1" applyAlignment="1" applyProtection="1">
      <alignment horizontal="center" vertical="center"/>
      <protection locked="0"/>
    </xf>
    <xf numFmtId="49" fontId="17" fillId="0" borderId="3" xfId="0" applyNumberFormat="1" applyFont="1" applyFill="1" applyBorder="1" applyAlignment="1" applyProtection="1">
      <alignment horizontal="left" vertical="center"/>
      <protection locked="0"/>
    </xf>
    <xf numFmtId="49" fontId="17" fillId="0" borderId="3" xfId="0" applyNumberFormat="1" applyFont="1" applyFill="1" applyBorder="1" applyAlignment="1" applyProtection="1">
      <alignment horizontal="center" vertical="center"/>
      <protection locked="0"/>
    </xf>
    <xf numFmtId="3" fontId="17" fillId="0" borderId="3" xfId="15" applyNumberFormat="1" applyFont="1" applyFill="1" applyBorder="1" applyAlignment="1" applyProtection="1">
      <alignment vertical="center"/>
      <protection/>
    </xf>
    <xf numFmtId="200" fontId="17" fillId="0" borderId="3" xfId="15" applyNumberFormat="1" applyFont="1" applyFill="1" applyBorder="1" applyAlignment="1" applyProtection="1">
      <alignment vertical="center"/>
      <protection locked="0"/>
    </xf>
    <xf numFmtId="3" fontId="17" fillId="0" borderId="3" xfId="15" applyNumberFormat="1" applyFont="1" applyFill="1" applyBorder="1" applyAlignment="1" applyProtection="1">
      <alignment vertical="center"/>
      <protection locked="0"/>
    </xf>
    <xf numFmtId="192" fontId="17" fillId="0" borderId="6" xfId="21"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protection locked="0"/>
    </xf>
    <xf numFmtId="3" fontId="17" fillId="0" borderId="2" xfId="15" applyNumberFormat="1" applyFont="1" applyFill="1" applyBorder="1" applyAlignment="1" applyProtection="1">
      <alignment vertical="center"/>
      <protection/>
    </xf>
    <xf numFmtId="3" fontId="17" fillId="0" borderId="2" xfId="15" applyNumberFormat="1" applyFont="1" applyFill="1" applyBorder="1" applyAlignment="1" applyProtection="1">
      <alignment vertical="center"/>
      <protection locked="0"/>
    </xf>
    <xf numFmtId="200" fontId="16" fillId="3" borderId="3" xfId="15" applyNumberFormat="1" applyFont="1" applyFill="1" applyBorder="1" applyAlignment="1" applyProtection="1">
      <alignment vertical="center"/>
      <protection locked="0"/>
    </xf>
    <xf numFmtId="3" fontId="16" fillId="3" borderId="3" xfId="15" applyNumberFormat="1" applyFont="1" applyFill="1" applyBorder="1" applyAlignment="1" applyProtection="1">
      <alignment vertical="center"/>
      <protection locked="0"/>
    </xf>
    <xf numFmtId="3" fontId="16" fillId="3" borderId="1" xfId="0" applyNumberFormat="1" applyFont="1" applyFill="1" applyBorder="1" applyAlignment="1">
      <alignment vertical="center"/>
    </xf>
    <xf numFmtId="3" fontId="16" fillId="3" borderId="1" xfId="15" applyNumberFormat="1" applyFont="1" applyFill="1" applyBorder="1" applyAlignment="1" applyProtection="1">
      <alignment vertical="center"/>
      <protection locked="0"/>
    </xf>
    <xf numFmtId="3" fontId="16" fillId="3" borderId="1" xfId="15" applyNumberFormat="1" applyFont="1" applyFill="1" applyBorder="1" applyAlignment="1" applyProtection="1">
      <alignment vertical="center"/>
      <protection/>
    </xf>
    <xf numFmtId="3" fontId="16" fillId="3" borderId="2" xfId="15" applyNumberFormat="1" applyFont="1" applyFill="1" applyBorder="1" applyAlignment="1" applyProtection="1">
      <alignment vertical="center"/>
      <protection locked="0"/>
    </xf>
    <xf numFmtId="200" fontId="16" fillId="0" borderId="16" xfId="15" applyNumberFormat="1" applyFont="1" applyFill="1" applyBorder="1" applyAlignment="1" applyProtection="1">
      <alignment vertical="center"/>
      <protection locked="0"/>
    </xf>
    <xf numFmtId="193" fontId="16" fillId="0" borderId="16" xfId="15" applyNumberFormat="1" applyFont="1" applyFill="1" applyBorder="1" applyAlignment="1" applyProtection="1">
      <alignment vertical="center"/>
      <protection locked="0"/>
    </xf>
    <xf numFmtId="49" fontId="17" fillId="0" borderId="49" xfId="0" applyNumberFormat="1" applyFont="1" applyFill="1" applyBorder="1" applyAlignment="1" applyProtection="1">
      <alignment horizontal="left" vertical="center"/>
      <protection locked="0"/>
    </xf>
    <xf numFmtId="49" fontId="17" fillId="0" borderId="32" xfId="0" applyNumberFormat="1" applyFont="1" applyFill="1" applyBorder="1" applyAlignment="1" applyProtection="1">
      <alignment horizontal="left" vertical="center"/>
      <protection locked="0"/>
    </xf>
    <xf numFmtId="49" fontId="17" fillId="0" borderId="32" xfId="0" applyNumberFormat="1" applyFont="1" applyFill="1" applyBorder="1" applyAlignment="1" applyProtection="1">
      <alignment horizontal="center" vertical="center"/>
      <protection locked="0"/>
    </xf>
    <xf numFmtId="192" fontId="17" fillId="0" borderId="33" xfId="21" applyNumberFormat="1" applyFont="1" applyFill="1" applyBorder="1" applyAlignment="1" applyProtection="1">
      <alignment vertical="center"/>
      <protection/>
    </xf>
    <xf numFmtId="3" fontId="16" fillId="3" borderId="16" xfId="15" applyNumberFormat="1" applyFont="1" applyFill="1" applyBorder="1" applyAlignment="1" applyProtection="1">
      <alignment vertical="center"/>
      <protection locked="0"/>
    </xf>
    <xf numFmtId="3" fontId="17" fillId="0" borderId="16" xfId="15" applyNumberFormat="1" applyFont="1" applyFill="1" applyBorder="1" applyAlignment="1" applyProtection="1">
      <alignment vertical="center"/>
      <protection/>
    </xf>
    <xf numFmtId="3" fontId="17" fillId="0" borderId="16" xfId="15" applyNumberFormat="1" applyFont="1" applyFill="1" applyBorder="1" applyAlignment="1" applyProtection="1">
      <alignment vertical="center"/>
      <protection locked="0"/>
    </xf>
    <xf numFmtId="0" fontId="17" fillId="0" borderId="49" xfId="0" applyFont="1" applyFill="1" applyBorder="1" applyAlignment="1">
      <alignment horizontal="left" vertical="center"/>
    </xf>
    <xf numFmtId="3" fontId="16" fillId="3" borderId="32" xfId="0" applyNumberFormat="1" applyFont="1" applyFill="1" applyBorder="1" applyAlignment="1">
      <alignment vertical="center"/>
    </xf>
    <xf numFmtId="3" fontId="17" fillId="0" borderId="32" xfId="15" applyNumberFormat="1" applyFont="1" applyFill="1" applyBorder="1" applyAlignment="1" applyProtection="1">
      <alignment vertical="center"/>
      <protection/>
    </xf>
    <xf numFmtId="3" fontId="17" fillId="0" borderId="32" xfId="0" applyNumberFormat="1" applyFont="1" applyFill="1" applyBorder="1" applyAlignment="1">
      <alignment vertical="center"/>
    </xf>
    <xf numFmtId="0" fontId="33" fillId="0" borderId="36" xfId="0" applyNumberFormat="1" applyFont="1" applyFill="1" applyBorder="1" applyAlignment="1" applyProtection="1">
      <alignment horizontal="center" vertical="center" wrapText="1"/>
      <protection/>
    </xf>
    <xf numFmtId="0" fontId="37" fillId="0" borderId="50" xfId="0" applyFont="1" applyBorder="1" applyAlignment="1">
      <alignment/>
    </xf>
    <xf numFmtId="0" fontId="37" fillId="0" borderId="51" xfId="0" applyFont="1" applyBorder="1" applyAlignment="1">
      <alignment/>
    </xf>
    <xf numFmtId="0" fontId="18" fillId="2" borderId="0" xfId="0" applyFont="1" applyFill="1" applyBorder="1" applyAlignment="1" applyProtection="1">
      <alignment horizontal="center" vertical="center"/>
      <protection/>
    </xf>
    <xf numFmtId="0" fontId="0" fillId="0" borderId="0" xfId="0" applyAlignment="1">
      <alignment/>
    </xf>
    <xf numFmtId="181" fontId="33" fillId="0" borderId="9" xfId="0" applyNumberFormat="1" applyFont="1" applyFill="1" applyBorder="1" applyAlignment="1" applyProtection="1">
      <alignment horizontal="center" vertical="center" wrapText="1"/>
      <protection/>
    </xf>
    <xf numFmtId="181" fontId="33" fillId="0" borderId="52" xfId="0" applyNumberFormat="1" applyFont="1" applyFill="1" applyBorder="1" applyAlignment="1" applyProtection="1">
      <alignment horizontal="center" vertical="center" wrapText="1"/>
      <protection/>
    </xf>
    <xf numFmtId="0" fontId="33" fillId="0" borderId="9" xfId="0" applyNumberFormat="1" applyFont="1" applyFill="1" applyBorder="1" applyAlignment="1" applyProtection="1">
      <alignment horizontal="center" vertical="center" wrapText="1"/>
      <protection/>
    </xf>
    <xf numFmtId="0" fontId="35" fillId="0" borderId="7" xfId="0" applyFont="1" applyBorder="1" applyAlignment="1">
      <alignment horizontal="center" vertical="center"/>
    </xf>
    <xf numFmtId="43" fontId="33" fillId="0" borderId="9" xfId="15" applyFont="1" applyFill="1" applyBorder="1" applyAlignment="1" applyProtection="1">
      <alignment horizontal="center" vertical="center" wrapText="1"/>
      <protection/>
    </xf>
    <xf numFmtId="0" fontId="33" fillId="0" borderId="9" xfId="0" applyFont="1" applyFill="1" applyBorder="1" applyAlignment="1" applyProtection="1">
      <alignment horizontal="center" vertical="center" wrapText="1"/>
      <protection/>
    </xf>
    <xf numFmtId="0" fontId="33" fillId="0" borderId="53" xfId="0" applyNumberFormat="1" applyFont="1" applyFill="1" applyBorder="1" applyAlignment="1" applyProtection="1">
      <alignment horizontal="center" vertical="center" wrapText="1"/>
      <protection/>
    </xf>
    <xf numFmtId="0" fontId="35" fillId="0" borderId="54" xfId="0" applyFont="1" applyBorder="1" applyAlignment="1">
      <alignment horizontal="center" vertical="center" wrapText="1"/>
    </xf>
    <xf numFmtId="4" fontId="33" fillId="0" borderId="9" xfId="0" applyNumberFormat="1" applyFont="1" applyFill="1" applyBorder="1" applyAlignment="1" applyProtection="1">
      <alignment horizontal="center" vertical="center" wrapText="1"/>
      <protection/>
    </xf>
    <xf numFmtId="184" fontId="33" fillId="0" borderId="9"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3" fillId="0" borderId="0" xfId="0" applyFont="1" applyAlignment="1">
      <alignment horizontal="right" vertical="center" wrapText="1"/>
    </xf>
    <xf numFmtId="0" fontId="22" fillId="2" borderId="55" xfId="0" applyFont="1" applyFill="1" applyBorder="1" applyAlignment="1">
      <alignment horizontal="right" vertical="center"/>
    </xf>
    <xf numFmtId="0" fontId="0" fillId="0" borderId="22" xfId="0" applyBorder="1" applyAlignment="1">
      <alignment horizontal="right" vertical="center"/>
    </xf>
    <xf numFmtId="0" fontId="23" fillId="2" borderId="45" xfId="0" applyFont="1" applyFill="1" applyBorder="1" applyAlignment="1">
      <alignment horizontal="right" vertical="center"/>
    </xf>
    <xf numFmtId="0" fontId="0" fillId="0" borderId="23" xfId="0" applyBorder="1" applyAlignment="1">
      <alignment horizontal="right" vertical="center"/>
    </xf>
    <xf numFmtId="0" fontId="23" fillId="2" borderId="56" xfId="0" applyFont="1" applyFill="1" applyBorder="1" applyAlignment="1">
      <alignment horizontal="right" vertical="center"/>
    </xf>
    <xf numFmtId="0" fontId="0" fillId="0" borderId="24" xfId="0" applyBorder="1" applyAlignment="1">
      <alignment horizontal="right" vertical="center"/>
    </xf>
    <xf numFmtId="184" fontId="36" fillId="0" borderId="3" xfId="0" applyNumberFormat="1" applyFont="1" applyFill="1" applyBorder="1" applyAlignment="1" applyProtection="1">
      <alignment horizontal="center" vertical="center"/>
      <protection locked="0"/>
    </xf>
    <xf numFmtId="0" fontId="37" fillId="0" borderId="3" xfId="0" applyFont="1" applyBorder="1" applyAlignment="1">
      <alignment/>
    </xf>
    <xf numFmtId="0" fontId="37" fillId="0" borderId="6" xfId="0" applyFont="1" applyBorder="1" applyAlignment="1">
      <alignment/>
    </xf>
    <xf numFmtId="0" fontId="25" fillId="0" borderId="0" xfId="0" applyFont="1" applyBorder="1" applyAlignment="1" applyProtection="1">
      <alignment vertical="center" wrapText="1"/>
      <protection locked="0"/>
    </xf>
    <xf numFmtId="184" fontId="36" fillId="0" borderId="48" xfId="0" applyNumberFormat="1" applyFont="1" applyFill="1" applyBorder="1" applyAlignment="1" applyProtection="1">
      <alignment horizontal="center" vertical="center"/>
      <protection locked="0"/>
    </xf>
    <xf numFmtId="0" fontId="37" fillId="0" borderId="57" xfId="0" applyFont="1" applyBorder="1" applyAlignment="1">
      <alignment/>
    </xf>
    <xf numFmtId="0" fontId="37" fillId="0" borderId="49" xfId="0" applyFont="1" applyBorder="1" applyAlignment="1">
      <alignment/>
    </xf>
    <xf numFmtId="0" fontId="37" fillId="0" borderId="58" xfId="0" applyFont="1" applyBorder="1" applyAlignment="1">
      <alignment/>
    </xf>
    <xf numFmtId="0" fontId="43" fillId="0" borderId="0"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36" fillId="0" borderId="59" xfId="0" applyFont="1" applyFill="1" applyBorder="1" applyAlignment="1" applyProtection="1">
      <alignment horizontal="center" vertical="center"/>
      <protection locked="0"/>
    </xf>
    <xf numFmtId="192" fontId="33" fillId="0" borderId="52" xfId="0" applyNumberFormat="1" applyFont="1" applyFill="1" applyBorder="1" applyAlignment="1" applyProtection="1">
      <alignment horizontal="center" vertical="center" wrapText="1"/>
      <protection/>
    </xf>
    <xf numFmtId="192" fontId="33" fillId="0" borderId="60" xfId="0" applyNumberFormat="1" applyFont="1" applyFill="1" applyBorder="1" applyAlignment="1" applyProtection="1">
      <alignment horizontal="center" vertical="center" wrapText="1"/>
      <protection/>
    </xf>
    <xf numFmtId="0" fontId="33" fillId="0" borderId="9" xfId="0" applyNumberFormat="1" applyFont="1" applyFill="1" applyBorder="1" applyAlignment="1">
      <alignment horizontal="center" vertical="center" wrapText="1"/>
    </xf>
    <xf numFmtId="0" fontId="33" fillId="0" borderId="36" xfId="0" applyNumberFormat="1" applyFont="1" applyFill="1" applyBorder="1" applyAlignment="1">
      <alignment horizontal="center" vertical="center" wrapText="1"/>
    </xf>
    <xf numFmtId="0" fontId="33" fillId="0" borderId="7" xfId="0" applyNumberFormat="1" applyFont="1" applyFill="1" applyBorder="1" applyAlignment="1">
      <alignment horizontal="center" wrapText="1"/>
    </xf>
    <xf numFmtId="0" fontId="33" fillId="0" borderId="7" xfId="0" applyNumberFormat="1" applyFont="1" applyFill="1" applyBorder="1" applyAlignment="1" applyProtection="1">
      <alignment horizontal="center" vertical="center" wrapText="1"/>
      <protection/>
    </xf>
    <xf numFmtId="192" fontId="33" fillId="0" borderId="8" xfId="0" applyNumberFormat="1" applyFont="1" applyFill="1" applyBorder="1" applyAlignment="1" applyProtection="1">
      <alignment horizontal="center" vertical="center" wrapText="1"/>
      <protection/>
    </xf>
    <xf numFmtId="0" fontId="0" fillId="0" borderId="0" xfId="0" applyBorder="1" applyAlignment="1">
      <alignment horizontal="right" vertical="center" wrapText="1"/>
    </xf>
    <xf numFmtId="0" fontId="13" fillId="0" borderId="0" xfId="0" applyFont="1" applyBorder="1" applyAlignment="1">
      <alignment horizontal="right" vertical="center" wrapText="1"/>
    </xf>
    <xf numFmtId="0" fontId="0" fillId="0" borderId="0" xfId="0" applyBorder="1" applyAlignment="1">
      <alignment vertical="center" wrapText="1"/>
    </xf>
    <xf numFmtId="0" fontId="9" fillId="4" borderId="0" xfId="0" applyFont="1" applyFill="1" applyBorder="1" applyAlignment="1">
      <alignment horizontal="center" vertical="center" wrapText="1"/>
    </xf>
    <xf numFmtId="0" fontId="42" fillId="0" borderId="0" xfId="0" applyFont="1" applyAlignment="1">
      <alignment vertical="center"/>
    </xf>
    <xf numFmtId="0" fontId="21" fillId="2" borderId="48" xfId="0" applyFont="1" applyFill="1" applyBorder="1" applyAlignment="1">
      <alignment horizontal="center" vertical="center"/>
    </xf>
    <xf numFmtId="0" fontId="0" fillId="0" borderId="3" xfId="0" applyBorder="1" applyAlignment="1">
      <alignment horizontal="center" vertical="center"/>
    </xf>
    <xf numFmtId="0" fontId="20" fillId="2" borderId="20" xfId="0" applyFont="1" applyFill="1" applyBorder="1" applyAlignment="1">
      <alignment horizontal="center" vertical="center"/>
    </xf>
    <xf numFmtId="0" fontId="0" fillId="0" borderId="2" xfId="0" applyBorder="1" applyAlignment="1">
      <alignment horizontal="center" vertical="center"/>
    </xf>
    <xf numFmtId="0" fontId="30" fillId="2" borderId="61" xfId="0" applyFont="1" applyFill="1" applyBorder="1" applyAlignment="1">
      <alignment horizontal="center" vertical="center"/>
    </xf>
    <xf numFmtId="0" fontId="0" fillId="2" borderId="40" xfId="0" applyFont="1" applyFill="1" applyBorder="1" applyAlignment="1">
      <alignment horizontal="center" vertical="center"/>
    </xf>
    <xf numFmtId="0" fontId="33" fillId="0" borderId="7" xfId="0" applyNumberFormat="1" applyFont="1" applyFill="1" applyBorder="1" applyAlignment="1">
      <alignment horizontal="center" vertical="center"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Box 1"/>
        <xdr:cNvSpPr txBox="1">
          <a:spLocks noChangeArrowheads="1"/>
        </xdr:cNvSpPr>
      </xdr:nvSpPr>
      <xdr:spPr>
        <a:xfrm>
          <a:off x="19050" y="38100"/>
          <a:ext cx="14058900" cy="105727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12</xdr:col>
      <xdr:colOff>0</xdr:colOff>
      <xdr:row>0</xdr:row>
      <xdr:rowOff>466725</xdr:rowOff>
    </xdr:from>
    <xdr:to>
      <xdr:col>14</xdr:col>
      <xdr:colOff>400050</xdr:colOff>
      <xdr:row>0</xdr:row>
      <xdr:rowOff>1066800</xdr:rowOff>
    </xdr:to>
    <xdr:sp fLocksText="0">
      <xdr:nvSpPr>
        <xdr:cNvPr id="2" name="TextBox 2"/>
        <xdr:cNvSpPr txBox="1">
          <a:spLocks noChangeArrowheads="1"/>
        </xdr:cNvSpPr>
      </xdr:nvSpPr>
      <xdr:spPr>
        <a:xfrm>
          <a:off x="11191875" y="466725"/>
          <a:ext cx="2609850" cy="600075"/>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 44
</a:t>
          </a:r>
          <a:r>
            <a:rPr lang="en-US" cap="none" sz="1600" b="0" i="0" u="none" baseline="0">
              <a:solidFill>
                <a:srgbClr val="FFFFFF"/>
              </a:solidFill>
              <a:latin typeface="Impact"/>
              <a:ea typeface="Impact"/>
              <a:cs typeface="Impact"/>
            </a:rPr>
            <a:t>27 Oct' - 02 Nov'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0"/>
  <sheetViews>
    <sheetView showGridLines="0" tabSelected="1" zoomScale="65" zoomScaleNormal="65"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00390625" style="69" customWidth="1"/>
    <col min="2" max="2" width="41.421875" style="4" bestFit="1" customWidth="1"/>
    <col min="3" max="3" width="13.00390625" style="13" bestFit="1" customWidth="1"/>
    <col min="4" max="4" width="17.140625" style="17" bestFit="1" customWidth="1"/>
    <col min="5" max="5" width="15.28125" style="17" bestFit="1" customWidth="1"/>
    <col min="6" max="6" width="10.421875" style="6" bestFit="1" customWidth="1"/>
    <col min="7" max="7" width="8.57421875" style="6" bestFit="1" customWidth="1"/>
    <col min="8" max="8" width="9.57421875" style="6" customWidth="1"/>
    <col min="9" max="9" width="18.7109375" style="61" bestFit="1" customWidth="1"/>
    <col min="10" max="10" width="12.28125" style="156" bestFit="1" customWidth="1"/>
    <col min="11" max="11" width="9.7109375" style="39" customWidth="1"/>
    <col min="12" max="12" width="8.7109375" style="27" bestFit="1" customWidth="1"/>
    <col min="13" max="13" width="18.7109375" style="20" bestFit="1" customWidth="1"/>
    <col min="14" max="14" width="14.421875" style="39" bestFit="1" customWidth="1"/>
    <col min="15" max="15" width="10.140625" style="57" bestFit="1" customWidth="1"/>
    <col min="16" max="16384" width="9.140625" style="4" customWidth="1"/>
  </cols>
  <sheetData>
    <row r="1" spans="1:15" s="2" customFormat="1" ht="90.75" customHeight="1">
      <c r="A1" s="68"/>
      <c r="B1" s="1"/>
      <c r="C1" s="11"/>
      <c r="D1" s="15"/>
      <c r="E1" s="15"/>
      <c r="F1" s="5"/>
      <c r="G1" s="5"/>
      <c r="H1" s="5"/>
      <c r="I1" s="58"/>
      <c r="J1" s="150"/>
      <c r="K1" s="37"/>
      <c r="L1" s="26"/>
      <c r="M1" s="18"/>
      <c r="N1" s="21"/>
      <c r="O1" s="53"/>
    </row>
    <row r="2" spans="1:15" s="10" customFormat="1" ht="27.75" thickBot="1">
      <c r="A2" s="344" t="s">
        <v>51</v>
      </c>
      <c r="B2" s="345"/>
      <c r="C2" s="345"/>
      <c r="D2" s="345"/>
      <c r="E2" s="345"/>
      <c r="F2" s="345"/>
      <c r="G2" s="345"/>
      <c r="H2" s="345"/>
      <c r="I2" s="345"/>
      <c r="J2" s="345"/>
      <c r="K2" s="345"/>
      <c r="L2" s="345"/>
      <c r="M2" s="345"/>
      <c r="N2" s="345"/>
      <c r="O2" s="345"/>
    </row>
    <row r="3" spans="1:15" s="40" customFormat="1" ht="16.5">
      <c r="A3" s="127"/>
      <c r="B3" s="350" t="s">
        <v>184</v>
      </c>
      <c r="C3" s="355" t="s">
        <v>185</v>
      </c>
      <c r="D3" s="351" t="s">
        <v>19</v>
      </c>
      <c r="E3" s="351" t="s">
        <v>18</v>
      </c>
      <c r="F3" s="348" t="s">
        <v>186</v>
      </c>
      <c r="G3" s="348" t="s">
        <v>197</v>
      </c>
      <c r="H3" s="352" t="s">
        <v>311</v>
      </c>
      <c r="I3" s="354" t="s">
        <v>187</v>
      </c>
      <c r="J3" s="354"/>
      <c r="K3" s="354"/>
      <c r="L3" s="354"/>
      <c r="M3" s="346" t="s">
        <v>188</v>
      </c>
      <c r="N3" s="346"/>
      <c r="O3" s="347"/>
    </row>
    <row r="4" spans="1:15" s="40" customFormat="1" ht="43.5" thickBot="1">
      <c r="A4" s="128"/>
      <c r="B4" s="349"/>
      <c r="C4" s="349"/>
      <c r="D4" s="349"/>
      <c r="E4" s="349"/>
      <c r="F4" s="349"/>
      <c r="G4" s="349"/>
      <c r="H4" s="353"/>
      <c r="I4" s="70" t="s">
        <v>189</v>
      </c>
      <c r="J4" s="71" t="s">
        <v>190</v>
      </c>
      <c r="K4" s="71" t="s">
        <v>273</v>
      </c>
      <c r="L4" s="72" t="s">
        <v>191</v>
      </c>
      <c r="M4" s="70" t="s">
        <v>189</v>
      </c>
      <c r="N4" s="71" t="s">
        <v>190</v>
      </c>
      <c r="O4" s="73" t="s">
        <v>192</v>
      </c>
    </row>
    <row r="5" spans="1:15" s="3" customFormat="1" ht="15">
      <c r="A5" s="216">
        <v>1</v>
      </c>
      <c r="B5" s="311" t="s">
        <v>360</v>
      </c>
      <c r="C5" s="312">
        <v>39010</v>
      </c>
      <c r="D5" s="313" t="s">
        <v>1</v>
      </c>
      <c r="E5" s="313" t="s">
        <v>361</v>
      </c>
      <c r="F5" s="314" t="s">
        <v>362</v>
      </c>
      <c r="G5" s="314" t="s">
        <v>363</v>
      </c>
      <c r="H5" s="314" t="s">
        <v>364</v>
      </c>
      <c r="I5" s="322">
        <v>2678961</v>
      </c>
      <c r="J5" s="323">
        <v>348221</v>
      </c>
      <c r="K5" s="315">
        <f aca="true" t="shared" si="0" ref="K5:K41">J5/G5</f>
        <v>1006.4190751445087</v>
      </c>
      <c r="L5" s="219">
        <f aca="true" t="shared" si="1" ref="L5:L41">I5/J5</f>
        <v>7.693278119355237</v>
      </c>
      <c r="M5" s="316">
        <v>9275619.5</v>
      </c>
      <c r="N5" s="317">
        <v>1180329</v>
      </c>
      <c r="O5" s="318">
        <f aca="true" t="shared" si="2" ref="O5:O48">+M5/N5</f>
        <v>7.858503434211987</v>
      </c>
    </row>
    <row r="6" spans="1:15" s="3" customFormat="1" ht="15">
      <c r="A6" s="217">
        <v>2</v>
      </c>
      <c r="B6" s="220" t="s">
        <v>337</v>
      </c>
      <c r="C6" s="158">
        <v>39010</v>
      </c>
      <c r="D6" s="157" t="s">
        <v>365</v>
      </c>
      <c r="E6" s="157" t="s">
        <v>48</v>
      </c>
      <c r="F6" s="159">
        <v>249</v>
      </c>
      <c r="G6" s="159">
        <v>249</v>
      </c>
      <c r="H6" s="159">
        <v>2</v>
      </c>
      <c r="I6" s="293">
        <v>1603944</v>
      </c>
      <c r="J6" s="324">
        <v>243355</v>
      </c>
      <c r="K6" s="306">
        <f t="shared" si="0"/>
        <v>977.3293172690763</v>
      </c>
      <c r="L6" s="213">
        <f t="shared" si="1"/>
        <v>6.590963818290152</v>
      </c>
      <c r="M6" s="278">
        <f>2091324+1603944</f>
        <v>3695268</v>
      </c>
      <c r="N6" s="308">
        <f>295082+234355</f>
        <v>529437</v>
      </c>
      <c r="O6" s="184">
        <f t="shared" si="2"/>
        <v>6.979617971543356</v>
      </c>
    </row>
    <row r="7" spans="1:15" s="3" customFormat="1" ht="15">
      <c r="A7" s="218">
        <v>3</v>
      </c>
      <c r="B7" s="337" t="s">
        <v>366</v>
      </c>
      <c r="C7" s="287">
        <v>39017</v>
      </c>
      <c r="D7" s="288" t="s">
        <v>24</v>
      </c>
      <c r="E7" s="288" t="s">
        <v>29</v>
      </c>
      <c r="F7" s="289">
        <v>75</v>
      </c>
      <c r="G7" s="289">
        <v>75</v>
      </c>
      <c r="H7" s="289">
        <v>1</v>
      </c>
      <c r="I7" s="291">
        <v>371505</v>
      </c>
      <c r="J7" s="338">
        <v>39853</v>
      </c>
      <c r="K7" s="339">
        <f t="shared" si="0"/>
        <v>531.3733333333333</v>
      </c>
      <c r="L7" s="245">
        <f t="shared" si="1"/>
        <v>9.321882919730008</v>
      </c>
      <c r="M7" s="290">
        <v>371505</v>
      </c>
      <c r="N7" s="340">
        <v>39853</v>
      </c>
      <c r="O7" s="333">
        <f t="shared" si="2"/>
        <v>9.321882919730008</v>
      </c>
    </row>
    <row r="8" spans="1:15" s="3" customFormat="1" ht="15">
      <c r="A8" s="216">
        <v>4</v>
      </c>
      <c r="B8" s="243" t="s">
        <v>338</v>
      </c>
      <c r="C8" s="282">
        <v>39010</v>
      </c>
      <c r="D8" s="283" t="s">
        <v>23</v>
      </c>
      <c r="E8" s="284" t="s">
        <v>48</v>
      </c>
      <c r="F8" s="285">
        <v>95</v>
      </c>
      <c r="G8" s="285">
        <v>95</v>
      </c>
      <c r="H8" s="285">
        <v>2</v>
      </c>
      <c r="I8" s="292">
        <v>317534</v>
      </c>
      <c r="J8" s="334">
        <v>43028</v>
      </c>
      <c r="K8" s="335">
        <f t="shared" si="0"/>
        <v>452.9263157894737</v>
      </c>
      <c r="L8" s="262">
        <f t="shared" si="1"/>
        <v>7.379706237798643</v>
      </c>
      <c r="M8" s="286">
        <f>571702+317534</f>
        <v>889236</v>
      </c>
      <c r="N8" s="336">
        <f>73412+43028</f>
        <v>116440</v>
      </c>
      <c r="O8" s="263">
        <f t="shared" si="2"/>
        <v>7.636860185503264</v>
      </c>
    </row>
    <row r="9" spans="1:15" s="7" customFormat="1" ht="15">
      <c r="A9" s="217">
        <v>5</v>
      </c>
      <c r="B9" s="220" t="s">
        <v>339</v>
      </c>
      <c r="C9" s="158">
        <v>39010</v>
      </c>
      <c r="D9" s="157" t="s">
        <v>24</v>
      </c>
      <c r="E9" s="157" t="s">
        <v>34</v>
      </c>
      <c r="F9" s="159">
        <v>106</v>
      </c>
      <c r="G9" s="159">
        <v>108</v>
      </c>
      <c r="H9" s="159">
        <v>2</v>
      </c>
      <c r="I9" s="293">
        <v>307764</v>
      </c>
      <c r="J9" s="324">
        <v>39879</v>
      </c>
      <c r="K9" s="306">
        <f t="shared" si="0"/>
        <v>369.25</v>
      </c>
      <c r="L9" s="213">
        <f t="shared" si="1"/>
        <v>7.717445271947642</v>
      </c>
      <c r="M9" s="278">
        <v>817693</v>
      </c>
      <c r="N9" s="308">
        <v>101881</v>
      </c>
      <c r="O9" s="184">
        <f t="shared" si="2"/>
        <v>8.0259616611537</v>
      </c>
    </row>
    <row r="10" spans="1:15" s="7" customFormat="1" ht="15">
      <c r="A10" s="217">
        <v>6</v>
      </c>
      <c r="B10" s="220" t="s">
        <v>367</v>
      </c>
      <c r="C10" s="158">
        <v>39017</v>
      </c>
      <c r="D10" s="157" t="s">
        <v>365</v>
      </c>
      <c r="E10" s="157" t="s">
        <v>368</v>
      </c>
      <c r="F10" s="159">
        <v>60</v>
      </c>
      <c r="G10" s="159">
        <v>60</v>
      </c>
      <c r="H10" s="159">
        <v>1</v>
      </c>
      <c r="I10" s="293">
        <v>246527.5</v>
      </c>
      <c r="J10" s="324">
        <v>29729</v>
      </c>
      <c r="K10" s="306">
        <f t="shared" si="0"/>
        <v>495.48333333333335</v>
      </c>
      <c r="L10" s="213">
        <f t="shared" si="1"/>
        <v>8.292492179353493</v>
      </c>
      <c r="M10" s="278">
        <f>246527.5</f>
        <v>246527.5</v>
      </c>
      <c r="N10" s="308">
        <f>29729</f>
        <v>29729</v>
      </c>
      <c r="O10" s="184">
        <f t="shared" si="2"/>
        <v>8.292492179353493</v>
      </c>
    </row>
    <row r="11" spans="1:15" s="7" customFormat="1" ht="15">
      <c r="A11" s="217">
        <v>7</v>
      </c>
      <c r="B11" s="220" t="s">
        <v>307</v>
      </c>
      <c r="C11" s="158">
        <v>38982</v>
      </c>
      <c r="D11" s="157" t="s">
        <v>365</v>
      </c>
      <c r="E11" s="157" t="s">
        <v>308</v>
      </c>
      <c r="F11" s="159">
        <v>22</v>
      </c>
      <c r="G11" s="159">
        <v>22</v>
      </c>
      <c r="H11" s="159">
        <v>2</v>
      </c>
      <c r="I11" s="293">
        <v>72443</v>
      </c>
      <c r="J11" s="324">
        <v>8764</v>
      </c>
      <c r="K11" s="306">
        <f t="shared" si="0"/>
        <v>398.3636363636364</v>
      </c>
      <c r="L11" s="213">
        <f t="shared" si="1"/>
        <v>8.265974440894569</v>
      </c>
      <c r="M11" s="278">
        <f>3328+88936+72443</f>
        <v>164707</v>
      </c>
      <c r="N11" s="308">
        <f>378+10550+8764</f>
        <v>19692</v>
      </c>
      <c r="O11" s="184">
        <f t="shared" si="2"/>
        <v>8.364158033719276</v>
      </c>
    </row>
    <row r="12" spans="1:15" s="7" customFormat="1" ht="15">
      <c r="A12" s="217">
        <v>8</v>
      </c>
      <c r="B12" s="223" t="s">
        <v>322</v>
      </c>
      <c r="C12" s="309">
        <v>38996</v>
      </c>
      <c r="D12" s="166" t="s">
        <v>76</v>
      </c>
      <c r="E12" s="166" t="s">
        <v>341</v>
      </c>
      <c r="F12" s="170">
        <v>103</v>
      </c>
      <c r="G12" s="170">
        <v>66</v>
      </c>
      <c r="H12" s="170">
        <v>4</v>
      </c>
      <c r="I12" s="293">
        <v>47076</v>
      </c>
      <c r="J12" s="324">
        <v>8309</v>
      </c>
      <c r="K12" s="306">
        <f t="shared" si="0"/>
        <v>125.89393939393939</v>
      </c>
      <c r="L12" s="213">
        <f t="shared" si="1"/>
        <v>5.665663738115296</v>
      </c>
      <c r="M12" s="278">
        <f>354012+203593.5+132699+47076</f>
        <v>737380.5</v>
      </c>
      <c r="N12" s="308">
        <f>50571+28658+22282+8309</f>
        <v>109820</v>
      </c>
      <c r="O12" s="183">
        <f t="shared" si="2"/>
        <v>6.714446366782007</v>
      </c>
    </row>
    <row r="13" spans="1:15" s="7" customFormat="1" ht="15">
      <c r="A13" s="217">
        <v>9</v>
      </c>
      <c r="B13" s="221" t="s">
        <v>331</v>
      </c>
      <c r="C13" s="161">
        <v>39003</v>
      </c>
      <c r="D13" s="162" t="s">
        <v>23</v>
      </c>
      <c r="E13" s="160" t="s">
        <v>68</v>
      </c>
      <c r="F13" s="163">
        <v>50</v>
      </c>
      <c r="G13" s="163">
        <v>29</v>
      </c>
      <c r="H13" s="163">
        <v>3</v>
      </c>
      <c r="I13" s="264">
        <v>43833</v>
      </c>
      <c r="J13" s="325">
        <v>6174</v>
      </c>
      <c r="K13" s="306">
        <f t="shared" si="0"/>
        <v>212.89655172413794</v>
      </c>
      <c r="L13" s="213">
        <f t="shared" si="1"/>
        <v>7.099611273080661</v>
      </c>
      <c r="M13" s="249">
        <f>311061+248226+43833</f>
        <v>603120</v>
      </c>
      <c r="N13" s="307">
        <f>36791+29658+6174</f>
        <v>72623</v>
      </c>
      <c r="O13" s="183">
        <f t="shared" si="2"/>
        <v>8.30480701706071</v>
      </c>
    </row>
    <row r="14" spans="1:15" s="7" customFormat="1" ht="15">
      <c r="A14" s="217">
        <v>10</v>
      </c>
      <c r="B14" s="220" t="s">
        <v>85</v>
      </c>
      <c r="C14" s="158">
        <v>38975</v>
      </c>
      <c r="D14" s="157" t="s">
        <v>24</v>
      </c>
      <c r="E14" s="157" t="s">
        <v>29</v>
      </c>
      <c r="F14" s="159">
        <v>125</v>
      </c>
      <c r="G14" s="159">
        <v>48</v>
      </c>
      <c r="H14" s="159">
        <v>7</v>
      </c>
      <c r="I14" s="293">
        <v>38515</v>
      </c>
      <c r="J14" s="324">
        <v>7541</v>
      </c>
      <c r="K14" s="306">
        <f t="shared" si="0"/>
        <v>157.10416666666666</v>
      </c>
      <c r="L14" s="213">
        <f t="shared" si="1"/>
        <v>5.1074128099721525</v>
      </c>
      <c r="M14" s="278">
        <v>2307523</v>
      </c>
      <c r="N14" s="308">
        <v>316348</v>
      </c>
      <c r="O14" s="184">
        <f t="shared" si="2"/>
        <v>7.294255060882319</v>
      </c>
    </row>
    <row r="15" spans="1:15" s="7" customFormat="1" ht="15">
      <c r="A15" s="217">
        <v>11</v>
      </c>
      <c r="B15" s="220" t="s">
        <v>321</v>
      </c>
      <c r="C15" s="158">
        <v>38996</v>
      </c>
      <c r="D15" s="157" t="s">
        <v>365</v>
      </c>
      <c r="E15" s="157" t="s">
        <v>27</v>
      </c>
      <c r="F15" s="159">
        <v>35</v>
      </c>
      <c r="G15" s="159">
        <v>22</v>
      </c>
      <c r="H15" s="159">
        <v>4</v>
      </c>
      <c r="I15" s="293">
        <v>36607</v>
      </c>
      <c r="J15" s="324">
        <v>4164</v>
      </c>
      <c r="K15" s="306">
        <f t="shared" si="0"/>
        <v>189.27272727272728</v>
      </c>
      <c r="L15" s="213">
        <f t="shared" si="1"/>
        <v>8.791306436119116</v>
      </c>
      <c r="M15" s="278">
        <f>384046.5+313718.5+119118.5+36607</f>
        <v>853490.5</v>
      </c>
      <c r="N15" s="308">
        <f>39714+29697+11825+4164</f>
        <v>85400</v>
      </c>
      <c r="O15" s="184">
        <f t="shared" si="2"/>
        <v>9.994033957845433</v>
      </c>
    </row>
    <row r="16" spans="1:15" s="7" customFormat="1" ht="15">
      <c r="A16" s="217">
        <v>12</v>
      </c>
      <c r="B16" s="221" t="s">
        <v>300</v>
      </c>
      <c r="C16" s="161">
        <v>38982</v>
      </c>
      <c r="D16" s="162" t="s">
        <v>23</v>
      </c>
      <c r="E16" s="160" t="s">
        <v>30</v>
      </c>
      <c r="F16" s="163">
        <v>76</v>
      </c>
      <c r="G16" s="163">
        <v>18</v>
      </c>
      <c r="H16" s="163">
        <v>6</v>
      </c>
      <c r="I16" s="264">
        <v>14009</v>
      </c>
      <c r="J16" s="325">
        <v>3019</v>
      </c>
      <c r="K16" s="306">
        <f t="shared" si="0"/>
        <v>167.72222222222223</v>
      </c>
      <c r="L16" s="213">
        <f t="shared" si="1"/>
        <v>4.640278237827095</v>
      </c>
      <c r="M16" s="249">
        <f>679462.5+497450+349816.5+242953+16589+14009</f>
        <v>1800280</v>
      </c>
      <c r="N16" s="307">
        <f>80488+59596+43676+30739+3788+3019</f>
        <v>221306</v>
      </c>
      <c r="O16" s="183">
        <f t="shared" si="2"/>
        <v>8.13479977949084</v>
      </c>
    </row>
    <row r="17" spans="1:15" s="7" customFormat="1" ht="15">
      <c r="A17" s="217">
        <v>13</v>
      </c>
      <c r="B17" s="223" t="s">
        <v>342</v>
      </c>
      <c r="C17" s="309">
        <v>39010</v>
      </c>
      <c r="D17" s="166" t="s">
        <v>76</v>
      </c>
      <c r="E17" s="166" t="s">
        <v>136</v>
      </c>
      <c r="F17" s="170">
        <v>4</v>
      </c>
      <c r="G17" s="170">
        <v>4</v>
      </c>
      <c r="H17" s="170">
        <v>2</v>
      </c>
      <c r="I17" s="293">
        <v>11125</v>
      </c>
      <c r="J17" s="324">
        <v>1429</v>
      </c>
      <c r="K17" s="306">
        <f t="shared" si="0"/>
        <v>357.25</v>
      </c>
      <c r="L17" s="213">
        <f t="shared" si="1"/>
        <v>7.785164450664801</v>
      </c>
      <c r="M17" s="278">
        <f>29917+16679+11125</f>
        <v>57721</v>
      </c>
      <c r="N17" s="308">
        <f>3239+2157+1429</f>
        <v>6825</v>
      </c>
      <c r="O17" s="183">
        <f t="shared" si="2"/>
        <v>8.457289377289378</v>
      </c>
    </row>
    <row r="18" spans="1:15" s="7" customFormat="1" ht="15">
      <c r="A18" s="217">
        <v>14</v>
      </c>
      <c r="B18" s="220" t="s">
        <v>315</v>
      </c>
      <c r="C18" s="158">
        <v>38989</v>
      </c>
      <c r="D18" s="157" t="s">
        <v>24</v>
      </c>
      <c r="E18" s="157" t="s">
        <v>37</v>
      </c>
      <c r="F18" s="159">
        <v>85</v>
      </c>
      <c r="G18" s="159">
        <v>20</v>
      </c>
      <c r="H18" s="159">
        <v>5</v>
      </c>
      <c r="I18" s="293">
        <v>8640</v>
      </c>
      <c r="J18" s="324">
        <v>1595</v>
      </c>
      <c r="K18" s="306">
        <f t="shared" si="0"/>
        <v>79.75</v>
      </c>
      <c r="L18" s="213">
        <f t="shared" si="1"/>
        <v>5.41692789968652</v>
      </c>
      <c r="M18" s="278">
        <v>598536</v>
      </c>
      <c r="N18" s="308">
        <v>66952</v>
      </c>
      <c r="O18" s="184">
        <f t="shared" si="2"/>
        <v>8.939777751224758</v>
      </c>
    </row>
    <row r="19" spans="1:15" s="7" customFormat="1" ht="15">
      <c r="A19" s="217">
        <v>15</v>
      </c>
      <c r="B19" s="220" t="s">
        <v>323</v>
      </c>
      <c r="C19" s="158">
        <v>38996</v>
      </c>
      <c r="D19" s="157" t="s">
        <v>24</v>
      </c>
      <c r="E19" s="157" t="s">
        <v>34</v>
      </c>
      <c r="F19" s="159">
        <v>76</v>
      </c>
      <c r="G19" s="159">
        <v>18</v>
      </c>
      <c r="H19" s="159">
        <v>4</v>
      </c>
      <c r="I19" s="293">
        <v>7429</v>
      </c>
      <c r="J19" s="324">
        <v>1259</v>
      </c>
      <c r="K19" s="306">
        <f t="shared" si="0"/>
        <v>69.94444444444444</v>
      </c>
      <c r="L19" s="213">
        <f t="shared" si="1"/>
        <v>5.900714853057982</v>
      </c>
      <c r="M19" s="278">
        <v>642462</v>
      </c>
      <c r="N19" s="308">
        <v>70088</v>
      </c>
      <c r="O19" s="184">
        <f t="shared" si="2"/>
        <v>9.166504965186622</v>
      </c>
    </row>
    <row r="20" spans="1:15" s="7" customFormat="1" ht="15">
      <c r="A20" s="217">
        <v>16</v>
      </c>
      <c r="B20" s="220" t="s">
        <v>316</v>
      </c>
      <c r="C20" s="158">
        <v>38989</v>
      </c>
      <c r="D20" s="157" t="s">
        <v>365</v>
      </c>
      <c r="E20" s="157" t="s">
        <v>38</v>
      </c>
      <c r="F20" s="159">
        <v>40</v>
      </c>
      <c r="G20" s="159">
        <v>15</v>
      </c>
      <c r="H20" s="159">
        <v>5</v>
      </c>
      <c r="I20" s="293">
        <v>5145</v>
      </c>
      <c r="J20" s="324">
        <v>1080</v>
      </c>
      <c r="K20" s="306">
        <f t="shared" si="0"/>
        <v>72</v>
      </c>
      <c r="L20" s="213">
        <f t="shared" si="1"/>
        <v>4.763888888888889</v>
      </c>
      <c r="M20" s="278">
        <f>165996+109228+65029.5+4604.5+5145</f>
        <v>350003</v>
      </c>
      <c r="N20" s="308">
        <f>19746+13243+8058+957+1080</f>
        <v>43084</v>
      </c>
      <c r="O20" s="184">
        <f t="shared" si="2"/>
        <v>8.123735029245195</v>
      </c>
    </row>
    <row r="21" spans="1:15" s="7" customFormat="1" ht="15">
      <c r="A21" s="217">
        <v>17</v>
      </c>
      <c r="B21" s="220" t="s">
        <v>265</v>
      </c>
      <c r="C21" s="158">
        <v>38989</v>
      </c>
      <c r="D21" s="157" t="s">
        <v>365</v>
      </c>
      <c r="E21" s="157" t="s">
        <v>369</v>
      </c>
      <c r="F21" s="159">
        <v>27</v>
      </c>
      <c r="G21" s="159">
        <v>4</v>
      </c>
      <c r="H21" s="159">
        <v>5</v>
      </c>
      <c r="I21" s="293">
        <v>3769.5</v>
      </c>
      <c r="J21" s="324">
        <v>613</v>
      </c>
      <c r="K21" s="306">
        <f t="shared" si="0"/>
        <v>153.25</v>
      </c>
      <c r="L21" s="213">
        <f t="shared" si="1"/>
        <v>6.149265905383361</v>
      </c>
      <c r="M21" s="278">
        <f>71204+47862.5+39128.5+4732+3769.5</f>
        <v>166696.5</v>
      </c>
      <c r="N21" s="308">
        <f>9130+6223+5269+696+613</f>
        <v>21931</v>
      </c>
      <c r="O21" s="184">
        <f t="shared" si="2"/>
        <v>7.6009529889197935</v>
      </c>
    </row>
    <row r="22" spans="1:15" s="7" customFormat="1" ht="15">
      <c r="A22" s="217">
        <v>18</v>
      </c>
      <c r="B22" s="223" t="s">
        <v>327</v>
      </c>
      <c r="C22" s="309">
        <v>38996</v>
      </c>
      <c r="D22" s="166" t="s">
        <v>76</v>
      </c>
      <c r="E22" s="166" t="s">
        <v>269</v>
      </c>
      <c r="F22" s="170">
        <v>3</v>
      </c>
      <c r="G22" s="170">
        <v>3</v>
      </c>
      <c r="H22" s="170">
        <v>4</v>
      </c>
      <c r="I22" s="293">
        <v>3034</v>
      </c>
      <c r="J22" s="324">
        <v>383</v>
      </c>
      <c r="K22" s="306">
        <f t="shared" si="0"/>
        <v>127.66666666666667</v>
      </c>
      <c r="L22" s="213">
        <f t="shared" si="1"/>
        <v>7.921671018276762</v>
      </c>
      <c r="M22" s="278">
        <f>10863.75+6916+6396+452+3034</f>
        <v>27661.75</v>
      </c>
      <c r="N22" s="308">
        <f>2246+865+798+56+383</f>
        <v>4348</v>
      </c>
      <c r="O22" s="183">
        <f t="shared" si="2"/>
        <v>6.361948022079117</v>
      </c>
    </row>
    <row r="23" spans="1:15" s="7" customFormat="1" ht="15">
      <c r="A23" s="217">
        <v>19</v>
      </c>
      <c r="B23" s="220" t="s">
        <v>344</v>
      </c>
      <c r="C23" s="158">
        <v>38968</v>
      </c>
      <c r="D23" s="157" t="s">
        <v>365</v>
      </c>
      <c r="E23" s="157" t="s">
        <v>27</v>
      </c>
      <c r="F23" s="159">
        <v>40</v>
      </c>
      <c r="G23" s="159">
        <v>1</v>
      </c>
      <c r="H23" s="159">
        <v>8</v>
      </c>
      <c r="I23" s="293">
        <v>3022</v>
      </c>
      <c r="J23" s="324">
        <v>609</v>
      </c>
      <c r="K23" s="306">
        <f t="shared" si="0"/>
        <v>609</v>
      </c>
      <c r="L23" s="213">
        <f t="shared" si="1"/>
        <v>4.962233169129721</v>
      </c>
      <c r="M23" s="278">
        <f>226818.5+158792+76218+22580+24396.5+21459.5+3022+85</f>
        <v>533371.5</v>
      </c>
      <c r="N23" s="308">
        <f>27238+18865+9176+3401+4846+3890+609+10</f>
        <v>68035</v>
      </c>
      <c r="O23" s="184">
        <f t="shared" si="2"/>
        <v>7.839663408539722</v>
      </c>
    </row>
    <row r="24" spans="1:15" s="7" customFormat="1" ht="15">
      <c r="A24" s="217">
        <v>20</v>
      </c>
      <c r="B24" s="223" t="s">
        <v>116</v>
      </c>
      <c r="C24" s="309">
        <v>38870</v>
      </c>
      <c r="D24" s="166" t="s">
        <v>76</v>
      </c>
      <c r="E24" s="166" t="s">
        <v>271</v>
      </c>
      <c r="F24" s="170">
        <v>5</v>
      </c>
      <c r="G24" s="170">
        <v>2</v>
      </c>
      <c r="H24" s="170">
        <v>19</v>
      </c>
      <c r="I24" s="293">
        <v>2850</v>
      </c>
      <c r="J24" s="324">
        <v>950</v>
      </c>
      <c r="K24" s="306">
        <f t="shared" si="0"/>
        <v>475</v>
      </c>
      <c r="L24" s="213">
        <f t="shared" si="1"/>
        <v>3</v>
      </c>
      <c r="M24" s="278">
        <f>20882.25+8209.5+3896+2400+1136+1611+7379.5+2057+1578+454+596+242+607+80+357.5+2184+1212+1863+930+2850</f>
        <v>60524.75</v>
      </c>
      <c r="N24" s="308">
        <f>2709+885+473+442+218+235+996+335+288+86+108+45+118+20+53+550+402+621+190+950</f>
        <v>9724</v>
      </c>
      <c r="O24" s="183">
        <f t="shared" si="2"/>
        <v>6.224264705882353</v>
      </c>
    </row>
    <row r="25" spans="1:15" s="7" customFormat="1" ht="15">
      <c r="A25" s="217">
        <v>21</v>
      </c>
      <c r="B25" s="220" t="s">
        <v>257</v>
      </c>
      <c r="C25" s="158">
        <v>38961</v>
      </c>
      <c r="D25" s="157" t="s">
        <v>24</v>
      </c>
      <c r="E25" s="157" t="s">
        <v>34</v>
      </c>
      <c r="F25" s="159">
        <v>125</v>
      </c>
      <c r="G25" s="159">
        <v>3</v>
      </c>
      <c r="H25" s="159">
        <v>8</v>
      </c>
      <c r="I25" s="293">
        <v>2840</v>
      </c>
      <c r="J25" s="324">
        <v>827</v>
      </c>
      <c r="K25" s="306">
        <f t="shared" si="0"/>
        <v>275.6666666666667</v>
      </c>
      <c r="L25" s="213">
        <f t="shared" si="1"/>
        <v>3.43409915356711</v>
      </c>
      <c r="M25" s="278">
        <v>1157253</v>
      </c>
      <c r="N25" s="308">
        <v>142436</v>
      </c>
      <c r="O25" s="184">
        <f t="shared" si="2"/>
        <v>8.124722682467915</v>
      </c>
    </row>
    <row r="26" spans="1:15" s="7" customFormat="1" ht="15">
      <c r="A26" s="217">
        <v>22</v>
      </c>
      <c r="B26" s="220" t="s">
        <v>324</v>
      </c>
      <c r="C26" s="158">
        <v>38996</v>
      </c>
      <c r="D26" s="157" t="s">
        <v>24</v>
      </c>
      <c r="E26" s="157" t="s">
        <v>48</v>
      </c>
      <c r="F26" s="159">
        <v>65</v>
      </c>
      <c r="G26" s="159">
        <v>9</v>
      </c>
      <c r="H26" s="159">
        <v>4</v>
      </c>
      <c r="I26" s="293">
        <v>2588</v>
      </c>
      <c r="J26" s="324">
        <v>443</v>
      </c>
      <c r="K26" s="306">
        <f t="shared" si="0"/>
        <v>49.22222222222222</v>
      </c>
      <c r="L26" s="213">
        <f t="shared" si="1"/>
        <v>5.841986455981941</v>
      </c>
      <c r="M26" s="278">
        <v>233660</v>
      </c>
      <c r="N26" s="308">
        <v>27100</v>
      </c>
      <c r="O26" s="184">
        <f t="shared" si="2"/>
        <v>8.622140221402214</v>
      </c>
    </row>
    <row r="27" spans="1:15" s="7" customFormat="1" ht="15">
      <c r="A27" s="217">
        <v>23</v>
      </c>
      <c r="B27" s="220" t="s">
        <v>346</v>
      </c>
      <c r="C27" s="158">
        <v>39010</v>
      </c>
      <c r="D27" s="157" t="s">
        <v>42</v>
      </c>
      <c r="E27" s="157" t="s">
        <v>347</v>
      </c>
      <c r="F27" s="159">
        <v>1</v>
      </c>
      <c r="G27" s="159">
        <v>1</v>
      </c>
      <c r="H27" s="159">
        <v>2</v>
      </c>
      <c r="I27" s="293">
        <v>2538</v>
      </c>
      <c r="J27" s="324">
        <v>390</v>
      </c>
      <c r="K27" s="306">
        <f t="shared" si="0"/>
        <v>390</v>
      </c>
      <c r="L27" s="213">
        <f t="shared" si="1"/>
        <v>6.507692307692308</v>
      </c>
      <c r="M27" s="278">
        <v>16797</v>
      </c>
      <c r="N27" s="308">
        <v>2065</v>
      </c>
      <c r="O27" s="184">
        <f t="shared" si="2"/>
        <v>8.13414043583535</v>
      </c>
    </row>
    <row r="28" spans="1:15" s="7" customFormat="1" ht="15">
      <c r="A28" s="217">
        <v>24</v>
      </c>
      <c r="B28" s="224" t="s">
        <v>325</v>
      </c>
      <c r="C28" s="161">
        <v>38996</v>
      </c>
      <c r="D28" s="164" t="s">
        <v>57</v>
      </c>
      <c r="E28" s="164" t="s">
        <v>145</v>
      </c>
      <c r="F28" s="165" t="s">
        <v>320</v>
      </c>
      <c r="G28" s="165" t="s">
        <v>237</v>
      </c>
      <c r="H28" s="165" t="s">
        <v>236</v>
      </c>
      <c r="I28" s="264">
        <v>2413.5</v>
      </c>
      <c r="J28" s="325">
        <v>400</v>
      </c>
      <c r="K28" s="306">
        <f t="shared" si="0"/>
        <v>66.66666666666667</v>
      </c>
      <c r="L28" s="213">
        <f t="shared" si="1"/>
        <v>6.03375</v>
      </c>
      <c r="M28" s="249">
        <v>101420.5</v>
      </c>
      <c r="N28" s="307">
        <v>9503</v>
      </c>
      <c r="O28" s="183">
        <f t="shared" si="2"/>
        <v>10.672471850994423</v>
      </c>
    </row>
    <row r="29" spans="1:15" s="7" customFormat="1" ht="15">
      <c r="A29" s="217">
        <v>25</v>
      </c>
      <c r="B29" s="221" t="s">
        <v>301</v>
      </c>
      <c r="C29" s="161">
        <v>38982</v>
      </c>
      <c r="D29" s="162" t="s">
        <v>23</v>
      </c>
      <c r="E29" s="160" t="s">
        <v>48</v>
      </c>
      <c r="F29" s="163">
        <v>39</v>
      </c>
      <c r="G29" s="163">
        <v>5</v>
      </c>
      <c r="H29" s="163">
        <v>6</v>
      </c>
      <c r="I29" s="264">
        <v>2163</v>
      </c>
      <c r="J29" s="325">
        <v>519</v>
      </c>
      <c r="K29" s="306">
        <f t="shared" si="0"/>
        <v>103.8</v>
      </c>
      <c r="L29" s="213">
        <f t="shared" si="1"/>
        <v>4.167630057803469</v>
      </c>
      <c r="M29" s="249">
        <f>109921+83443.5+16967.5+24096+7766+2163</f>
        <v>244357</v>
      </c>
      <c r="N29" s="307">
        <f>13346+10120+2406+4161+1679+519</f>
        <v>32231</v>
      </c>
      <c r="O29" s="183">
        <f t="shared" si="2"/>
        <v>7.581427817939251</v>
      </c>
    </row>
    <row r="30" spans="1:15" s="7" customFormat="1" ht="15">
      <c r="A30" s="217">
        <v>26</v>
      </c>
      <c r="B30" s="220" t="s">
        <v>343</v>
      </c>
      <c r="C30" s="158">
        <v>38961</v>
      </c>
      <c r="D30" s="157" t="s">
        <v>365</v>
      </c>
      <c r="E30" s="157" t="s">
        <v>27</v>
      </c>
      <c r="F30" s="159">
        <v>60</v>
      </c>
      <c r="G30" s="159">
        <v>2</v>
      </c>
      <c r="H30" s="159">
        <v>9</v>
      </c>
      <c r="I30" s="293">
        <v>2156</v>
      </c>
      <c r="J30" s="324">
        <v>507</v>
      </c>
      <c r="K30" s="306">
        <f t="shared" si="0"/>
        <v>253.5</v>
      </c>
      <c r="L30" s="213">
        <f t="shared" si="1"/>
        <v>4.252465483234714</v>
      </c>
      <c r="M30" s="278">
        <f>244504+117391.5+65855+21512+25870+11732.5+1721+3190+2156</f>
        <v>493932</v>
      </c>
      <c r="N30" s="308">
        <f>29629+13126+7509+3309+4917+2177+238+772+507</f>
        <v>62184</v>
      </c>
      <c r="O30" s="184">
        <f t="shared" si="2"/>
        <v>7.943072172906214</v>
      </c>
    </row>
    <row r="31" spans="1:15" s="7" customFormat="1" ht="15">
      <c r="A31" s="217">
        <v>27</v>
      </c>
      <c r="B31" s="221" t="s">
        <v>317</v>
      </c>
      <c r="C31" s="161">
        <v>38989</v>
      </c>
      <c r="D31" s="162" t="s">
        <v>23</v>
      </c>
      <c r="E31" s="160" t="s">
        <v>239</v>
      </c>
      <c r="F31" s="163">
        <v>51</v>
      </c>
      <c r="G31" s="163">
        <v>8</v>
      </c>
      <c r="H31" s="163">
        <v>5</v>
      </c>
      <c r="I31" s="264">
        <v>1743</v>
      </c>
      <c r="J31" s="325">
        <v>490</v>
      </c>
      <c r="K31" s="306">
        <f t="shared" si="0"/>
        <v>61.25</v>
      </c>
      <c r="L31" s="213">
        <f t="shared" si="1"/>
        <v>3.557142857142857</v>
      </c>
      <c r="M31" s="249">
        <f>101524.5+43064.5+19404+1061+1743</f>
        <v>166797</v>
      </c>
      <c r="N31" s="307">
        <f>12503+5580+2592+199+490</f>
        <v>21364</v>
      </c>
      <c r="O31" s="183">
        <f t="shared" si="2"/>
        <v>7.807386257255196</v>
      </c>
    </row>
    <row r="32" spans="1:15" s="7" customFormat="1" ht="15">
      <c r="A32" s="217">
        <v>28</v>
      </c>
      <c r="B32" s="221" t="s">
        <v>260</v>
      </c>
      <c r="C32" s="161">
        <v>38968</v>
      </c>
      <c r="D32" s="162" t="s">
        <v>23</v>
      </c>
      <c r="E32" s="160" t="s">
        <v>200</v>
      </c>
      <c r="F32" s="163">
        <v>58</v>
      </c>
      <c r="G32" s="163">
        <v>7</v>
      </c>
      <c r="H32" s="163">
        <v>8</v>
      </c>
      <c r="I32" s="264">
        <v>1609</v>
      </c>
      <c r="J32" s="325">
        <v>343</v>
      </c>
      <c r="K32" s="306">
        <f t="shared" si="0"/>
        <v>49</v>
      </c>
      <c r="L32" s="213">
        <f t="shared" si="1"/>
        <v>4.690962099125365</v>
      </c>
      <c r="M32" s="249">
        <f>195080.5+67383.5+41772+34265+20273+12922+1784+1609</f>
        <v>375089</v>
      </c>
      <c r="N32" s="307">
        <f>24293+8594+5468+5945+3808+2422+380+343</f>
        <v>51253</v>
      </c>
      <c r="O32" s="183">
        <f t="shared" si="2"/>
        <v>7.318381363042163</v>
      </c>
    </row>
    <row r="33" spans="1:15" s="7" customFormat="1" ht="15">
      <c r="A33" s="217">
        <v>29</v>
      </c>
      <c r="B33" s="223" t="s">
        <v>82</v>
      </c>
      <c r="C33" s="309">
        <v>38723</v>
      </c>
      <c r="D33" s="166" t="s">
        <v>76</v>
      </c>
      <c r="E33" s="166" t="s">
        <v>374</v>
      </c>
      <c r="F33" s="170">
        <v>3</v>
      </c>
      <c r="G33" s="170">
        <v>1</v>
      </c>
      <c r="H33" s="170">
        <v>21</v>
      </c>
      <c r="I33" s="293">
        <v>1425</v>
      </c>
      <c r="J33" s="324">
        <v>475</v>
      </c>
      <c r="K33" s="306">
        <f t="shared" si="0"/>
        <v>475</v>
      </c>
      <c r="L33" s="213">
        <f t="shared" si="1"/>
        <v>3</v>
      </c>
      <c r="M33" s="278">
        <f>22570+12751+6691+4543+3462+1141+1389+1484.5+48+38+1782+1068+714+1188+2340+2005+1451+1195.5+853.5+594+1425</f>
        <v>68733.5</v>
      </c>
      <c r="N33" s="308">
        <f>2787+1607+844+585+460+145+463+399+9+7+594+356+238+396+780+313+221+233+128+198+475</f>
        <v>11238</v>
      </c>
      <c r="O33" s="183">
        <f t="shared" si="2"/>
        <v>6.11616835735896</v>
      </c>
    </row>
    <row r="34" spans="1:15" s="7" customFormat="1" ht="15">
      <c r="A34" s="217">
        <v>30</v>
      </c>
      <c r="B34" s="220" t="s">
        <v>370</v>
      </c>
      <c r="C34" s="158">
        <v>38933</v>
      </c>
      <c r="D34" s="157" t="s">
        <v>24</v>
      </c>
      <c r="E34" s="157" t="s">
        <v>29</v>
      </c>
      <c r="F34" s="159">
        <v>103</v>
      </c>
      <c r="G34" s="159">
        <v>2</v>
      </c>
      <c r="H34" s="159">
        <v>13</v>
      </c>
      <c r="I34" s="293">
        <v>1384</v>
      </c>
      <c r="J34" s="324">
        <v>255</v>
      </c>
      <c r="K34" s="306">
        <f t="shared" si="0"/>
        <v>127.5</v>
      </c>
      <c r="L34" s="213">
        <f t="shared" si="1"/>
        <v>5.427450980392157</v>
      </c>
      <c r="M34" s="278">
        <v>1191949</v>
      </c>
      <c r="N34" s="308">
        <v>175956</v>
      </c>
      <c r="O34" s="184">
        <f t="shared" si="2"/>
        <v>6.77413103275819</v>
      </c>
    </row>
    <row r="35" spans="1:15" s="7" customFormat="1" ht="15">
      <c r="A35" s="217">
        <v>31</v>
      </c>
      <c r="B35" s="220" t="s">
        <v>215</v>
      </c>
      <c r="C35" s="158">
        <v>38947</v>
      </c>
      <c r="D35" s="157" t="s">
        <v>365</v>
      </c>
      <c r="E35" s="157" t="s">
        <v>27</v>
      </c>
      <c r="F35" s="159">
        <v>106</v>
      </c>
      <c r="G35" s="159">
        <v>8</v>
      </c>
      <c r="H35" s="159">
        <v>11</v>
      </c>
      <c r="I35" s="293">
        <v>1314.5</v>
      </c>
      <c r="J35" s="324">
        <v>233</v>
      </c>
      <c r="K35" s="306">
        <f t="shared" si="0"/>
        <v>29.125</v>
      </c>
      <c r="L35" s="213">
        <f t="shared" si="1"/>
        <v>5.641630901287554</v>
      </c>
      <c r="M35" s="278">
        <f>851045+613251.5+405140+216081+124391+88721.5+33772.5+20268.5+9628+2255.5+1314.5</f>
        <v>2365869</v>
      </c>
      <c r="N35" s="308">
        <f>116878+84823+56865+31359+21609+17621+6633+4111+1582+390+233</f>
        <v>342104</v>
      </c>
      <c r="O35" s="184">
        <f t="shared" si="2"/>
        <v>6.915642611603489</v>
      </c>
    </row>
    <row r="36" spans="1:15" s="7" customFormat="1" ht="15">
      <c r="A36" s="217">
        <v>32</v>
      </c>
      <c r="B36" s="221" t="s">
        <v>231</v>
      </c>
      <c r="C36" s="161">
        <v>38961</v>
      </c>
      <c r="D36" s="162" t="s">
        <v>23</v>
      </c>
      <c r="E36" s="160" t="s">
        <v>48</v>
      </c>
      <c r="F36" s="163">
        <v>55</v>
      </c>
      <c r="G36" s="163">
        <v>3</v>
      </c>
      <c r="H36" s="163">
        <v>9</v>
      </c>
      <c r="I36" s="264">
        <v>1217</v>
      </c>
      <c r="J36" s="325">
        <v>305</v>
      </c>
      <c r="K36" s="306">
        <f t="shared" si="0"/>
        <v>101.66666666666667</v>
      </c>
      <c r="L36" s="213">
        <f t="shared" si="1"/>
        <v>3.9901639344262296</v>
      </c>
      <c r="M36" s="249">
        <f>350490.5+214970.5+120637.5+51795+27364+13326.5+8306+2127+1217</f>
        <v>790234</v>
      </c>
      <c r="N36" s="307">
        <f>43078+26636+15215+7802+4825+2249+1242+291+305</f>
        <v>101643</v>
      </c>
      <c r="O36" s="183">
        <f t="shared" si="2"/>
        <v>7.774603268301801</v>
      </c>
    </row>
    <row r="37" spans="1:15" s="7" customFormat="1" ht="15">
      <c r="A37" s="217">
        <v>33</v>
      </c>
      <c r="B37" s="221" t="s">
        <v>304</v>
      </c>
      <c r="C37" s="158">
        <v>38912</v>
      </c>
      <c r="D37" s="157" t="s">
        <v>24</v>
      </c>
      <c r="E37" s="157" t="s">
        <v>29</v>
      </c>
      <c r="F37" s="159">
        <v>162</v>
      </c>
      <c r="G37" s="159">
        <v>3</v>
      </c>
      <c r="H37" s="159">
        <v>16</v>
      </c>
      <c r="I37" s="293">
        <v>1157</v>
      </c>
      <c r="J37" s="324">
        <v>231</v>
      </c>
      <c r="K37" s="306">
        <f t="shared" si="0"/>
        <v>77</v>
      </c>
      <c r="L37" s="213">
        <f t="shared" si="1"/>
        <v>5.008658008658009</v>
      </c>
      <c r="M37" s="278">
        <v>7181256</v>
      </c>
      <c r="N37" s="308">
        <v>1004926</v>
      </c>
      <c r="O37" s="184">
        <f t="shared" si="2"/>
        <v>7.1460545353588225</v>
      </c>
    </row>
    <row r="38" spans="1:15" s="7" customFormat="1" ht="15">
      <c r="A38" s="217">
        <v>34</v>
      </c>
      <c r="B38" s="223" t="s">
        <v>305</v>
      </c>
      <c r="C38" s="309">
        <v>38982</v>
      </c>
      <c r="D38" s="166" t="s">
        <v>76</v>
      </c>
      <c r="E38" s="166" t="s">
        <v>306</v>
      </c>
      <c r="F38" s="170">
        <v>10</v>
      </c>
      <c r="G38" s="170">
        <v>2</v>
      </c>
      <c r="H38" s="170">
        <v>6</v>
      </c>
      <c r="I38" s="293">
        <v>1122</v>
      </c>
      <c r="J38" s="324">
        <v>373</v>
      </c>
      <c r="K38" s="306">
        <f t="shared" si="0"/>
        <v>186.5</v>
      </c>
      <c r="L38" s="213">
        <f t="shared" si="1"/>
        <v>3.008042895442359</v>
      </c>
      <c r="M38" s="278">
        <f>6868.5+1740+645.5+549.5+648.5+1122</f>
        <v>11574</v>
      </c>
      <c r="N38" s="308">
        <f>870+261+121+95+364+373</f>
        <v>2084</v>
      </c>
      <c r="O38" s="183">
        <f t="shared" si="2"/>
        <v>5.553742802303263</v>
      </c>
    </row>
    <row r="39" spans="1:15" s="7" customFormat="1" ht="15">
      <c r="A39" s="217">
        <v>35</v>
      </c>
      <c r="B39" s="220" t="s">
        <v>235</v>
      </c>
      <c r="C39" s="158">
        <v>38961</v>
      </c>
      <c r="D39" s="157" t="s">
        <v>365</v>
      </c>
      <c r="E39" s="157" t="s">
        <v>65</v>
      </c>
      <c r="F39" s="159">
        <v>10</v>
      </c>
      <c r="G39" s="159">
        <v>1</v>
      </c>
      <c r="H39" s="159">
        <v>9</v>
      </c>
      <c r="I39" s="293">
        <v>1041</v>
      </c>
      <c r="J39" s="324">
        <v>533</v>
      </c>
      <c r="K39" s="306">
        <f t="shared" si="0"/>
        <v>533</v>
      </c>
      <c r="L39" s="213">
        <f t="shared" si="1"/>
        <v>1.9530956848030019</v>
      </c>
      <c r="M39" s="278">
        <f>13391.5+6244+2472+1608+617+2948.5+2831+3420+1041</f>
        <v>34573</v>
      </c>
      <c r="N39" s="308">
        <f>1429+677+335+249+125+524+508+849+533</f>
        <v>5229</v>
      </c>
      <c r="O39" s="184">
        <f t="shared" si="2"/>
        <v>6.611780455153949</v>
      </c>
    </row>
    <row r="40" spans="1:15" s="7" customFormat="1" ht="15">
      <c r="A40" s="217">
        <v>36</v>
      </c>
      <c r="B40" s="221" t="s">
        <v>86</v>
      </c>
      <c r="C40" s="161">
        <v>38975</v>
      </c>
      <c r="D40" s="162" t="s">
        <v>23</v>
      </c>
      <c r="E40" s="160" t="s">
        <v>200</v>
      </c>
      <c r="F40" s="163">
        <v>83</v>
      </c>
      <c r="G40" s="163">
        <v>1</v>
      </c>
      <c r="H40" s="163">
        <v>6</v>
      </c>
      <c r="I40" s="264">
        <v>878</v>
      </c>
      <c r="J40" s="325">
        <v>89</v>
      </c>
      <c r="K40" s="306">
        <f t="shared" si="0"/>
        <v>89</v>
      </c>
      <c r="L40" s="213">
        <f t="shared" si="1"/>
        <v>9.865168539325843</v>
      </c>
      <c r="M40" s="249">
        <f>470908.5+232549+157351.5+37292.5+29389+878</f>
        <v>928368.5</v>
      </c>
      <c r="N40" s="307">
        <f>56842+28533+19837+6237+5640+89</f>
        <v>117178</v>
      </c>
      <c r="O40" s="183">
        <f t="shared" si="2"/>
        <v>7.922720135178959</v>
      </c>
    </row>
    <row r="41" spans="1:15" s="7" customFormat="1" ht="15">
      <c r="A41" s="217">
        <v>37</v>
      </c>
      <c r="B41" s="220" t="s">
        <v>326</v>
      </c>
      <c r="C41" s="158">
        <v>38996</v>
      </c>
      <c r="D41" s="164" t="s">
        <v>35</v>
      </c>
      <c r="E41" s="164" t="s">
        <v>93</v>
      </c>
      <c r="F41" s="251">
        <v>5</v>
      </c>
      <c r="G41" s="251">
        <v>3</v>
      </c>
      <c r="H41" s="251">
        <v>4</v>
      </c>
      <c r="I41" s="264">
        <v>856</v>
      </c>
      <c r="J41" s="325">
        <v>140</v>
      </c>
      <c r="K41" s="306">
        <f t="shared" si="0"/>
        <v>46.666666666666664</v>
      </c>
      <c r="L41" s="213">
        <f t="shared" si="1"/>
        <v>6.114285714285714</v>
      </c>
      <c r="M41" s="249">
        <v>23079</v>
      </c>
      <c r="N41" s="307">
        <v>2368</v>
      </c>
      <c r="O41" s="183">
        <f t="shared" si="2"/>
        <v>9.746199324324325</v>
      </c>
    </row>
    <row r="42" spans="1:15" s="7" customFormat="1" ht="15">
      <c r="A42" s="217">
        <v>38</v>
      </c>
      <c r="B42" s="220" t="s">
        <v>303</v>
      </c>
      <c r="C42" s="158">
        <v>38982</v>
      </c>
      <c r="D42" s="164" t="s">
        <v>57</v>
      </c>
      <c r="E42" s="157" t="s">
        <v>145</v>
      </c>
      <c r="F42" s="159">
        <v>12</v>
      </c>
      <c r="G42" s="159">
        <v>4</v>
      </c>
      <c r="H42" s="159">
        <v>7</v>
      </c>
      <c r="I42" s="293">
        <v>853</v>
      </c>
      <c r="J42" s="324">
        <v>178</v>
      </c>
      <c r="K42" s="310">
        <f>+J42/G42</f>
        <v>44.5</v>
      </c>
      <c r="L42" s="214">
        <f>+I42/J42</f>
        <v>4.792134831460674</v>
      </c>
      <c r="M42" s="278">
        <v>86392</v>
      </c>
      <c r="N42" s="308">
        <v>10299</v>
      </c>
      <c r="O42" s="184">
        <f t="shared" si="2"/>
        <v>8.388387222060395</v>
      </c>
    </row>
    <row r="43" spans="1:15" s="7" customFormat="1" ht="15">
      <c r="A43" s="217">
        <v>39</v>
      </c>
      <c r="B43" s="223" t="s">
        <v>122</v>
      </c>
      <c r="C43" s="309">
        <v>38877</v>
      </c>
      <c r="D43" s="166" t="s">
        <v>76</v>
      </c>
      <c r="E43" s="166" t="s">
        <v>93</v>
      </c>
      <c r="F43" s="170">
        <v>64</v>
      </c>
      <c r="G43" s="170">
        <v>3</v>
      </c>
      <c r="H43" s="170">
        <v>20</v>
      </c>
      <c r="I43" s="293">
        <v>814</v>
      </c>
      <c r="J43" s="324">
        <v>161</v>
      </c>
      <c r="K43" s="306">
        <f aca="true" t="shared" si="3" ref="K43:K48">J43/G43</f>
        <v>53.666666666666664</v>
      </c>
      <c r="L43" s="213">
        <f aca="true" t="shared" si="4" ref="L43:L48">I43/J43</f>
        <v>5.055900621118012</v>
      </c>
      <c r="M43" s="278">
        <f>94169.5+63426.5+19841+16453.5+12618.5+9991+4741+3516+3356+2065.5+678+1792.5+320+299+194+83+215+3730+139+814</f>
        <v>238443</v>
      </c>
      <c r="N43" s="308">
        <f>14426+9567+3182+3017+2315+1729+923+616+640+472+129+528+43+81+47+20+45+1220+34+161</f>
        <v>39195</v>
      </c>
      <c r="O43" s="183">
        <f t="shared" si="2"/>
        <v>6.0835055491771906</v>
      </c>
    </row>
    <row r="44" spans="1:15" s="7" customFormat="1" ht="15">
      <c r="A44" s="217">
        <v>40</v>
      </c>
      <c r="B44" s="220" t="s">
        <v>261</v>
      </c>
      <c r="C44" s="158">
        <v>38954</v>
      </c>
      <c r="D44" s="157" t="s">
        <v>24</v>
      </c>
      <c r="E44" s="157" t="s">
        <v>232</v>
      </c>
      <c r="F44" s="159">
        <v>103</v>
      </c>
      <c r="G44" s="159">
        <v>2</v>
      </c>
      <c r="H44" s="159">
        <v>10</v>
      </c>
      <c r="I44" s="293">
        <v>656</v>
      </c>
      <c r="J44" s="324">
        <v>132</v>
      </c>
      <c r="K44" s="306">
        <f t="shared" si="3"/>
        <v>66</v>
      </c>
      <c r="L44" s="213">
        <f t="shared" si="4"/>
        <v>4.96969696969697</v>
      </c>
      <c r="M44" s="278">
        <v>906686</v>
      </c>
      <c r="N44" s="308">
        <v>125059</v>
      </c>
      <c r="O44" s="184">
        <f t="shared" si="2"/>
        <v>7.250065968862697</v>
      </c>
    </row>
    <row r="45" spans="1:15" s="7" customFormat="1" ht="15">
      <c r="A45" s="217">
        <v>41</v>
      </c>
      <c r="B45" s="221" t="s">
        <v>216</v>
      </c>
      <c r="C45" s="161">
        <v>38947</v>
      </c>
      <c r="D45" s="162" t="s">
        <v>23</v>
      </c>
      <c r="E45" s="160" t="s">
        <v>48</v>
      </c>
      <c r="F45" s="163">
        <v>50</v>
      </c>
      <c r="G45" s="163">
        <v>3</v>
      </c>
      <c r="H45" s="163">
        <v>11</v>
      </c>
      <c r="I45" s="264">
        <v>640</v>
      </c>
      <c r="J45" s="325">
        <v>86</v>
      </c>
      <c r="K45" s="306">
        <f t="shared" si="3"/>
        <v>28.666666666666668</v>
      </c>
      <c r="L45" s="213">
        <f t="shared" si="4"/>
        <v>7.441860465116279</v>
      </c>
      <c r="M45" s="249">
        <f>406988+393530+256319+151102.5+125263+75536+57739-285+31596+37184+1068+640</f>
        <v>1536680.5</v>
      </c>
      <c r="N45" s="307">
        <f>47196+45633+29898+18037+15404+9535+7932-68+4177+4809+147+86</f>
        <v>182786</v>
      </c>
      <c r="O45" s="183">
        <f t="shared" si="2"/>
        <v>8.406992329828324</v>
      </c>
    </row>
    <row r="46" spans="1:15" s="7" customFormat="1" ht="15">
      <c r="A46" s="217">
        <v>42</v>
      </c>
      <c r="B46" s="220" t="s">
        <v>371</v>
      </c>
      <c r="C46" s="158">
        <v>38947</v>
      </c>
      <c r="D46" s="164" t="s">
        <v>35</v>
      </c>
      <c r="E46" s="164" t="s">
        <v>218</v>
      </c>
      <c r="F46" s="251">
        <v>10</v>
      </c>
      <c r="G46" s="251">
        <v>1</v>
      </c>
      <c r="H46" s="251">
        <v>10</v>
      </c>
      <c r="I46" s="264">
        <v>603</v>
      </c>
      <c r="J46" s="325">
        <v>201</v>
      </c>
      <c r="K46" s="306">
        <f t="shared" si="3"/>
        <v>201</v>
      </c>
      <c r="L46" s="213">
        <f t="shared" si="4"/>
        <v>3</v>
      </c>
      <c r="M46" s="249">
        <v>63674</v>
      </c>
      <c r="N46" s="307">
        <v>9460</v>
      </c>
      <c r="O46" s="183">
        <f t="shared" si="2"/>
        <v>6.730866807610994</v>
      </c>
    </row>
    <row r="47" spans="1:15" s="7" customFormat="1" ht="15">
      <c r="A47" s="217">
        <v>43</v>
      </c>
      <c r="B47" s="220" t="s">
        <v>233</v>
      </c>
      <c r="C47" s="158">
        <v>38961</v>
      </c>
      <c r="D47" s="157" t="s">
        <v>24</v>
      </c>
      <c r="E47" s="157" t="s">
        <v>34</v>
      </c>
      <c r="F47" s="159">
        <v>51</v>
      </c>
      <c r="G47" s="159">
        <v>2</v>
      </c>
      <c r="H47" s="159">
        <v>9</v>
      </c>
      <c r="I47" s="293">
        <v>567</v>
      </c>
      <c r="J47" s="324">
        <v>169</v>
      </c>
      <c r="K47" s="306">
        <f t="shared" si="3"/>
        <v>84.5</v>
      </c>
      <c r="L47" s="213">
        <f t="shared" si="4"/>
        <v>3.3550295857988166</v>
      </c>
      <c r="M47" s="278">
        <v>346500</v>
      </c>
      <c r="N47" s="308">
        <v>41406</v>
      </c>
      <c r="O47" s="184">
        <f t="shared" si="2"/>
        <v>8.368352412693813</v>
      </c>
    </row>
    <row r="48" spans="1:15" s="7" customFormat="1" ht="15">
      <c r="A48" s="217">
        <v>44</v>
      </c>
      <c r="B48" s="220" t="s">
        <v>372</v>
      </c>
      <c r="C48" s="158">
        <v>38926</v>
      </c>
      <c r="D48" s="157" t="s">
        <v>24</v>
      </c>
      <c r="E48" s="157" t="s">
        <v>34</v>
      </c>
      <c r="F48" s="159">
        <v>84</v>
      </c>
      <c r="G48" s="159">
        <v>2</v>
      </c>
      <c r="H48" s="159">
        <v>14</v>
      </c>
      <c r="I48" s="293">
        <v>454</v>
      </c>
      <c r="J48" s="324">
        <v>79</v>
      </c>
      <c r="K48" s="306">
        <f t="shared" si="3"/>
        <v>39.5</v>
      </c>
      <c r="L48" s="213">
        <f t="shared" si="4"/>
        <v>5.746835443037975</v>
      </c>
      <c r="M48" s="278">
        <v>1606101</v>
      </c>
      <c r="N48" s="308">
        <v>231604</v>
      </c>
      <c r="O48" s="184">
        <f t="shared" si="2"/>
        <v>6.934685929431271</v>
      </c>
    </row>
    <row r="49" spans="1:15" s="7" customFormat="1" ht="15">
      <c r="A49" s="217">
        <v>45</v>
      </c>
      <c r="B49" s="221" t="s">
        <v>206</v>
      </c>
      <c r="C49" s="161">
        <v>38933</v>
      </c>
      <c r="D49" s="160" t="s">
        <v>7</v>
      </c>
      <c r="E49" s="160" t="s">
        <v>32</v>
      </c>
      <c r="F49" s="163">
        <v>47</v>
      </c>
      <c r="G49" s="163">
        <v>1</v>
      </c>
      <c r="H49" s="163">
        <v>13</v>
      </c>
      <c r="I49" s="265">
        <v>420</v>
      </c>
      <c r="J49" s="326">
        <v>119</v>
      </c>
      <c r="K49" s="310">
        <f>IF(I49&lt;&gt;0,J49/G49,"")</f>
        <v>119</v>
      </c>
      <c r="L49" s="214">
        <f>IF(I49&lt;&gt;0,I49/J49,"")</f>
        <v>3.5294117647058822</v>
      </c>
      <c r="M49" s="250">
        <f>152478+98850+41976.55+30958.5+16630.5+7592+3008+1218.5+2103+1951+1460+1651+420</f>
        <v>360297.05</v>
      </c>
      <c r="N49" s="308">
        <f>19117+12766+5988+5647+3375+1591+593+227+459+745+345+462+119</f>
        <v>51434</v>
      </c>
      <c r="O49" s="184">
        <f>IF(M49&lt;&gt;0,M49/N49,"")</f>
        <v>7.00503655169732</v>
      </c>
    </row>
    <row r="50" spans="1:15" s="7" customFormat="1" ht="15">
      <c r="A50" s="217">
        <v>46</v>
      </c>
      <c r="B50" s="221" t="s">
        <v>160</v>
      </c>
      <c r="C50" s="161">
        <v>38919</v>
      </c>
      <c r="D50" s="162" t="s">
        <v>23</v>
      </c>
      <c r="E50" s="160" t="s">
        <v>200</v>
      </c>
      <c r="F50" s="163">
        <v>149</v>
      </c>
      <c r="G50" s="163">
        <v>1</v>
      </c>
      <c r="H50" s="163">
        <v>15</v>
      </c>
      <c r="I50" s="264">
        <v>364</v>
      </c>
      <c r="J50" s="325">
        <v>52</v>
      </c>
      <c r="K50" s="306">
        <f>J50/G50</f>
        <v>52</v>
      </c>
      <c r="L50" s="213">
        <f>I50/J50</f>
        <v>7</v>
      </c>
      <c r="M50" s="249">
        <f>897376+408049.5+50+255208.5+136337.5+71282-709+23040.5+14537.5+5314.5+2373.5+7479+2392+2457+538+609+364</f>
        <v>1826699.5</v>
      </c>
      <c r="N50" s="307">
        <f>113870+54028+2+35562+20586+13943-129+4903+3216+1273+810+1178+631+693+107+87+52</f>
        <v>250812</v>
      </c>
      <c r="O50" s="183">
        <f>+M50/N50</f>
        <v>7.283142353635392</v>
      </c>
    </row>
    <row r="51" spans="1:15" s="7" customFormat="1" ht="15">
      <c r="A51" s="217">
        <v>47</v>
      </c>
      <c r="B51" s="221" t="s">
        <v>171</v>
      </c>
      <c r="C51" s="161">
        <v>38933</v>
      </c>
      <c r="D51" s="162" t="s">
        <v>23</v>
      </c>
      <c r="E51" s="160" t="s">
        <v>200</v>
      </c>
      <c r="F51" s="163">
        <v>55</v>
      </c>
      <c r="G51" s="163">
        <v>1</v>
      </c>
      <c r="H51" s="163">
        <v>13</v>
      </c>
      <c r="I51" s="264">
        <v>326</v>
      </c>
      <c r="J51" s="325">
        <v>42</v>
      </c>
      <c r="K51" s="306">
        <f>J51/G51</f>
        <v>42</v>
      </c>
      <c r="L51" s="213">
        <f>I51/J51</f>
        <v>7.761904761904762</v>
      </c>
      <c r="M51" s="249">
        <f>561160.5+368980.5+233734.5+154031+131267.5+122+86655+51837+8.5+24632+17449+11651+7302+553+326</f>
        <v>1649709.5</v>
      </c>
      <c r="N51" s="307">
        <f>65355+44972+28905+21259+18678+12+13773+7814+1+4063+3139+2371+1759+71+42</f>
        <v>212214</v>
      </c>
      <c r="O51" s="183">
        <f>+M51/N51</f>
        <v>7.773801445710462</v>
      </c>
    </row>
    <row r="52" spans="1:15" s="7" customFormat="1" ht="15">
      <c r="A52" s="217">
        <v>48</v>
      </c>
      <c r="B52" s="221" t="s">
        <v>258</v>
      </c>
      <c r="C52" s="161">
        <v>38968</v>
      </c>
      <c r="D52" s="160" t="s">
        <v>7</v>
      </c>
      <c r="E52" s="160" t="s">
        <v>46</v>
      </c>
      <c r="F52" s="163">
        <v>56</v>
      </c>
      <c r="G52" s="163">
        <v>1</v>
      </c>
      <c r="H52" s="163">
        <v>8</v>
      </c>
      <c r="I52" s="265">
        <v>297</v>
      </c>
      <c r="J52" s="326">
        <v>88</v>
      </c>
      <c r="K52" s="310">
        <f>IF(I52&lt;&gt;0,J52/G52,"")</f>
        <v>88</v>
      </c>
      <c r="L52" s="214">
        <f>IF(I52&lt;&gt;0,I52/J52,"")</f>
        <v>3.375</v>
      </c>
      <c r="M52" s="250">
        <f>236461+163486+84335+37435+22922.5+13570.5+900+297</f>
        <v>559407</v>
      </c>
      <c r="N52" s="308">
        <f>31427+22450+12316+5884+4541+2671+245+88</f>
        <v>79622</v>
      </c>
      <c r="O52" s="184">
        <f>IF(M52&lt;&gt;0,M52/N52,"")</f>
        <v>7.025784330963804</v>
      </c>
    </row>
    <row r="53" spans="1:15" s="7" customFormat="1" ht="15">
      <c r="A53" s="217">
        <v>49</v>
      </c>
      <c r="B53" s="220" t="s">
        <v>222</v>
      </c>
      <c r="C53" s="158">
        <v>38954</v>
      </c>
      <c r="D53" s="157" t="s">
        <v>365</v>
      </c>
      <c r="E53" s="157" t="s">
        <v>65</v>
      </c>
      <c r="F53" s="159">
        <v>45</v>
      </c>
      <c r="G53" s="159">
        <v>1</v>
      </c>
      <c r="H53" s="159">
        <v>10</v>
      </c>
      <c r="I53" s="293">
        <v>277</v>
      </c>
      <c r="J53" s="324">
        <v>69</v>
      </c>
      <c r="K53" s="306">
        <f>J53/G53</f>
        <v>69</v>
      </c>
      <c r="L53" s="213">
        <f>I53/J53</f>
        <v>4.0144927536231885</v>
      </c>
      <c r="M53" s="278">
        <f>186098+123538.5+27154+22745+30932.5+21941+10304+9669+1275+277</f>
        <v>433934</v>
      </c>
      <c r="N53" s="308">
        <f>22214+15409+4114+3875+5067+4072+1821+2085+330+69</f>
        <v>59056</v>
      </c>
      <c r="O53" s="184">
        <f aca="true" t="shared" si="5" ref="O53:O58">+M53/N53</f>
        <v>7.3478393389325385</v>
      </c>
    </row>
    <row r="54" spans="1:15" s="7" customFormat="1" ht="15">
      <c r="A54" s="217">
        <v>50</v>
      </c>
      <c r="B54" s="220" t="s">
        <v>234</v>
      </c>
      <c r="C54" s="158">
        <v>38961</v>
      </c>
      <c r="D54" s="164" t="s">
        <v>57</v>
      </c>
      <c r="E54" s="157" t="s">
        <v>145</v>
      </c>
      <c r="F54" s="159">
        <v>25</v>
      </c>
      <c r="G54" s="159">
        <v>1</v>
      </c>
      <c r="H54" s="159">
        <v>9</v>
      </c>
      <c r="I54" s="293">
        <v>238</v>
      </c>
      <c r="J54" s="324">
        <v>36</v>
      </c>
      <c r="K54" s="310">
        <f>+J54/G54</f>
        <v>36</v>
      </c>
      <c r="L54" s="214">
        <f>+I54/J54</f>
        <v>6.611111111111111</v>
      </c>
      <c r="M54" s="278">
        <v>228378.4</v>
      </c>
      <c r="N54" s="308">
        <v>30605</v>
      </c>
      <c r="O54" s="184">
        <f t="shared" si="5"/>
        <v>7.462127103414475</v>
      </c>
    </row>
    <row r="55" spans="1:15" s="7" customFormat="1" ht="15">
      <c r="A55" s="217">
        <v>51</v>
      </c>
      <c r="B55" s="220" t="s">
        <v>302</v>
      </c>
      <c r="C55" s="158">
        <v>38982</v>
      </c>
      <c r="D55" s="157" t="s">
        <v>38</v>
      </c>
      <c r="E55" s="157" t="s">
        <v>38</v>
      </c>
      <c r="F55" s="159">
        <v>12</v>
      </c>
      <c r="G55" s="159">
        <v>1</v>
      </c>
      <c r="H55" s="159">
        <v>5</v>
      </c>
      <c r="I55" s="293">
        <v>204</v>
      </c>
      <c r="J55" s="324">
        <v>40</v>
      </c>
      <c r="K55" s="306">
        <f aca="true" t="shared" si="6" ref="K55:K61">J55/G55</f>
        <v>40</v>
      </c>
      <c r="L55" s="213">
        <f aca="true" t="shared" si="7" ref="L55:L61">I55/J55</f>
        <v>5.1</v>
      </c>
      <c r="M55" s="278">
        <f>55507.5+39850.5+10884+7822+204</f>
        <v>114268</v>
      </c>
      <c r="N55" s="308">
        <f>5804+3888+1337+1200+40</f>
        <v>12269</v>
      </c>
      <c r="O55" s="184">
        <f t="shared" si="5"/>
        <v>9.31355448691825</v>
      </c>
    </row>
    <row r="56" spans="1:15" s="7" customFormat="1" ht="15">
      <c r="A56" s="217">
        <v>52</v>
      </c>
      <c r="B56" s="223" t="s">
        <v>111</v>
      </c>
      <c r="C56" s="309">
        <v>38863</v>
      </c>
      <c r="D56" s="166" t="s">
        <v>76</v>
      </c>
      <c r="E56" s="166" t="s">
        <v>229</v>
      </c>
      <c r="F56" s="170">
        <v>35</v>
      </c>
      <c r="G56" s="170">
        <v>1</v>
      </c>
      <c r="H56" s="170">
        <v>22</v>
      </c>
      <c r="I56" s="293">
        <v>197</v>
      </c>
      <c r="J56" s="324">
        <v>49</v>
      </c>
      <c r="K56" s="306">
        <f t="shared" si="6"/>
        <v>49</v>
      </c>
      <c r="L56" s="213">
        <f t="shared" si="7"/>
        <v>4.020408163265306</v>
      </c>
      <c r="M56" s="278">
        <f>149883.5+135641.5+82301.5+72589.5+39819+39540+36570.5+16522+7667.5+7505+3512+4803+1880+716+4840+2288+337.5+291+2062+303+1509+197</f>
        <v>610778.5</v>
      </c>
      <c r="N56" s="308">
        <f>19608+17668+11309+10378+6088+6513+6684+3212+1345+1482+722+1193+358+130+881+616+56+49+654+101+267+49</f>
        <v>89363</v>
      </c>
      <c r="O56" s="183">
        <f t="shared" si="5"/>
        <v>6.834802994527936</v>
      </c>
    </row>
    <row r="57" spans="1:15" s="7" customFormat="1" ht="15">
      <c r="A57" s="217">
        <v>53</v>
      </c>
      <c r="B57" s="224" t="s">
        <v>328</v>
      </c>
      <c r="C57" s="161">
        <v>38996</v>
      </c>
      <c r="D57" s="164" t="s">
        <v>57</v>
      </c>
      <c r="E57" s="164" t="s">
        <v>145</v>
      </c>
      <c r="F57" s="165" t="s">
        <v>329</v>
      </c>
      <c r="G57" s="165" t="s">
        <v>319</v>
      </c>
      <c r="H57" s="165" t="s">
        <v>236</v>
      </c>
      <c r="I57" s="264">
        <v>127</v>
      </c>
      <c r="J57" s="325">
        <v>18</v>
      </c>
      <c r="K57" s="306">
        <f t="shared" si="6"/>
        <v>18</v>
      </c>
      <c r="L57" s="213">
        <f t="shared" si="7"/>
        <v>7.055555555555555</v>
      </c>
      <c r="M57" s="249">
        <v>8345.5</v>
      </c>
      <c r="N57" s="307">
        <v>936</v>
      </c>
      <c r="O57" s="184">
        <f t="shared" si="5"/>
        <v>8.916132478632479</v>
      </c>
    </row>
    <row r="58" spans="1:15" s="7" customFormat="1" ht="15.75" thickBot="1">
      <c r="A58" s="217">
        <v>54</v>
      </c>
      <c r="B58" s="241" t="s">
        <v>373</v>
      </c>
      <c r="C58" s="186">
        <v>38982</v>
      </c>
      <c r="D58" s="279" t="s">
        <v>35</v>
      </c>
      <c r="E58" s="279" t="s">
        <v>93</v>
      </c>
      <c r="F58" s="319">
        <v>18</v>
      </c>
      <c r="G58" s="319">
        <v>1</v>
      </c>
      <c r="H58" s="319">
        <v>5</v>
      </c>
      <c r="I58" s="294">
        <v>24</v>
      </c>
      <c r="J58" s="327">
        <v>6</v>
      </c>
      <c r="K58" s="320">
        <f t="shared" si="6"/>
        <v>6</v>
      </c>
      <c r="L58" s="244">
        <f t="shared" si="7"/>
        <v>4</v>
      </c>
      <c r="M58" s="280">
        <v>89551</v>
      </c>
      <c r="N58" s="321">
        <v>9407</v>
      </c>
      <c r="O58" s="242">
        <f t="shared" si="5"/>
        <v>9.519613054108643</v>
      </c>
    </row>
    <row r="59" spans="1:15" s="14" customFormat="1" ht="15">
      <c r="A59" s="359" t="s">
        <v>9</v>
      </c>
      <c r="B59" s="360"/>
      <c r="C59" s="75"/>
      <c r="D59" s="76" t="s">
        <v>378</v>
      </c>
      <c r="E59" s="77"/>
      <c r="F59" s="76"/>
      <c r="G59" s="78">
        <f>SUM(G5:G58)</f>
        <v>944</v>
      </c>
      <c r="H59" s="76"/>
      <c r="I59" s="79">
        <f>SUM(I5:I58)</f>
        <v>5859239</v>
      </c>
      <c r="J59" s="151">
        <f>SUM(J5:J58)</f>
        <v>798032</v>
      </c>
      <c r="K59" s="80">
        <f t="shared" si="6"/>
        <v>845.3728813559322</v>
      </c>
      <c r="L59" s="81">
        <f t="shared" si="7"/>
        <v>7.342110341439942</v>
      </c>
      <c r="M59" s="82"/>
      <c r="N59" s="80"/>
      <c r="O59" s="83"/>
    </row>
    <row r="60" spans="1:15" s="14" customFormat="1" ht="15">
      <c r="A60" s="361" t="s">
        <v>8</v>
      </c>
      <c r="B60" s="362"/>
      <c r="C60" s="31"/>
      <c r="D60" s="32" t="s">
        <v>345</v>
      </c>
      <c r="E60" s="30"/>
      <c r="F60" s="32"/>
      <c r="G60" s="33">
        <v>965</v>
      </c>
      <c r="H60" s="32"/>
      <c r="I60" s="59">
        <v>4089728</v>
      </c>
      <c r="J60" s="152">
        <v>557802</v>
      </c>
      <c r="K60" s="38">
        <f t="shared" si="6"/>
        <v>578.0331606217617</v>
      </c>
      <c r="L60" s="34">
        <f t="shared" si="7"/>
        <v>7.331863277650492</v>
      </c>
      <c r="M60" s="50"/>
      <c r="N60" s="38"/>
      <c r="O60" s="54"/>
    </row>
    <row r="61" spans="1:15" s="14" customFormat="1" ht="15.75" thickBot="1">
      <c r="A61" s="363" t="s">
        <v>40</v>
      </c>
      <c r="B61" s="364"/>
      <c r="C61" s="42"/>
      <c r="D61" s="43" t="s">
        <v>358</v>
      </c>
      <c r="E61" s="41"/>
      <c r="F61" s="43"/>
      <c r="G61" s="44">
        <v>1241</v>
      </c>
      <c r="H61" s="43"/>
      <c r="I61" s="49">
        <v>4712924.63</v>
      </c>
      <c r="J61" s="153">
        <v>687598</v>
      </c>
      <c r="K61" s="45">
        <f t="shared" si="6"/>
        <v>554.0676873489122</v>
      </c>
      <c r="L61" s="46">
        <f t="shared" si="7"/>
        <v>6.854186065113628</v>
      </c>
      <c r="M61" s="51"/>
      <c r="N61" s="45"/>
      <c r="O61" s="55"/>
    </row>
    <row r="62" spans="1:16" s="7" customFormat="1" ht="14.25" thickBot="1">
      <c r="A62" s="69"/>
      <c r="C62" s="12"/>
      <c r="D62" s="16"/>
      <c r="E62" s="16"/>
      <c r="F62" s="8"/>
      <c r="G62" s="8"/>
      <c r="H62" s="8"/>
      <c r="I62" s="60"/>
      <c r="J62" s="35"/>
      <c r="K62" s="36"/>
      <c r="L62" s="22"/>
      <c r="M62" s="52"/>
      <c r="N62" s="36"/>
      <c r="O62" s="56"/>
      <c r="P62" s="9"/>
    </row>
    <row r="63" spans="1:16" s="7" customFormat="1" ht="15">
      <c r="A63" s="69"/>
      <c r="B63" s="369" t="s">
        <v>11</v>
      </c>
      <c r="C63" s="370"/>
      <c r="D63" s="375" t="s">
        <v>176</v>
      </c>
      <c r="E63" s="342"/>
      <c r="F63" s="343"/>
      <c r="G63" s="23"/>
      <c r="H63" s="8"/>
      <c r="I63" s="60"/>
      <c r="J63" s="35"/>
      <c r="K63" s="373" t="s">
        <v>4</v>
      </c>
      <c r="L63" s="374"/>
      <c r="M63" s="374"/>
      <c r="N63" s="374"/>
      <c r="O63" s="374"/>
      <c r="P63" s="24"/>
    </row>
    <row r="64" spans="1:15" s="7" customFormat="1" ht="15">
      <c r="A64" s="69"/>
      <c r="B64" s="371"/>
      <c r="C64" s="372"/>
      <c r="D64" s="84" t="s">
        <v>349</v>
      </c>
      <c r="E64" s="85" t="s">
        <v>177</v>
      </c>
      <c r="F64" s="86" t="s">
        <v>178</v>
      </c>
      <c r="G64" s="8"/>
      <c r="H64" s="25"/>
      <c r="I64" s="60"/>
      <c r="J64" s="35"/>
      <c r="K64" s="374"/>
      <c r="L64" s="374"/>
      <c r="M64" s="374"/>
      <c r="N64" s="374"/>
      <c r="O64" s="374"/>
    </row>
    <row r="65" spans="1:15" s="7" customFormat="1" ht="15">
      <c r="A65" s="69"/>
      <c r="B65" s="87" t="s">
        <v>198</v>
      </c>
      <c r="C65" s="88" t="s">
        <v>364</v>
      </c>
      <c r="D65" s="89" t="s">
        <v>180</v>
      </c>
      <c r="E65" s="90" t="s">
        <v>350</v>
      </c>
      <c r="F65" s="91" t="s">
        <v>351</v>
      </c>
      <c r="G65" s="8"/>
      <c r="H65" s="25"/>
      <c r="I65" s="60"/>
      <c r="J65" s="35"/>
      <c r="K65" s="374"/>
      <c r="L65" s="374"/>
      <c r="M65" s="374"/>
      <c r="N65" s="374"/>
      <c r="O65" s="374"/>
    </row>
    <row r="66" spans="1:15" s="7" customFormat="1" ht="15">
      <c r="A66" s="69"/>
      <c r="B66" s="92" t="s">
        <v>199</v>
      </c>
      <c r="C66" s="211" t="s">
        <v>377</v>
      </c>
      <c r="D66" s="93" t="s">
        <v>181</v>
      </c>
      <c r="E66" s="94" t="s">
        <v>352</v>
      </c>
      <c r="F66" s="95" t="s">
        <v>353</v>
      </c>
      <c r="G66" s="8"/>
      <c r="H66" s="25"/>
      <c r="I66" s="60"/>
      <c r="J66" s="35"/>
      <c r="K66" s="368" t="s">
        <v>375</v>
      </c>
      <c r="L66" s="368"/>
      <c r="M66" s="368"/>
      <c r="N66" s="368"/>
      <c r="O66" s="368"/>
    </row>
    <row r="67" spans="1:15" s="7" customFormat="1" ht="15">
      <c r="A67" s="69"/>
      <c r="B67" s="92" t="s">
        <v>313</v>
      </c>
      <c r="C67" s="211" t="s">
        <v>220</v>
      </c>
      <c r="D67" s="93" t="s">
        <v>182</v>
      </c>
      <c r="E67" s="94" t="s">
        <v>354</v>
      </c>
      <c r="F67" s="95" t="s">
        <v>355</v>
      </c>
      <c r="G67" s="8"/>
      <c r="H67" s="25"/>
      <c r="I67" s="60"/>
      <c r="J67" s="35"/>
      <c r="K67" s="368"/>
      <c r="L67" s="368"/>
      <c r="M67" s="368"/>
      <c r="N67" s="368"/>
      <c r="O67" s="368"/>
    </row>
    <row r="68" spans="1:15" s="7" customFormat="1" ht="15.75" thickBot="1">
      <c r="A68" s="69"/>
      <c r="B68" s="96" t="s">
        <v>314</v>
      </c>
      <c r="C68" s="212" t="s">
        <v>376</v>
      </c>
      <c r="D68" s="97" t="s">
        <v>183</v>
      </c>
      <c r="E68" s="98" t="s">
        <v>356</v>
      </c>
      <c r="F68" s="99" t="s">
        <v>357</v>
      </c>
      <c r="G68" s="8"/>
      <c r="H68" s="25"/>
      <c r="I68" s="60"/>
      <c r="J68" s="35"/>
      <c r="K68" s="368"/>
      <c r="L68" s="368"/>
      <c r="M68" s="368"/>
      <c r="N68" s="368"/>
      <c r="O68" s="368"/>
    </row>
    <row r="69" spans="1:15" s="7" customFormat="1" ht="13.5">
      <c r="A69" s="69"/>
      <c r="B69" s="64"/>
      <c r="C69" s="12"/>
      <c r="D69" s="65"/>
      <c r="E69" s="8"/>
      <c r="F69" s="8"/>
      <c r="G69" s="8"/>
      <c r="H69" s="25"/>
      <c r="I69" s="60"/>
      <c r="J69" s="35"/>
      <c r="K69" s="36"/>
      <c r="L69" s="22"/>
      <c r="M69" s="19"/>
      <c r="N69" s="36"/>
      <c r="O69" s="56"/>
    </row>
    <row r="70" spans="1:15" s="7" customFormat="1" ht="14.25" thickBot="1">
      <c r="A70" s="69"/>
      <c r="C70" s="12"/>
      <c r="D70" s="16"/>
      <c r="E70" s="16"/>
      <c r="F70" s="8"/>
      <c r="G70" s="8"/>
      <c r="H70" s="356" t="s">
        <v>310</v>
      </c>
      <c r="I70" s="357"/>
      <c r="J70" s="357"/>
      <c r="K70" s="357"/>
      <c r="L70" s="357"/>
      <c r="M70" s="357"/>
      <c r="N70" s="357"/>
      <c r="O70" s="357"/>
    </row>
    <row r="71" spans="1:15" s="29" customFormat="1" ht="15">
      <c r="A71" s="111"/>
      <c r="B71" s="108" t="s">
        <v>10</v>
      </c>
      <c r="C71" s="365" t="s">
        <v>173</v>
      </c>
      <c r="D71" s="366"/>
      <c r="E71" s="366"/>
      <c r="F71" s="367"/>
      <c r="G71" s="66"/>
      <c r="H71" s="357"/>
      <c r="I71" s="357"/>
      <c r="J71" s="357"/>
      <c r="K71" s="357"/>
      <c r="L71" s="357"/>
      <c r="M71" s="357"/>
      <c r="N71" s="357"/>
      <c r="O71" s="357"/>
    </row>
    <row r="72" spans="1:15" s="29" customFormat="1" ht="15">
      <c r="A72" s="120"/>
      <c r="B72" s="121"/>
      <c r="C72" s="122" t="s">
        <v>174</v>
      </c>
      <c r="D72" s="123" t="s">
        <v>189</v>
      </c>
      <c r="E72" s="123" t="s">
        <v>175</v>
      </c>
      <c r="F72" s="124" t="s">
        <v>179</v>
      </c>
      <c r="G72" s="28"/>
      <c r="H72" s="357"/>
      <c r="I72" s="357"/>
      <c r="J72" s="357"/>
      <c r="K72" s="357"/>
      <c r="L72" s="357"/>
      <c r="M72" s="357"/>
      <c r="N72" s="357"/>
      <c r="O72" s="357"/>
    </row>
    <row r="73" spans="1:15" s="29" customFormat="1" ht="15">
      <c r="A73" s="114">
        <v>1</v>
      </c>
      <c r="B73" s="115" t="s">
        <v>1</v>
      </c>
      <c r="C73" s="116">
        <v>1</v>
      </c>
      <c r="D73" s="117">
        <v>2678961</v>
      </c>
      <c r="E73" s="118">
        <v>348221</v>
      </c>
      <c r="F73" s="119">
        <f aca="true" t="shared" si="8" ref="F73:F81">D73/E73</f>
        <v>7.693278119355237</v>
      </c>
      <c r="G73" s="28"/>
      <c r="H73" s="357"/>
      <c r="I73" s="357"/>
      <c r="J73" s="357"/>
      <c r="K73" s="357"/>
      <c r="L73" s="357"/>
      <c r="M73" s="357"/>
      <c r="N73" s="357"/>
      <c r="O73" s="357"/>
    </row>
    <row r="74" spans="1:15" s="29" customFormat="1" ht="15">
      <c r="A74" s="112">
        <v>2</v>
      </c>
      <c r="B74" s="109" t="s">
        <v>201</v>
      </c>
      <c r="C74" s="100">
        <v>13</v>
      </c>
      <c r="D74" s="101">
        <v>1977053.5</v>
      </c>
      <c r="E74" s="102">
        <v>289799</v>
      </c>
      <c r="F74" s="103">
        <f t="shared" si="8"/>
        <v>6.8221543207533495</v>
      </c>
      <c r="G74" s="28"/>
      <c r="H74" s="357"/>
      <c r="I74" s="357"/>
      <c r="J74" s="357"/>
      <c r="K74" s="357"/>
      <c r="L74" s="357"/>
      <c r="M74" s="357"/>
      <c r="N74" s="357"/>
      <c r="O74" s="357"/>
    </row>
    <row r="75" spans="1:15" s="29" customFormat="1" ht="15">
      <c r="A75" s="112">
        <v>3</v>
      </c>
      <c r="B75" s="109" t="s">
        <v>0</v>
      </c>
      <c r="C75" s="100">
        <v>12</v>
      </c>
      <c r="D75" s="101">
        <v>743499</v>
      </c>
      <c r="E75" s="102">
        <v>92263</v>
      </c>
      <c r="F75" s="103">
        <f t="shared" si="8"/>
        <v>8.058474144564993</v>
      </c>
      <c r="G75" s="28"/>
      <c r="H75" s="357"/>
      <c r="I75" s="357"/>
      <c r="J75" s="357"/>
      <c r="K75" s="357"/>
      <c r="L75" s="357"/>
      <c r="M75" s="357"/>
      <c r="N75" s="357"/>
      <c r="O75" s="357"/>
    </row>
    <row r="76" spans="1:15" s="29" customFormat="1" ht="15">
      <c r="A76" s="112">
        <v>4</v>
      </c>
      <c r="B76" s="109" t="s">
        <v>200</v>
      </c>
      <c r="C76" s="100">
        <v>11</v>
      </c>
      <c r="D76" s="101">
        <v>384316</v>
      </c>
      <c r="E76" s="102">
        <v>54147</v>
      </c>
      <c r="F76" s="103">
        <f t="shared" si="8"/>
        <v>7.0976416052597555</v>
      </c>
      <c r="G76" s="28"/>
      <c r="H76" s="358" t="s">
        <v>312</v>
      </c>
      <c r="I76" s="357"/>
      <c r="J76" s="357"/>
      <c r="K76" s="357"/>
      <c r="L76" s="357"/>
      <c r="M76" s="357"/>
      <c r="N76" s="357"/>
      <c r="O76" s="357"/>
    </row>
    <row r="77" spans="1:15" s="29" customFormat="1" ht="15">
      <c r="A77" s="112">
        <v>5</v>
      </c>
      <c r="B77" s="109" t="s">
        <v>76</v>
      </c>
      <c r="C77" s="100">
        <v>8</v>
      </c>
      <c r="D77" s="101">
        <v>67643</v>
      </c>
      <c r="E77" s="102">
        <v>12129</v>
      </c>
      <c r="F77" s="103">
        <f t="shared" si="8"/>
        <v>5.576964300436969</v>
      </c>
      <c r="G77" s="28"/>
      <c r="H77" s="357"/>
      <c r="I77" s="357"/>
      <c r="J77" s="357"/>
      <c r="K77" s="357"/>
      <c r="L77" s="357"/>
      <c r="M77" s="357"/>
      <c r="N77" s="357"/>
      <c r="O77" s="357"/>
    </row>
    <row r="78" spans="1:15" s="29" customFormat="1" ht="15">
      <c r="A78" s="112">
        <v>6</v>
      </c>
      <c r="B78" s="109" t="s">
        <v>57</v>
      </c>
      <c r="C78" s="100">
        <v>4</v>
      </c>
      <c r="D78" s="101">
        <v>3631.5</v>
      </c>
      <c r="E78" s="102">
        <v>632</v>
      </c>
      <c r="F78" s="103">
        <f t="shared" si="8"/>
        <v>5.7460443037974684</v>
      </c>
      <c r="G78" s="28"/>
      <c r="H78" s="357"/>
      <c r="I78" s="357"/>
      <c r="J78" s="357"/>
      <c r="K78" s="357"/>
      <c r="L78" s="357"/>
      <c r="M78" s="357"/>
      <c r="N78" s="357"/>
      <c r="O78" s="357"/>
    </row>
    <row r="79" spans="1:15" s="29" customFormat="1" ht="15">
      <c r="A79" s="112">
        <v>7</v>
      </c>
      <c r="B79" s="109" t="s">
        <v>42</v>
      </c>
      <c r="C79" s="100">
        <v>1</v>
      </c>
      <c r="D79" s="101">
        <v>2538.9</v>
      </c>
      <c r="E79" s="102">
        <v>390</v>
      </c>
      <c r="F79" s="103">
        <f t="shared" si="8"/>
        <v>6.510000000000001</v>
      </c>
      <c r="G79" s="28"/>
      <c r="H79" s="357"/>
      <c r="I79" s="357"/>
      <c r="J79" s="357"/>
      <c r="K79" s="357"/>
      <c r="L79" s="357"/>
      <c r="M79" s="357"/>
      <c r="N79" s="357"/>
      <c r="O79" s="357"/>
    </row>
    <row r="80" spans="1:15" s="29" customFormat="1" ht="15">
      <c r="A80" s="112">
        <v>8</v>
      </c>
      <c r="B80" s="109" t="s">
        <v>35</v>
      </c>
      <c r="C80" s="100">
        <v>3</v>
      </c>
      <c r="D80" s="101">
        <v>1483</v>
      </c>
      <c r="E80" s="102">
        <v>347</v>
      </c>
      <c r="F80" s="103">
        <f t="shared" si="8"/>
        <v>4.273775216138328</v>
      </c>
      <c r="G80" s="28"/>
      <c r="H80" s="357"/>
      <c r="I80" s="357"/>
      <c r="J80" s="357"/>
      <c r="K80" s="357"/>
      <c r="L80" s="357"/>
      <c r="M80" s="357"/>
      <c r="N80" s="357"/>
      <c r="O80" s="357"/>
    </row>
    <row r="81" spans="1:15" s="29" customFormat="1" ht="15">
      <c r="A81" s="112">
        <v>9</v>
      </c>
      <c r="B81" s="109" t="s">
        <v>7</v>
      </c>
      <c r="C81" s="100">
        <v>2</v>
      </c>
      <c r="D81" s="101">
        <v>717</v>
      </c>
      <c r="E81" s="102">
        <v>207</v>
      </c>
      <c r="F81" s="103">
        <f t="shared" si="8"/>
        <v>3.463768115942029</v>
      </c>
      <c r="G81" s="28"/>
      <c r="H81" s="357"/>
      <c r="I81" s="357"/>
      <c r="J81" s="357"/>
      <c r="K81" s="357"/>
      <c r="L81" s="357"/>
      <c r="M81" s="357"/>
      <c r="N81" s="357"/>
      <c r="O81" s="357"/>
    </row>
    <row r="82" spans="1:15" s="29" customFormat="1" ht="15">
      <c r="A82" s="112">
        <v>10</v>
      </c>
      <c r="B82" s="109" t="s">
        <v>41</v>
      </c>
      <c r="C82" s="100" t="s">
        <v>139</v>
      </c>
      <c r="D82" s="101" t="s">
        <v>139</v>
      </c>
      <c r="E82" s="102" t="s">
        <v>139</v>
      </c>
      <c r="F82" s="103" t="s">
        <v>139</v>
      </c>
      <c r="G82" s="28"/>
      <c r="H82" s="357"/>
      <c r="I82" s="357"/>
      <c r="J82" s="357"/>
      <c r="K82" s="357"/>
      <c r="L82" s="357"/>
      <c r="M82" s="357"/>
      <c r="N82" s="357"/>
      <c r="O82" s="357"/>
    </row>
    <row r="83" spans="1:15" s="29" customFormat="1" ht="15">
      <c r="A83" s="112">
        <v>11</v>
      </c>
      <c r="B83" s="109" t="s">
        <v>2</v>
      </c>
      <c r="C83" s="100" t="s">
        <v>139</v>
      </c>
      <c r="D83" s="101" t="s">
        <v>139</v>
      </c>
      <c r="E83" s="102" t="s">
        <v>139</v>
      </c>
      <c r="F83" s="103" t="s">
        <v>139</v>
      </c>
      <c r="G83" s="28"/>
      <c r="H83" s="126"/>
      <c r="I83" s="154"/>
      <c r="J83" s="154"/>
      <c r="K83" s="126"/>
      <c r="L83" s="126"/>
      <c r="M83" s="126"/>
      <c r="N83" s="126"/>
      <c r="O83" s="126"/>
    </row>
    <row r="84" spans="1:15" s="29" customFormat="1" ht="15.75" thickBot="1">
      <c r="A84" s="113">
        <v>12</v>
      </c>
      <c r="B84" s="110" t="s">
        <v>299</v>
      </c>
      <c r="C84" s="104" t="s">
        <v>139</v>
      </c>
      <c r="D84" s="105" t="s">
        <v>139</v>
      </c>
      <c r="E84" s="106" t="s">
        <v>139</v>
      </c>
      <c r="F84" s="107" t="s">
        <v>139</v>
      </c>
      <c r="G84" s="28"/>
      <c r="H84" s="126"/>
      <c r="I84" s="154"/>
      <c r="J84" s="154"/>
      <c r="K84" s="126"/>
      <c r="L84" s="126"/>
      <c r="M84" s="126"/>
      <c r="N84" s="126"/>
      <c r="O84" s="126"/>
    </row>
    <row r="87" spans="2:15" ht="18">
      <c r="B87" s="125"/>
      <c r="C87" s="125"/>
      <c r="D87" s="125"/>
      <c r="E87" s="125"/>
      <c r="F87" s="125"/>
      <c r="G87" s="125"/>
      <c r="H87" s="125"/>
      <c r="I87" s="155"/>
      <c r="J87" s="155"/>
      <c r="K87" s="125"/>
      <c r="L87" s="125"/>
      <c r="M87" s="125"/>
      <c r="N87" s="125"/>
      <c r="O87" s="125"/>
    </row>
    <row r="88" spans="2:15" ht="18">
      <c r="B88" s="125"/>
      <c r="C88" s="125"/>
      <c r="D88" s="125"/>
      <c r="E88" s="125"/>
      <c r="F88" s="125"/>
      <c r="G88" s="125"/>
      <c r="H88" s="125"/>
      <c r="I88" s="155"/>
      <c r="J88" s="155"/>
      <c r="K88" s="125"/>
      <c r="L88" s="125"/>
      <c r="M88" s="125"/>
      <c r="N88" s="125"/>
      <c r="O88" s="125"/>
    </row>
    <row r="89" spans="2:15" ht="18">
      <c r="B89" s="125"/>
      <c r="C89" s="125"/>
      <c r="D89" s="125"/>
      <c r="E89" s="125"/>
      <c r="F89" s="125"/>
      <c r="G89" s="125"/>
      <c r="H89" s="125"/>
      <c r="I89" s="155"/>
      <c r="J89" s="155"/>
      <c r="K89" s="125"/>
      <c r="L89" s="125"/>
      <c r="M89" s="125"/>
      <c r="N89" s="125"/>
      <c r="O89" s="125"/>
    </row>
    <row r="90" spans="2:15" ht="18">
      <c r="B90" s="125"/>
      <c r="C90" s="125"/>
      <c r="D90" s="125"/>
      <c r="E90" s="125"/>
      <c r="F90" s="125"/>
      <c r="G90" s="125"/>
      <c r="H90" s="125"/>
      <c r="I90" s="155"/>
      <c r="J90" s="155"/>
      <c r="K90" s="125"/>
      <c r="L90" s="125"/>
      <c r="M90" s="125"/>
      <c r="N90" s="125"/>
      <c r="O90" s="125"/>
    </row>
    <row r="91" spans="2:15" ht="18">
      <c r="B91" s="125"/>
      <c r="C91" s="125"/>
      <c r="D91" s="125"/>
      <c r="E91" s="125"/>
      <c r="F91" s="125"/>
      <c r="G91" s="125"/>
      <c r="H91" s="125"/>
      <c r="I91" s="155"/>
      <c r="J91" s="155"/>
      <c r="K91" s="125"/>
      <c r="L91" s="125"/>
      <c r="M91" s="125"/>
      <c r="N91" s="125"/>
      <c r="O91" s="125"/>
    </row>
    <row r="92" spans="2:15" ht="18">
      <c r="B92" s="125"/>
      <c r="C92" s="125"/>
      <c r="D92" s="125"/>
      <c r="E92" s="125"/>
      <c r="F92" s="125"/>
      <c r="G92" s="125"/>
      <c r="H92" s="125"/>
      <c r="I92" s="155"/>
      <c r="J92" s="155"/>
      <c r="K92" s="125"/>
      <c r="L92" s="125"/>
      <c r="M92" s="125"/>
      <c r="N92" s="125"/>
      <c r="O92" s="125"/>
    </row>
    <row r="93" spans="2:15" ht="18">
      <c r="B93" s="125"/>
      <c r="C93" s="125"/>
      <c r="D93" s="125"/>
      <c r="E93" s="125"/>
      <c r="F93" s="125"/>
      <c r="G93" s="125"/>
      <c r="H93" s="125"/>
      <c r="I93" s="155"/>
      <c r="J93" s="155"/>
      <c r="K93" s="125"/>
      <c r="L93" s="125"/>
      <c r="M93" s="125"/>
      <c r="N93" s="125"/>
      <c r="O93" s="125"/>
    </row>
    <row r="94" spans="2:15" ht="18">
      <c r="B94" s="125"/>
      <c r="C94" s="125"/>
      <c r="D94" s="125"/>
      <c r="E94" s="125"/>
      <c r="F94" s="125"/>
      <c r="G94" s="125"/>
      <c r="H94" s="125"/>
      <c r="I94" s="155"/>
      <c r="J94" s="155"/>
      <c r="K94" s="125"/>
      <c r="L94" s="125"/>
      <c r="M94" s="125"/>
      <c r="N94" s="125"/>
      <c r="O94" s="125"/>
    </row>
    <row r="95" spans="2:15" ht="18">
      <c r="B95" s="125"/>
      <c r="C95" s="125"/>
      <c r="D95" s="125"/>
      <c r="E95" s="125"/>
      <c r="F95" s="125"/>
      <c r="G95" s="125"/>
      <c r="H95" s="125"/>
      <c r="I95" s="155"/>
      <c r="J95" s="155"/>
      <c r="K95" s="125"/>
      <c r="L95" s="125"/>
      <c r="M95" s="125"/>
      <c r="N95" s="125"/>
      <c r="O95" s="125"/>
    </row>
    <row r="96" spans="2:15" ht="18">
      <c r="B96" s="125"/>
      <c r="C96" s="125"/>
      <c r="D96" s="125"/>
      <c r="E96" s="125"/>
      <c r="F96" s="125"/>
      <c r="G96" s="125"/>
      <c r="H96" s="125"/>
      <c r="I96" s="155"/>
      <c r="J96" s="155"/>
      <c r="K96" s="125"/>
      <c r="L96" s="125"/>
      <c r="M96" s="125"/>
      <c r="N96" s="125"/>
      <c r="O96" s="125"/>
    </row>
    <row r="97" spans="2:15" ht="18">
      <c r="B97" s="125"/>
      <c r="C97" s="125"/>
      <c r="D97" s="125"/>
      <c r="E97" s="125"/>
      <c r="F97" s="125"/>
      <c r="G97" s="125"/>
      <c r="H97" s="125"/>
      <c r="I97" s="155"/>
      <c r="J97" s="155"/>
      <c r="K97" s="125"/>
      <c r="L97" s="125"/>
      <c r="M97" s="125"/>
      <c r="N97" s="125"/>
      <c r="O97" s="125"/>
    </row>
    <row r="98" spans="2:15" ht="18">
      <c r="B98" s="125"/>
      <c r="C98" s="125"/>
      <c r="D98" s="125"/>
      <c r="E98" s="125"/>
      <c r="F98" s="125"/>
      <c r="G98" s="125"/>
      <c r="H98" s="125"/>
      <c r="I98" s="155"/>
      <c r="J98" s="155"/>
      <c r="K98" s="125"/>
      <c r="L98" s="125"/>
      <c r="M98" s="125"/>
      <c r="N98" s="125"/>
      <c r="O98" s="125"/>
    </row>
    <row r="99" spans="2:15" ht="18">
      <c r="B99" s="125"/>
      <c r="C99" s="125"/>
      <c r="D99" s="125"/>
      <c r="E99" s="125"/>
      <c r="F99" s="125"/>
      <c r="G99" s="125"/>
      <c r="H99" s="125"/>
      <c r="I99" s="155"/>
      <c r="J99" s="155"/>
      <c r="K99" s="125"/>
      <c r="L99" s="125"/>
      <c r="M99" s="125"/>
      <c r="N99" s="125"/>
      <c r="O99" s="125"/>
    </row>
    <row r="100" spans="2:15" ht="18">
      <c r="B100" s="125"/>
      <c r="C100" s="125"/>
      <c r="D100" s="125"/>
      <c r="E100" s="125"/>
      <c r="F100" s="125"/>
      <c r="G100" s="125"/>
      <c r="H100" s="125"/>
      <c r="I100" s="155"/>
      <c r="J100" s="155"/>
      <c r="K100" s="125"/>
      <c r="L100" s="125"/>
      <c r="M100" s="125"/>
      <c r="N100" s="125"/>
      <c r="O100" s="125"/>
    </row>
  </sheetData>
  <sheetProtection insertRows="0" deleteRows="0" sort="0"/>
  <mergeCells count="20">
    <mergeCell ref="H70:O75"/>
    <mergeCell ref="H76:O82"/>
    <mergeCell ref="A59:B59"/>
    <mergeCell ref="A60:B60"/>
    <mergeCell ref="A61:B61"/>
    <mergeCell ref="C71:F71"/>
    <mergeCell ref="K66:O68"/>
    <mergeCell ref="B63:C64"/>
    <mergeCell ref="K63:O65"/>
    <mergeCell ref="D63:F63"/>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K49:L52 K42:L48 K53:L55 O49:O52" formula="1"/>
    <ignoredError sqref="E65:F69 C65:C68 H5:H8 F28:H58 H10:H26 F5:G26" numberStoredAsText="1"/>
    <ignoredError sqref="F73:F81 N28:N57 M28:M41 M56:M57 M8:N26" unlockedFormula="1"/>
    <ignoredError sqref="M42:M55" formula="1" unlockedFormula="1"/>
  </ignoredErrors>
  <drawing r:id="rId1"/>
</worksheet>
</file>

<file path=xl/worksheets/sheet2.xml><?xml version="1.0" encoding="utf-8"?>
<worksheet xmlns="http://schemas.openxmlformats.org/spreadsheetml/2006/main" xmlns:r="http://schemas.openxmlformats.org/officeDocument/2006/relationships">
  <dimension ref="A1:L219"/>
  <sheetViews>
    <sheetView zoomScale="65" zoomScaleNormal="65" workbookViewId="0" topLeftCell="A1">
      <selection activeCell="B2" sqref="B2:B3"/>
    </sheetView>
  </sheetViews>
  <sheetFormatPr defaultColWidth="9.140625" defaultRowHeight="12.75"/>
  <cols>
    <col min="1" max="1" width="4.421875" style="149" bestFit="1" customWidth="1"/>
    <col min="2" max="2" width="44.140625" style="143" bestFit="1" customWidth="1"/>
    <col min="3" max="3" width="10.00390625" style="67" customWidth="1"/>
    <col min="4" max="4" width="14.140625" style="67" bestFit="1" customWidth="1"/>
    <col min="5" max="5" width="17.7109375" style="67" bestFit="1" customWidth="1"/>
    <col min="6" max="6" width="10.8515625" style="67" bestFit="1" customWidth="1"/>
    <col min="7" max="7" width="10.00390625" style="67" customWidth="1"/>
    <col min="8" max="8" width="17.28125" style="194" bestFit="1" customWidth="1"/>
    <col min="9" max="9" width="12.28125" style="145" bestFit="1" customWidth="1"/>
    <col min="10" max="10" width="8.00390625" style="146" customWidth="1"/>
    <col min="11" max="11" width="11.421875" style="143" bestFit="1" customWidth="1"/>
    <col min="12" max="16384" width="9.140625" style="143" customWidth="1"/>
  </cols>
  <sheetData>
    <row r="1" spans="1:10" s="131" customFormat="1" ht="39" customHeight="1" thickBot="1">
      <c r="A1" s="386" t="s">
        <v>359</v>
      </c>
      <c r="B1" s="387"/>
      <c r="C1" s="387"/>
      <c r="D1" s="387"/>
      <c r="E1" s="387"/>
      <c r="F1" s="387"/>
      <c r="G1" s="387"/>
      <c r="H1" s="387"/>
      <c r="I1" s="387"/>
      <c r="J1" s="387"/>
    </row>
    <row r="2" spans="1:10" s="132" customFormat="1" ht="21.75" customHeight="1">
      <c r="A2" s="174"/>
      <c r="B2" s="378" t="s">
        <v>184</v>
      </c>
      <c r="C2" s="378" t="s">
        <v>274</v>
      </c>
      <c r="D2" s="378" t="s">
        <v>19</v>
      </c>
      <c r="E2" s="378" t="s">
        <v>18</v>
      </c>
      <c r="F2" s="348" t="s">
        <v>186</v>
      </c>
      <c r="G2" s="348" t="s">
        <v>275</v>
      </c>
      <c r="H2" s="348" t="s">
        <v>188</v>
      </c>
      <c r="I2" s="348"/>
      <c r="J2" s="376" t="s">
        <v>276</v>
      </c>
    </row>
    <row r="3" spans="1:10" s="132" customFormat="1" ht="21.75" customHeight="1" thickBot="1">
      <c r="A3" s="175"/>
      <c r="B3" s="394"/>
      <c r="C3" s="394"/>
      <c r="D3" s="394"/>
      <c r="E3" s="394"/>
      <c r="F3" s="380"/>
      <c r="G3" s="381"/>
      <c r="H3" s="176" t="s">
        <v>277</v>
      </c>
      <c r="I3" s="177" t="s">
        <v>175</v>
      </c>
      <c r="J3" s="382"/>
    </row>
    <row r="4" spans="1:10" s="133" customFormat="1" ht="15">
      <c r="A4" s="235">
        <v>1</v>
      </c>
      <c r="B4" s="238" t="s">
        <v>162</v>
      </c>
      <c r="C4" s="179">
        <v>38751</v>
      </c>
      <c r="D4" s="178" t="s">
        <v>1</v>
      </c>
      <c r="E4" s="178" t="s">
        <v>31</v>
      </c>
      <c r="F4" s="180">
        <v>277</v>
      </c>
      <c r="G4" s="180">
        <v>26</v>
      </c>
      <c r="H4" s="275">
        <v>27434893</v>
      </c>
      <c r="I4" s="302">
        <v>4256566.66666667</v>
      </c>
      <c r="J4" s="181">
        <v>6.445310304862291</v>
      </c>
    </row>
    <row r="5" spans="1:10" s="134" customFormat="1" ht="15">
      <c r="A5" s="236">
        <v>2</v>
      </c>
      <c r="B5" s="220" t="s">
        <v>159</v>
      </c>
      <c r="C5" s="158">
        <v>38723</v>
      </c>
      <c r="D5" s="157" t="s">
        <v>26</v>
      </c>
      <c r="E5" s="157" t="s">
        <v>278</v>
      </c>
      <c r="F5" s="159">
        <v>280</v>
      </c>
      <c r="G5" s="159">
        <v>23</v>
      </c>
      <c r="H5" s="266">
        <v>12950655.62</v>
      </c>
      <c r="I5" s="295">
        <v>2067661</v>
      </c>
      <c r="J5" s="182">
        <v>6.263432748405081</v>
      </c>
    </row>
    <row r="6" spans="1:11" s="134" customFormat="1" ht="15">
      <c r="A6" s="237">
        <v>3</v>
      </c>
      <c r="B6" s="330" t="s">
        <v>360</v>
      </c>
      <c r="C6" s="190">
        <v>39010</v>
      </c>
      <c r="D6" s="331" t="s">
        <v>1</v>
      </c>
      <c r="E6" s="331" t="s">
        <v>361</v>
      </c>
      <c r="F6" s="332" t="s">
        <v>362</v>
      </c>
      <c r="G6" s="332" t="s">
        <v>364</v>
      </c>
      <c r="H6" s="277">
        <v>9275619.5</v>
      </c>
      <c r="I6" s="305">
        <v>1180329</v>
      </c>
      <c r="J6" s="333">
        <f>+H6/I6</f>
        <v>7.858503434211987</v>
      </c>
      <c r="K6" s="135"/>
    </row>
    <row r="7" spans="1:10" s="136" customFormat="1" ht="15">
      <c r="A7" s="236">
        <v>4</v>
      </c>
      <c r="B7" s="281" t="s">
        <v>255</v>
      </c>
      <c r="C7" s="282">
        <v>38856</v>
      </c>
      <c r="D7" s="283" t="s">
        <v>23</v>
      </c>
      <c r="E7" s="284" t="s">
        <v>30</v>
      </c>
      <c r="F7" s="285">
        <v>195</v>
      </c>
      <c r="G7" s="285">
        <v>23</v>
      </c>
      <c r="H7" s="328">
        <f>3570701+1526862+890553+1110.5+642057+1962.5+391828+1004+177766+104472.5+6467-1313+62244.5-2884+30403.5+13087+6337.5-594+13475.5+1246+2073+648+6824+3735+1442+8455+2554+2620+329+866</f>
        <v>7466332.5</v>
      </c>
      <c r="I7" s="329">
        <f>473308+203407+120258+125+93991+244+58773+32636+18970+1209-234+9432-459+4807+2508+1212-237+2153+230+354+112+1205+627+309+1584+1037+798+187+382</f>
        <v>1028928</v>
      </c>
      <c r="J7" s="263">
        <f>+H7/I7</f>
        <v>7.2564188164769545</v>
      </c>
    </row>
    <row r="8" spans="1:10" s="136" customFormat="1" ht="15">
      <c r="A8" s="236">
        <v>5</v>
      </c>
      <c r="B8" s="221" t="s">
        <v>87</v>
      </c>
      <c r="C8" s="158">
        <v>38912</v>
      </c>
      <c r="D8" s="157" t="s">
        <v>24</v>
      </c>
      <c r="E8" s="157" t="s">
        <v>29</v>
      </c>
      <c r="F8" s="159">
        <v>162</v>
      </c>
      <c r="G8" s="159">
        <v>16</v>
      </c>
      <c r="H8" s="266">
        <v>7181256</v>
      </c>
      <c r="I8" s="295">
        <v>1004926</v>
      </c>
      <c r="J8" s="184">
        <f>+H8/I8</f>
        <v>7.1460545353588225</v>
      </c>
    </row>
    <row r="9" spans="1:10" s="136" customFormat="1" ht="15">
      <c r="A9" s="236">
        <v>6</v>
      </c>
      <c r="B9" s="224" t="s">
        <v>147</v>
      </c>
      <c r="C9" s="161">
        <v>38723</v>
      </c>
      <c r="D9" s="157" t="s">
        <v>1</v>
      </c>
      <c r="E9" s="164" t="s">
        <v>279</v>
      </c>
      <c r="F9" s="165">
        <v>199</v>
      </c>
      <c r="G9" s="165" t="s">
        <v>228</v>
      </c>
      <c r="H9" s="269">
        <v>6517326.1</v>
      </c>
      <c r="I9" s="297">
        <v>997238.4</v>
      </c>
      <c r="J9" s="182">
        <v>6.53537418936134</v>
      </c>
    </row>
    <row r="10" spans="1:10" s="136" customFormat="1" ht="15">
      <c r="A10" s="236">
        <v>7</v>
      </c>
      <c r="B10" s="255" t="s">
        <v>263</v>
      </c>
      <c r="C10" s="247">
        <v>38821</v>
      </c>
      <c r="D10" s="246" t="s">
        <v>26</v>
      </c>
      <c r="E10" s="246" t="s">
        <v>27</v>
      </c>
      <c r="F10" s="248">
        <v>118</v>
      </c>
      <c r="G10" s="248">
        <v>26</v>
      </c>
      <c r="H10" s="268">
        <f>1908861+1583540+976953.5+606582.5+358386.5+257458.5+154619+107195+70567+37968.5+18157.5+11925.5+12529.5+11442+10137.5+11279.5+11047+23092+6089.5+13588+1331+1245+48+90+312+4271</f>
        <v>6198716.5</v>
      </c>
      <c r="I10" s="298">
        <f>267837+226672+141343+93283+56706+48660+34140+24736+15604+6640+3341+2116+2223+1865+2002+2375+2554+5432+1329+3323+245+218+8+15+52+1073</f>
        <v>943792</v>
      </c>
      <c r="J10" s="183">
        <f>+H10/I10</f>
        <v>6.567884131249258</v>
      </c>
    </row>
    <row r="11" spans="1:10" s="136" customFormat="1" ht="15">
      <c r="A11" s="236">
        <v>8</v>
      </c>
      <c r="B11" s="220" t="s">
        <v>172</v>
      </c>
      <c r="C11" s="158">
        <v>38765</v>
      </c>
      <c r="D11" s="157" t="s">
        <v>1</v>
      </c>
      <c r="E11" s="157" t="s">
        <v>47</v>
      </c>
      <c r="F11" s="159">
        <v>164</v>
      </c>
      <c r="G11" s="159">
        <v>19</v>
      </c>
      <c r="H11" s="266">
        <v>4222687.5</v>
      </c>
      <c r="I11" s="295">
        <v>646274</v>
      </c>
      <c r="J11" s="182">
        <v>6.53389661351068</v>
      </c>
    </row>
    <row r="12" spans="1:10" s="136" customFormat="1" ht="15">
      <c r="A12" s="236">
        <v>9</v>
      </c>
      <c r="B12" s="220" t="s">
        <v>337</v>
      </c>
      <c r="C12" s="158">
        <v>39010</v>
      </c>
      <c r="D12" s="157" t="s">
        <v>365</v>
      </c>
      <c r="E12" s="157" t="s">
        <v>48</v>
      </c>
      <c r="F12" s="159">
        <v>249</v>
      </c>
      <c r="G12" s="159">
        <v>2</v>
      </c>
      <c r="H12" s="266">
        <f>2091324+1603944</f>
        <v>3695268</v>
      </c>
      <c r="I12" s="295">
        <f>295082+234355</f>
        <v>529437</v>
      </c>
      <c r="J12" s="184">
        <f>+H12/I12</f>
        <v>6.979617971543356</v>
      </c>
    </row>
    <row r="13" spans="1:10" s="136" customFormat="1" ht="15">
      <c r="A13" s="236">
        <v>10</v>
      </c>
      <c r="B13" s="255" t="s">
        <v>195</v>
      </c>
      <c r="C13" s="247">
        <v>38758</v>
      </c>
      <c r="D13" s="246" t="s">
        <v>26</v>
      </c>
      <c r="E13" s="246" t="s">
        <v>170</v>
      </c>
      <c r="F13" s="248">
        <v>80</v>
      </c>
      <c r="G13" s="248">
        <v>30</v>
      </c>
      <c r="H13" s="270">
        <f>1046144.5+776147+471268+342390+240709.5+167344+96416.5+41350+35967.5+31795.5+14506+10028+6242+3523+4463+5109+150+198+3146.5+3199+1091+252+107+70+3321+3020+40+206+168</f>
        <v>3308372</v>
      </c>
      <c r="I13" s="298">
        <f>153560+115584+70079+59336+46681+34549+19625+8318+8035+8705+3661+2044+1179+753+1488+1703+50+66+1049+812+246+33+15+10+973+755+5+25+42</f>
        <v>539381</v>
      </c>
      <c r="J13" s="183">
        <f>+H13/I13</f>
        <v>6.133645790266991</v>
      </c>
    </row>
    <row r="14" spans="1:10" s="136" customFormat="1" ht="15">
      <c r="A14" s="236">
        <v>11</v>
      </c>
      <c r="B14" s="220" t="s">
        <v>249</v>
      </c>
      <c r="C14" s="158">
        <v>38730</v>
      </c>
      <c r="D14" s="157" t="s">
        <v>24</v>
      </c>
      <c r="E14" s="157" t="s">
        <v>29</v>
      </c>
      <c r="F14" s="159">
        <v>116</v>
      </c>
      <c r="G14" s="159">
        <v>31</v>
      </c>
      <c r="H14" s="266">
        <v>3280736</v>
      </c>
      <c r="I14" s="295">
        <v>467181</v>
      </c>
      <c r="J14" s="182">
        <v>7.02240887364854</v>
      </c>
    </row>
    <row r="15" spans="1:10" s="136" customFormat="1" ht="15">
      <c r="A15" s="236">
        <v>12</v>
      </c>
      <c r="B15" s="220" t="s">
        <v>155</v>
      </c>
      <c r="C15" s="158">
        <v>38842</v>
      </c>
      <c r="D15" s="160" t="s">
        <v>24</v>
      </c>
      <c r="E15" s="157" t="s">
        <v>29</v>
      </c>
      <c r="F15" s="163">
        <v>173</v>
      </c>
      <c r="G15" s="159">
        <v>22</v>
      </c>
      <c r="H15" s="266">
        <v>2835204</v>
      </c>
      <c r="I15" s="295">
        <v>382203</v>
      </c>
      <c r="J15" s="184">
        <f>+H15/I15</f>
        <v>7.418057943030274</v>
      </c>
    </row>
    <row r="16" spans="1:10" s="136" customFormat="1" ht="15">
      <c r="A16" s="236">
        <v>13</v>
      </c>
      <c r="B16" s="220" t="s">
        <v>253</v>
      </c>
      <c r="C16" s="158">
        <v>38947</v>
      </c>
      <c r="D16" s="157" t="s">
        <v>365</v>
      </c>
      <c r="E16" s="157" t="s">
        <v>27</v>
      </c>
      <c r="F16" s="159">
        <v>106</v>
      </c>
      <c r="G16" s="159">
        <v>11</v>
      </c>
      <c r="H16" s="266">
        <f>851045+613251.5+405140+216081+124391+88721.5+33772.5+20268.5+9628+2255.5+1314.5</f>
        <v>2365869</v>
      </c>
      <c r="I16" s="295">
        <f>116878+84823+56865+31359+21609+17621+6633+4111+1582+390+233</f>
        <v>342104</v>
      </c>
      <c r="J16" s="184">
        <f>+H16/I16</f>
        <v>6.915642611603489</v>
      </c>
    </row>
    <row r="17" spans="1:12" s="136" customFormat="1" ht="15">
      <c r="A17" s="236">
        <v>14</v>
      </c>
      <c r="B17" s="220" t="s">
        <v>85</v>
      </c>
      <c r="C17" s="158">
        <v>38975</v>
      </c>
      <c r="D17" s="157" t="s">
        <v>24</v>
      </c>
      <c r="E17" s="157" t="s">
        <v>29</v>
      </c>
      <c r="F17" s="159">
        <v>125</v>
      </c>
      <c r="G17" s="159">
        <v>7</v>
      </c>
      <c r="H17" s="266">
        <v>2307523</v>
      </c>
      <c r="I17" s="295">
        <v>316348</v>
      </c>
      <c r="J17" s="184">
        <f>+H17/I17</f>
        <v>7.294255060882319</v>
      </c>
      <c r="L17" s="137"/>
    </row>
    <row r="18" spans="1:10" s="136" customFormat="1" ht="15">
      <c r="A18" s="236">
        <v>15</v>
      </c>
      <c r="B18" s="223" t="s">
        <v>250</v>
      </c>
      <c r="C18" s="158">
        <v>38807</v>
      </c>
      <c r="D18" s="166" t="s">
        <v>20</v>
      </c>
      <c r="E18" s="166" t="s">
        <v>21</v>
      </c>
      <c r="F18" s="167">
        <v>115</v>
      </c>
      <c r="G18" s="167" t="s">
        <v>126</v>
      </c>
      <c r="H18" s="266">
        <v>2090646</v>
      </c>
      <c r="I18" s="295">
        <v>291036</v>
      </c>
      <c r="J18" s="182">
        <v>7.183461839772399</v>
      </c>
    </row>
    <row r="19" spans="1:10" s="136" customFormat="1" ht="15">
      <c r="A19" s="236">
        <v>16</v>
      </c>
      <c r="B19" s="254" t="s">
        <v>132</v>
      </c>
      <c r="C19" s="161">
        <v>38891</v>
      </c>
      <c r="D19" s="162" t="s">
        <v>23</v>
      </c>
      <c r="E19" s="160" t="s">
        <v>200</v>
      </c>
      <c r="F19" s="163">
        <v>134</v>
      </c>
      <c r="G19" s="163">
        <v>17</v>
      </c>
      <c r="H19" s="267">
        <f>694435+438090+738+386149+151227+222+83617+45498.5+9253.5+24202+17725.5+1491+1259+14683+1059+2274+879+570+4694+145</f>
        <v>1878211.5</v>
      </c>
      <c r="I19" s="296">
        <f>90541+58080+141+50942+21691+24+14951+8904+1541+5005+3068+257+230+2034+180+440+142+120+638+29</f>
        <v>258958</v>
      </c>
      <c r="J19" s="183">
        <f>+H19/I19</f>
        <v>7.252958008634605</v>
      </c>
    </row>
    <row r="20" spans="1:10" s="136" customFormat="1" ht="15">
      <c r="A20" s="236">
        <v>17</v>
      </c>
      <c r="B20" s="220" t="s">
        <v>280</v>
      </c>
      <c r="C20" s="158">
        <v>38744</v>
      </c>
      <c r="D20" s="157" t="s">
        <v>24</v>
      </c>
      <c r="E20" s="157" t="s">
        <v>39</v>
      </c>
      <c r="F20" s="159">
        <v>71</v>
      </c>
      <c r="G20" s="159">
        <v>22</v>
      </c>
      <c r="H20" s="266">
        <v>1846426</v>
      </c>
      <c r="I20" s="295">
        <v>229233</v>
      </c>
      <c r="J20" s="182">
        <v>8.054800137851007</v>
      </c>
    </row>
    <row r="21" spans="1:10" s="136" customFormat="1" ht="15">
      <c r="A21" s="236">
        <v>18</v>
      </c>
      <c r="B21" s="221" t="s">
        <v>160</v>
      </c>
      <c r="C21" s="161">
        <v>38919</v>
      </c>
      <c r="D21" s="162" t="s">
        <v>23</v>
      </c>
      <c r="E21" s="160" t="s">
        <v>200</v>
      </c>
      <c r="F21" s="163">
        <v>149</v>
      </c>
      <c r="G21" s="163">
        <v>15</v>
      </c>
      <c r="H21" s="267">
        <f>897376+408049.5+50+255208.5+136337.5+71282-709+23040.5+14537.5+5314.5+2373.5+7479+2392+2457+538+609+364</f>
        <v>1826699.5</v>
      </c>
      <c r="I21" s="296">
        <f>113870+54028+2+35562+20586+13943-129+4903+3216+1273+810+1178+631+693+107+87+52</f>
        <v>250812</v>
      </c>
      <c r="J21" s="183">
        <f>+H21/I21</f>
        <v>7.283142353635392</v>
      </c>
    </row>
    <row r="22" spans="1:10" s="136" customFormat="1" ht="15">
      <c r="A22" s="236">
        <v>19</v>
      </c>
      <c r="B22" s="221" t="s">
        <v>300</v>
      </c>
      <c r="C22" s="161">
        <v>38982</v>
      </c>
      <c r="D22" s="162" t="s">
        <v>23</v>
      </c>
      <c r="E22" s="160" t="s">
        <v>30</v>
      </c>
      <c r="F22" s="163">
        <v>76</v>
      </c>
      <c r="G22" s="163">
        <v>6</v>
      </c>
      <c r="H22" s="267">
        <f>679462.5+497450+349816.5+242953+16589+14009</f>
        <v>1800280</v>
      </c>
      <c r="I22" s="296">
        <f>80488+59596+43676+30739+3788+3019</f>
        <v>221306</v>
      </c>
      <c r="J22" s="183">
        <f>+H22/I22</f>
        <v>8.13479977949084</v>
      </c>
    </row>
    <row r="23" spans="1:10" s="136" customFormat="1" ht="15">
      <c r="A23" s="236">
        <v>20</v>
      </c>
      <c r="B23" s="220" t="s">
        <v>6</v>
      </c>
      <c r="C23" s="158">
        <v>38793</v>
      </c>
      <c r="D23" s="157" t="s">
        <v>24</v>
      </c>
      <c r="E23" s="157" t="s">
        <v>25</v>
      </c>
      <c r="F23" s="159">
        <v>129</v>
      </c>
      <c r="G23" s="159">
        <v>17</v>
      </c>
      <c r="H23" s="266">
        <v>1788368</v>
      </c>
      <c r="I23" s="295">
        <v>272227</v>
      </c>
      <c r="J23" s="182">
        <v>6.569399802370816</v>
      </c>
    </row>
    <row r="24" spans="1:10" s="136" customFormat="1" ht="15">
      <c r="A24" s="236">
        <v>21</v>
      </c>
      <c r="B24" s="220" t="s">
        <v>112</v>
      </c>
      <c r="C24" s="158">
        <v>38863</v>
      </c>
      <c r="D24" s="157" t="s">
        <v>26</v>
      </c>
      <c r="E24" s="157" t="s">
        <v>27</v>
      </c>
      <c r="F24" s="159">
        <v>61</v>
      </c>
      <c r="G24" s="159">
        <v>15</v>
      </c>
      <c r="H24" s="266">
        <v>1659711.5</v>
      </c>
      <c r="I24" s="295">
        <v>226474</v>
      </c>
      <c r="J24" s="182">
        <v>7.32848583060307</v>
      </c>
    </row>
    <row r="25" spans="1:10" s="136" customFormat="1" ht="15">
      <c r="A25" s="236">
        <v>22</v>
      </c>
      <c r="B25" s="221" t="s">
        <v>171</v>
      </c>
      <c r="C25" s="161">
        <v>38933</v>
      </c>
      <c r="D25" s="162" t="s">
        <v>23</v>
      </c>
      <c r="E25" s="160" t="s">
        <v>200</v>
      </c>
      <c r="F25" s="163">
        <v>55</v>
      </c>
      <c r="G25" s="163">
        <v>13</v>
      </c>
      <c r="H25" s="267">
        <f>561160.5+368980.5+233734.5+154031+131267.5+122+86655+51837+8.5+24632+17449+11651+7302+553+326</f>
        <v>1649709.5</v>
      </c>
      <c r="I25" s="296">
        <f>65355+44972+28905+21259+18678+12+13773+7814+1+4063+3139+2371+1759+71+42</f>
        <v>212214</v>
      </c>
      <c r="J25" s="183">
        <f>+H25/I25</f>
        <v>7.773801445710462</v>
      </c>
    </row>
    <row r="26" spans="1:10" s="136" customFormat="1" ht="15">
      <c r="A26" s="236">
        <v>23</v>
      </c>
      <c r="B26" s="221" t="s">
        <v>193</v>
      </c>
      <c r="C26" s="161">
        <v>38786</v>
      </c>
      <c r="D26" s="162" t="s">
        <v>23</v>
      </c>
      <c r="E26" s="160" t="s">
        <v>30</v>
      </c>
      <c r="F26" s="163">
        <v>88</v>
      </c>
      <c r="G26" s="163">
        <v>13</v>
      </c>
      <c r="H26" s="269">
        <v>1611244.5</v>
      </c>
      <c r="I26" s="297">
        <v>231494</v>
      </c>
      <c r="J26" s="182">
        <v>6.960199832393065</v>
      </c>
    </row>
    <row r="27" spans="1:10" s="136" customFormat="1" ht="15">
      <c r="A27" s="236">
        <v>24</v>
      </c>
      <c r="B27" s="220" t="s">
        <v>252</v>
      </c>
      <c r="C27" s="158">
        <v>38926</v>
      </c>
      <c r="D27" s="157" t="s">
        <v>24</v>
      </c>
      <c r="E27" s="157" t="s">
        <v>34</v>
      </c>
      <c r="F27" s="159">
        <v>84</v>
      </c>
      <c r="G27" s="159">
        <v>14</v>
      </c>
      <c r="H27" s="266">
        <v>1606101</v>
      </c>
      <c r="I27" s="295">
        <v>231604</v>
      </c>
      <c r="J27" s="184">
        <f>+H27/I27</f>
        <v>6.934685929431271</v>
      </c>
    </row>
    <row r="28" spans="1:10" s="136" customFormat="1" ht="15">
      <c r="A28" s="236">
        <v>25</v>
      </c>
      <c r="B28" s="221" t="s">
        <v>216</v>
      </c>
      <c r="C28" s="161">
        <v>38947</v>
      </c>
      <c r="D28" s="162" t="s">
        <v>23</v>
      </c>
      <c r="E28" s="160" t="s">
        <v>48</v>
      </c>
      <c r="F28" s="163">
        <v>50</v>
      </c>
      <c r="G28" s="163">
        <v>11</v>
      </c>
      <c r="H28" s="267">
        <f>406988+393530+256319+151102.5+125263+75536+57739-285+31596+37184+1068+640</f>
        <v>1536680.5</v>
      </c>
      <c r="I28" s="296">
        <f>47196+45633+29898+18037+15404+9535+7932-68+4177+4809+147+86</f>
        <v>182786</v>
      </c>
      <c r="J28" s="183">
        <f>+H28/I28</f>
        <v>8.406992329828324</v>
      </c>
    </row>
    <row r="29" spans="1:10" s="136" customFormat="1" ht="15">
      <c r="A29" s="236">
        <v>26</v>
      </c>
      <c r="B29" s="220" t="s">
        <v>256</v>
      </c>
      <c r="C29" s="158">
        <v>38874</v>
      </c>
      <c r="D29" s="160" t="s">
        <v>26</v>
      </c>
      <c r="E29" s="157" t="s">
        <v>27</v>
      </c>
      <c r="F29" s="163">
        <v>66</v>
      </c>
      <c r="G29" s="159">
        <v>13</v>
      </c>
      <c r="H29" s="266">
        <f>298281+498557+283775.5+118453+85103+72332.5+39742.5+13388+10412.5+3447+1485.5+794+348+246</f>
        <v>1426365.5</v>
      </c>
      <c r="I29" s="295">
        <f>42602+67227+38732+16300+14294+12524+8012+2616+2215+731+318+177+87+61</f>
        <v>205896</v>
      </c>
      <c r="J29" s="183">
        <f>+H29/I29</f>
        <v>6.927601798966468</v>
      </c>
    </row>
    <row r="30" spans="1:10" s="136" customFormat="1" ht="15">
      <c r="A30" s="236">
        <v>27</v>
      </c>
      <c r="B30" s="220" t="s">
        <v>70</v>
      </c>
      <c r="C30" s="158">
        <v>38751</v>
      </c>
      <c r="D30" s="157" t="s">
        <v>24</v>
      </c>
      <c r="E30" s="157" t="s">
        <v>34</v>
      </c>
      <c r="F30" s="159">
        <v>51</v>
      </c>
      <c r="G30" s="159">
        <v>27</v>
      </c>
      <c r="H30" s="266">
        <v>1342328</v>
      </c>
      <c r="I30" s="295">
        <v>176030</v>
      </c>
      <c r="J30" s="182">
        <v>7.625563824348123</v>
      </c>
    </row>
    <row r="31" spans="1:10" s="136" customFormat="1" ht="15">
      <c r="A31" s="236">
        <v>28</v>
      </c>
      <c r="B31" s="221" t="s">
        <v>281</v>
      </c>
      <c r="C31" s="161">
        <v>38758</v>
      </c>
      <c r="D31" s="162" t="s">
        <v>23</v>
      </c>
      <c r="E31" s="160" t="s">
        <v>30</v>
      </c>
      <c r="F31" s="163">
        <v>61</v>
      </c>
      <c r="G31" s="163">
        <v>18</v>
      </c>
      <c r="H31" s="269">
        <v>1297959.5</v>
      </c>
      <c r="I31" s="297">
        <v>159660</v>
      </c>
      <c r="J31" s="182">
        <v>8.12952210948265</v>
      </c>
    </row>
    <row r="32" spans="1:10" s="136" customFormat="1" ht="15">
      <c r="A32" s="236">
        <v>29</v>
      </c>
      <c r="B32" s="220" t="s">
        <v>370</v>
      </c>
      <c r="C32" s="158">
        <v>38933</v>
      </c>
      <c r="D32" s="157" t="s">
        <v>24</v>
      </c>
      <c r="E32" s="157" t="s">
        <v>29</v>
      </c>
      <c r="F32" s="159">
        <v>103</v>
      </c>
      <c r="G32" s="159">
        <v>13</v>
      </c>
      <c r="H32" s="266">
        <v>1191949</v>
      </c>
      <c r="I32" s="295">
        <v>175956</v>
      </c>
      <c r="J32" s="184">
        <f>+H32/I32</f>
        <v>6.77413103275819</v>
      </c>
    </row>
    <row r="33" spans="1:10" s="136" customFormat="1" ht="15">
      <c r="A33" s="236">
        <v>30</v>
      </c>
      <c r="B33" s="221" t="s">
        <v>194</v>
      </c>
      <c r="C33" s="161">
        <v>38730</v>
      </c>
      <c r="D33" s="162" t="s">
        <v>23</v>
      </c>
      <c r="E33" s="160" t="s">
        <v>200</v>
      </c>
      <c r="F33" s="163">
        <v>62</v>
      </c>
      <c r="G33" s="163">
        <v>19</v>
      </c>
      <c r="H33" s="269">
        <v>1185878.5</v>
      </c>
      <c r="I33" s="297">
        <v>139650</v>
      </c>
      <c r="J33" s="182">
        <v>8.491790189760115</v>
      </c>
    </row>
    <row r="34" spans="1:10" s="136" customFormat="1" ht="15">
      <c r="A34" s="236">
        <v>31</v>
      </c>
      <c r="B34" s="255" t="s">
        <v>17</v>
      </c>
      <c r="C34" s="247">
        <v>38800</v>
      </c>
      <c r="D34" s="246" t="s">
        <v>26</v>
      </c>
      <c r="E34" s="246" t="s">
        <v>27</v>
      </c>
      <c r="F34" s="248">
        <v>92</v>
      </c>
      <c r="G34" s="248">
        <v>19</v>
      </c>
      <c r="H34" s="270">
        <f>481751.5+308419.5+242119.5+52953+38471.5+16408.5+18127+1517+5096+60+3053+445.5+482+889+3926+253+277+3575+1310</f>
        <v>1179134</v>
      </c>
      <c r="I34" s="298">
        <f>67910+40806+32344+8727+9142+4213+4473+313+1639+13+1011+76+110+151+1151+49+51+867+328</f>
        <v>173374</v>
      </c>
      <c r="J34" s="183">
        <f>+H34/I34</f>
        <v>6.801100511033949</v>
      </c>
    </row>
    <row r="35" spans="1:10" s="136" customFormat="1" ht="15">
      <c r="A35" s="236">
        <v>32</v>
      </c>
      <c r="B35" s="221" t="s">
        <v>282</v>
      </c>
      <c r="C35" s="161">
        <v>38737</v>
      </c>
      <c r="D35" s="162" t="s">
        <v>23</v>
      </c>
      <c r="E35" s="160" t="s">
        <v>30</v>
      </c>
      <c r="F35" s="163">
        <v>59</v>
      </c>
      <c r="G35" s="163">
        <v>15</v>
      </c>
      <c r="H35" s="269">
        <v>1173567.5</v>
      </c>
      <c r="I35" s="297">
        <v>169926</v>
      </c>
      <c r="J35" s="182">
        <v>6.906344526440922</v>
      </c>
    </row>
    <row r="36" spans="1:10" s="136" customFormat="1" ht="15">
      <c r="A36" s="236">
        <v>33</v>
      </c>
      <c r="B36" s="220" t="s">
        <v>257</v>
      </c>
      <c r="C36" s="158">
        <v>38961</v>
      </c>
      <c r="D36" s="157" t="s">
        <v>24</v>
      </c>
      <c r="E36" s="157" t="s">
        <v>34</v>
      </c>
      <c r="F36" s="159">
        <v>125</v>
      </c>
      <c r="G36" s="159">
        <v>8</v>
      </c>
      <c r="H36" s="266">
        <v>1157253</v>
      </c>
      <c r="I36" s="295">
        <v>142436</v>
      </c>
      <c r="J36" s="184">
        <f>+H36/I36</f>
        <v>8.124722682467915</v>
      </c>
    </row>
    <row r="37" spans="1:10" s="136" customFormat="1" ht="15">
      <c r="A37" s="236">
        <v>34</v>
      </c>
      <c r="B37" s="220" t="s">
        <v>72</v>
      </c>
      <c r="C37" s="158">
        <v>38856</v>
      </c>
      <c r="D37" s="157" t="s">
        <v>24</v>
      </c>
      <c r="E37" s="157" t="s">
        <v>128</v>
      </c>
      <c r="F37" s="159">
        <v>160</v>
      </c>
      <c r="G37" s="159">
        <v>17</v>
      </c>
      <c r="H37" s="266">
        <v>1154498</v>
      </c>
      <c r="I37" s="295">
        <v>180320</v>
      </c>
      <c r="J37" s="182">
        <v>6.402495563442768</v>
      </c>
    </row>
    <row r="38" spans="1:10" s="136" customFormat="1" ht="15">
      <c r="A38" s="236">
        <v>35</v>
      </c>
      <c r="B38" s="221" t="s">
        <v>283</v>
      </c>
      <c r="C38" s="161">
        <v>38772</v>
      </c>
      <c r="D38" s="162" t="s">
        <v>23</v>
      </c>
      <c r="E38" s="160" t="s">
        <v>36</v>
      </c>
      <c r="F38" s="163">
        <v>83</v>
      </c>
      <c r="G38" s="163">
        <v>12</v>
      </c>
      <c r="H38" s="269">
        <v>1101700.5</v>
      </c>
      <c r="I38" s="297">
        <v>145473</v>
      </c>
      <c r="J38" s="182">
        <v>7.5732300839331</v>
      </c>
    </row>
    <row r="39" spans="1:10" s="136" customFormat="1" ht="15">
      <c r="A39" s="236">
        <v>36</v>
      </c>
      <c r="B39" s="239" t="s">
        <v>202</v>
      </c>
      <c r="C39" s="161">
        <v>38779</v>
      </c>
      <c r="D39" s="168" t="s">
        <v>23</v>
      </c>
      <c r="E39" s="168" t="s">
        <v>30</v>
      </c>
      <c r="F39" s="169">
        <v>96</v>
      </c>
      <c r="G39" s="169">
        <v>14</v>
      </c>
      <c r="H39" s="269">
        <v>1090131</v>
      </c>
      <c r="I39" s="297">
        <v>144526</v>
      </c>
      <c r="J39" s="182">
        <v>7.542801987185697</v>
      </c>
    </row>
    <row r="40" spans="1:10" s="136" customFormat="1" ht="15">
      <c r="A40" s="236">
        <v>37</v>
      </c>
      <c r="B40" s="221" t="s">
        <v>43</v>
      </c>
      <c r="C40" s="161">
        <v>38814</v>
      </c>
      <c r="D40" s="160" t="s">
        <v>23</v>
      </c>
      <c r="E40" s="160" t="s">
        <v>44</v>
      </c>
      <c r="F40" s="163">
        <v>124</v>
      </c>
      <c r="G40" s="163">
        <v>24</v>
      </c>
      <c r="H40" s="269">
        <v>1058130.5</v>
      </c>
      <c r="I40" s="297">
        <v>173112</v>
      </c>
      <c r="J40" s="182">
        <v>6.112404108322934</v>
      </c>
    </row>
    <row r="41" spans="1:10" s="136" customFormat="1" ht="15">
      <c r="A41" s="236">
        <v>38</v>
      </c>
      <c r="B41" s="220" t="s">
        <v>207</v>
      </c>
      <c r="C41" s="158">
        <v>38821</v>
      </c>
      <c r="D41" s="157" t="s">
        <v>24</v>
      </c>
      <c r="E41" s="157" t="s">
        <v>225</v>
      </c>
      <c r="F41" s="159">
        <v>94</v>
      </c>
      <c r="G41" s="159">
        <v>21</v>
      </c>
      <c r="H41" s="266">
        <v>1011677</v>
      </c>
      <c r="I41" s="295">
        <v>149917</v>
      </c>
      <c r="J41" s="182">
        <v>6.748247363541159</v>
      </c>
    </row>
    <row r="42" spans="1:10" s="136" customFormat="1" ht="15">
      <c r="A42" s="236">
        <v>39</v>
      </c>
      <c r="B42" s="220" t="s">
        <v>58</v>
      </c>
      <c r="C42" s="158">
        <v>38835</v>
      </c>
      <c r="D42" s="157" t="s">
        <v>24</v>
      </c>
      <c r="E42" s="157" t="s">
        <v>34</v>
      </c>
      <c r="F42" s="159">
        <v>71</v>
      </c>
      <c r="G42" s="159">
        <v>20</v>
      </c>
      <c r="H42" s="266">
        <v>1010043</v>
      </c>
      <c r="I42" s="295">
        <v>125085</v>
      </c>
      <c r="J42" s="182">
        <v>8.07485309989207</v>
      </c>
    </row>
    <row r="43" spans="1:10" s="136" customFormat="1" ht="15">
      <c r="A43" s="236">
        <v>40</v>
      </c>
      <c r="B43" s="220" t="s">
        <v>3</v>
      </c>
      <c r="C43" s="158">
        <v>38779</v>
      </c>
      <c r="D43" s="157" t="s">
        <v>24</v>
      </c>
      <c r="E43" s="157" t="s">
        <v>29</v>
      </c>
      <c r="F43" s="159">
        <v>72</v>
      </c>
      <c r="G43" s="159">
        <v>25</v>
      </c>
      <c r="H43" s="266">
        <v>976039</v>
      </c>
      <c r="I43" s="295">
        <v>145485</v>
      </c>
      <c r="J43" s="182">
        <v>6.70886345671375</v>
      </c>
    </row>
    <row r="44" spans="1:10" s="136" customFormat="1" ht="15">
      <c r="A44" s="236">
        <v>41</v>
      </c>
      <c r="B44" s="220" t="s">
        <v>59</v>
      </c>
      <c r="C44" s="158">
        <v>38835</v>
      </c>
      <c r="D44" s="157" t="s">
        <v>26</v>
      </c>
      <c r="E44" s="157" t="s">
        <v>65</v>
      </c>
      <c r="F44" s="159">
        <v>65</v>
      </c>
      <c r="G44" s="159">
        <v>18</v>
      </c>
      <c r="H44" s="266">
        <v>955822</v>
      </c>
      <c r="I44" s="295">
        <v>141483</v>
      </c>
      <c r="J44" s="182">
        <v>6.755737438420163</v>
      </c>
    </row>
    <row r="45" spans="1:10" s="136" customFormat="1" ht="15">
      <c r="A45" s="236">
        <v>42</v>
      </c>
      <c r="B45" s="220" t="s">
        <v>284</v>
      </c>
      <c r="C45" s="158">
        <v>38737</v>
      </c>
      <c r="D45" s="157" t="s">
        <v>26</v>
      </c>
      <c r="E45" s="157" t="s">
        <v>38</v>
      </c>
      <c r="F45" s="159">
        <v>43</v>
      </c>
      <c r="G45" s="159">
        <v>20</v>
      </c>
      <c r="H45" s="266">
        <v>942248.5</v>
      </c>
      <c r="I45" s="295">
        <v>125959</v>
      </c>
      <c r="J45" s="182">
        <v>7.4805968608833044</v>
      </c>
    </row>
    <row r="46" spans="1:10" s="136" customFormat="1" ht="15">
      <c r="A46" s="236">
        <v>43</v>
      </c>
      <c r="B46" s="221" t="s">
        <v>86</v>
      </c>
      <c r="C46" s="161">
        <v>38975</v>
      </c>
      <c r="D46" s="162" t="s">
        <v>23</v>
      </c>
      <c r="E46" s="160" t="s">
        <v>200</v>
      </c>
      <c r="F46" s="163">
        <v>83</v>
      </c>
      <c r="G46" s="163">
        <v>6</v>
      </c>
      <c r="H46" s="267">
        <f>470908.5+232549+157351.5+37292.5+29389+878</f>
        <v>928368.5</v>
      </c>
      <c r="I46" s="296">
        <f>56842+28533+19837+6237+5640+89</f>
        <v>117178</v>
      </c>
      <c r="J46" s="183">
        <f>+H46/I46</f>
        <v>7.922720135178959</v>
      </c>
    </row>
    <row r="47" spans="1:10" s="136" customFormat="1" ht="15">
      <c r="A47" s="236">
        <v>44</v>
      </c>
      <c r="B47" s="220" t="s">
        <v>261</v>
      </c>
      <c r="C47" s="158">
        <v>38954</v>
      </c>
      <c r="D47" s="157" t="s">
        <v>24</v>
      </c>
      <c r="E47" s="157" t="s">
        <v>232</v>
      </c>
      <c r="F47" s="159">
        <v>103</v>
      </c>
      <c r="G47" s="159">
        <v>10</v>
      </c>
      <c r="H47" s="266">
        <v>906686</v>
      </c>
      <c r="I47" s="295">
        <v>125059</v>
      </c>
      <c r="J47" s="184">
        <f>+H47/I47</f>
        <v>7.250065968862697</v>
      </c>
    </row>
    <row r="48" spans="1:10" s="136" customFormat="1" ht="15">
      <c r="A48" s="236">
        <v>45</v>
      </c>
      <c r="B48" s="221" t="s">
        <v>22</v>
      </c>
      <c r="C48" s="161">
        <v>38807</v>
      </c>
      <c r="D48" s="162" t="s">
        <v>23</v>
      </c>
      <c r="E48" s="160" t="s">
        <v>200</v>
      </c>
      <c r="F48" s="163">
        <v>77</v>
      </c>
      <c r="G48" s="163">
        <v>14</v>
      </c>
      <c r="H48" s="269">
        <v>890343</v>
      </c>
      <c r="I48" s="297">
        <v>122901</v>
      </c>
      <c r="J48" s="182">
        <v>7.24439182756853</v>
      </c>
    </row>
    <row r="49" spans="1:10" s="136" customFormat="1" ht="15">
      <c r="A49" s="236">
        <v>46</v>
      </c>
      <c r="B49" s="221" t="s">
        <v>338</v>
      </c>
      <c r="C49" s="161">
        <v>39010</v>
      </c>
      <c r="D49" s="162" t="s">
        <v>23</v>
      </c>
      <c r="E49" s="160" t="s">
        <v>48</v>
      </c>
      <c r="F49" s="163">
        <v>95</v>
      </c>
      <c r="G49" s="163">
        <v>2</v>
      </c>
      <c r="H49" s="267">
        <f>571702+317534</f>
        <v>889236</v>
      </c>
      <c r="I49" s="296">
        <f>73412+43028</f>
        <v>116440</v>
      </c>
      <c r="J49" s="183">
        <f>+H49/I49</f>
        <v>7.636860185503264</v>
      </c>
    </row>
    <row r="50" spans="1:10" s="136" customFormat="1" ht="15">
      <c r="A50" s="236">
        <v>47</v>
      </c>
      <c r="B50" s="254" t="s">
        <v>14</v>
      </c>
      <c r="C50" s="161">
        <v>38800</v>
      </c>
      <c r="D50" s="160" t="s">
        <v>7</v>
      </c>
      <c r="E50" s="160" t="s">
        <v>46</v>
      </c>
      <c r="F50" s="163">
        <v>58</v>
      </c>
      <c r="G50" s="163">
        <v>24</v>
      </c>
      <c r="H50" s="271">
        <f>350945.5+222517.5+139156.5+40897.5+38142.5+25481.5+16036.5+2540+5715.5+4760+5176+3952+1523+1314+3068+3142.5+1229.5+841.5+1265+1460.5+204+135+389+416</f>
        <v>870309</v>
      </c>
      <c r="I50" s="299">
        <f>46256+31606+20219+8293+8608+6050+3760+524+1828+885+1287+758+233+204+640+566+226+133+179+273+34+45+88+98</f>
        <v>132793</v>
      </c>
      <c r="J50" s="184">
        <f>IF(H50&lt;&gt;0,H50/I50,"")</f>
        <v>6.553877086894641</v>
      </c>
    </row>
    <row r="51" spans="1:10" s="134" customFormat="1" ht="15">
      <c r="A51" s="236">
        <v>48</v>
      </c>
      <c r="B51" s="220" t="s">
        <v>321</v>
      </c>
      <c r="C51" s="158">
        <v>38996</v>
      </c>
      <c r="D51" s="157" t="s">
        <v>365</v>
      </c>
      <c r="E51" s="157" t="s">
        <v>27</v>
      </c>
      <c r="F51" s="159">
        <v>35</v>
      </c>
      <c r="G51" s="159">
        <v>4</v>
      </c>
      <c r="H51" s="266">
        <f>384046.5+313718.5+119118.5+36607</f>
        <v>853490.5</v>
      </c>
      <c r="I51" s="295">
        <f>39714+29697+11825+4164</f>
        <v>85400</v>
      </c>
      <c r="J51" s="184">
        <f>+H51/I51</f>
        <v>9.994033957845433</v>
      </c>
    </row>
    <row r="52" spans="1:10" s="134" customFormat="1" ht="15">
      <c r="A52" s="236">
        <v>49</v>
      </c>
      <c r="B52" s="220" t="s">
        <v>71</v>
      </c>
      <c r="C52" s="158">
        <v>38772</v>
      </c>
      <c r="D52" s="157" t="s">
        <v>24</v>
      </c>
      <c r="E52" s="157" t="s">
        <v>34</v>
      </c>
      <c r="F52" s="159">
        <v>116</v>
      </c>
      <c r="G52" s="159">
        <v>28</v>
      </c>
      <c r="H52" s="266">
        <v>829714</v>
      </c>
      <c r="I52" s="295">
        <v>110187</v>
      </c>
      <c r="J52" s="182">
        <v>7.530053454581757</v>
      </c>
    </row>
    <row r="53" spans="1:10" s="134" customFormat="1" ht="15">
      <c r="A53" s="236">
        <v>50</v>
      </c>
      <c r="B53" s="220" t="s">
        <v>339</v>
      </c>
      <c r="C53" s="158">
        <v>39010</v>
      </c>
      <c r="D53" s="157" t="s">
        <v>24</v>
      </c>
      <c r="E53" s="157" t="s">
        <v>34</v>
      </c>
      <c r="F53" s="159">
        <v>106</v>
      </c>
      <c r="G53" s="159">
        <v>2</v>
      </c>
      <c r="H53" s="266">
        <v>817693</v>
      </c>
      <c r="I53" s="295">
        <v>101881</v>
      </c>
      <c r="J53" s="184">
        <f>+H53/I53</f>
        <v>8.0259616611537</v>
      </c>
    </row>
    <row r="54" spans="1:10" s="134" customFormat="1" ht="15">
      <c r="A54" s="236">
        <v>51</v>
      </c>
      <c r="B54" s="255" t="s">
        <v>209</v>
      </c>
      <c r="C54" s="247">
        <v>38940</v>
      </c>
      <c r="D54" s="246" t="s">
        <v>24</v>
      </c>
      <c r="E54" s="246" t="s">
        <v>34</v>
      </c>
      <c r="F54" s="248">
        <v>80</v>
      </c>
      <c r="G54" s="248">
        <v>10</v>
      </c>
      <c r="H54" s="268">
        <v>793769</v>
      </c>
      <c r="I54" s="300">
        <v>94188</v>
      </c>
      <c r="J54" s="183">
        <f>+H54/I54</f>
        <v>8.427496071686415</v>
      </c>
    </row>
    <row r="55" spans="1:10" s="134" customFormat="1" ht="15">
      <c r="A55" s="236">
        <v>52</v>
      </c>
      <c r="B55" s="221" t="s">
        <v>231</v>
      </c>
      <c r="C55" s="161">
        <v>38961</v>
      </c>
      <c r="D55" s="162" t="s">
        <v>23</v>
      </c>
      <c r="E55" s="160" t="s">
        <v>48</v>
      </c>
      <c r="F55" s="163">
        <v>55</v>
      </c>
      <c r="G55" s="163">
        <v>9</v>
      </c>
      <c r="H55" s="267">
        <f>350490.5+214970.5+120637.5+51795+27364+13326.5+8306+2127+1217</f>
        <v>790234</v>
      </c>
      <c r="I55" s="296">
        <f>43078+26636+15215+7802+4825+2249+1242+291+305</f>
        <v>101643</v>
      </c>
      <c r="J55" s="183">
        <f>+H55/I55</f>
        <v>7.774603268301801</v>
      </c>
    </row>
    <row r="56" spans="1:10" s="134" customFormat="1" ht="15">
      <c r="A56" s="236">
        <v>53</v>
      </c>
      <c r="B56" s="221" t="s">
        <v>52</v>
      </c>
      <c r="C56" s="161">
        <v>38828</v>
      </c>
      <c r="D56" s="162" t="s">
        <v>23</v>
      </c>
      <c r="E56" s="160" t="s">
        <v>36</v>
      </c>
      <c r="F56" s="163">
        <v>59</v>
      </c>
      <c r="G56" s="163">
        <v>15</v>
      </c>
      <c r="H56" s="269">
        <v>772669.5</v>
      </c>
      <c r="I56" s="297">
        <v>99275</v>
      </c>
      <c r="J56" s="182">
        <v>7.78312263913372</v>
      </c>
    </row>
    <row r="57" spans="1:10" s="136" customFormat="1" ht="15">
      <c r="A57" s="236">
        <v>54</v>
      </c>
      <c r="B57" s="221" t="s">
        <v>285</v>
      </c>
      <c r="C57" s="161">
        <v>38793</v>
      </c>
      <c r="D57" s="162" t="s">
        <v>23</v>
      </c>
      <c r="E57" s="160" t="s">
        <v>200</v>
      </c>
      <c r="F57" s="163">
        <v>61</v>
      </c>
      <c r="G57" s="163">
        <v>14</v>
      </c>
      <c r="H57" s="269">
        <v>738169.25</v>
      </c>
      <c r="I57" s="297">
        <v>93206</v>
      </c>
      <c r="J57" s="182">
        <v>7.919761066884108</v>
      </c>
    </row>
    <row r="58" spans="1:10" s="136" customFormat="1" ht="15">
      <c r="A58" s="236">
        <v>55</v>
      </c>
      <c r="B58" s="221" t="s">
        <v>251</v>
      </c>
      <c r="C58" s="161">
        <v>38765</v>
      </c>
      <c r="D58" s="162" t="s">
        <v>23</v>
      </c>
      <c r="E58" s="160" t="s">
        <v>35</v>
      </c>
      <c r="F58" s="163">
        <v>23</v>
      </c>
      <c r="G58" s="163">
        <v>18</v>
      </c>
      <c r="H58" s="269">
        <v>737932.5</v>
      </c>
      <c r="I58" s="297">
        <v>84920</v>
      </c>
      <c r="J58" s="182">
        <v>8.689737399905791</v>
      </c>
    </row>
    <row r="59" spans="1:10" s="136" customFormat="1" ht="15">
      <c r="A59" s="236">
        <v>56</v>
      </c>
      <c r="B59" s="223" t="s">
        <v>322</v>
      </c>
      <c r="C59" s="309">
        <v>38996</v>
      </c>
      <c r="D59" s="166" t="s">
        <v>76</v>
      </c>
      <c r="E59" s="166" t="s">
        <v>341</v>
      </c>
      <c r="F59" s="170">
        <v>103</v>
      </c>
      <c r="G59" s="170">
        <v>4</v>
      </c>
      <c r="H59" s="266">
        <f>354012+203593.5+132699+47076</f>
        <v>737380.5</v>
      </c>
      <c r="I59" s="295">
        <f>50571+28658+22282+8309</f>
        <v>109820</v>
      </c>
      <c r="J59" s="183">
        <f>+H59/I59</f>
        <v>6.714446366782007</v>
      </c>
    </row>
    <row r="60" spans="1:10" s="136" customFormat="1" ht="15">
      <c r="A60" s="236">
        <v>57</v>
      </c>
      <c r="B60" s="255" t="s">
        <v>119</v>
      </c>
      <c r="C60" s="247">
        <v>38877</v>
      </c>
      <c r="D60" s="246" t="s">
        <v>24</v>
      </c>
      <c r="E60" s="246" t="s">
        <v>29</v>
      </c>
      <c r="F60" s="248">
        <v>60</v>
      </c>
      <c r="G60" s="248">
        <v>17</v>
      </c>
      <c r="H60" s="268">
        <v>651071</v>
      </c>
      <c r="I60" s="300">
        <v>83506</v>
      </c>
      <c r="J60" s="183">
        <f>+H60/I60</f>
        <v>7.796697243311858</v>
      </c>
    </row>
    <row r="61" spans="1:10" s="136" customFormat="1" ht="15">
      <c r="A61" s="236">
        <v>58</v>
      </c>
      <c r="B61" s="220" t="s">
        <v>323</v>
      </c>
      <c r="C61" s="158">
        <v>38996</v>
      </c>
      <c r="D61" s="157" t="s">
        <v>24</v>
      </c>
      <c r="E61" s="157" t="s">
        <v>34</v>
      </c>
      <c r="F61" s="159">
        <v>76</v>
      </c>
      <c r="G61" s="159">
        <v>4</v>
      </c>
      <c r="H61" s="266">
        <v>642462</v>
      </c>
      <c r="I61" s="295">
        <v>70088</v>
      </c>
      <c r="J61" s="184">
        <f>+H61/I61</f>
        <v>9.166504965186622</v>
      </c>
    </row>
    <row r="62" spans="1:10" s="136" customFormat="1" ht="15">
      <c r="A62" s="236">
        <v>59</v>
      </c>
      <c r="B62" s="220" t="s">
        <v>53</v>
      </c>
      <c r="C62" s="158">
        <v>38828</v>
      </c>
      <c r="D62" s="157" t="s">
        <v>26</v>
      </c>
      <c r="E62" s="157" t="s">
        <v>38</v>
      </c>
      <c r="F62" s="159">
        <v>43</v>
      </c>
      <c r="G62" s="159">
        <v>20</v>
      </c>
      <c r="H62" s="266">
        <v>629792</v>
      </c>
      <c r="I62" s="295">
        <v>99002</v>
      </c>
      <c r="J62" s="182">
        <v>6.3614068402658495</v>
      </c>
    </row>
    <row r="63" spans="1:10" s="136" customFormat="1" ht="15">
      <c r="A63" s="236">
        <v>60</v>
      </c>
      <c r="B63" s="223" t="s">
        <v>111</v>
      </c>
      <c r="C63" s="309">
        <v>38863</v>
      </c>
      <c r="D63" s="166" t="s">
        <v>76</v>
      </c>
      <c r="E63" s="166" t="s">
        <v>229</v>
      </c>
      <c r="F63" s="170">
        <v>35</v>
      </c>
      <c r="G63" s="170">
        <v>22</v>
      </c>
      <c r="H63" s="266">
        <f>149883.5+135641.5+82301.5+72589.5+39819+39540+36570.5+16522+7667.5+7505+3512+4803+1880+716+4840+2288+337.5+291+2062+303+1509+197</f>
        <v>610778.5</v>
      </c>
      <c r="I63" s="295">
        <f>19608+17668+11309+10378+6088+6513+6684+3212+1345+1482+722+1193+358+130+881+616+56+49+654+101+267+49</f>
        <v>89363</v>
      </c>
      <c r="J63" s="183">
        <f>+H63/I63</f>
        <v>6.834802994527936</v>
      </c>
    </row>
    <row r="64" spans="1:10" s="136" customFormat="1" ht="15">
      <c r="A64" s="236">
        <v>61</v>
      </c>
      <c r="B64" s="221" t="s">
        <v>331</v>
      </c>
      <c r="C64" s="161">
        <v>39003</v>
      </c>
      <c r="D64" s="162" t="s">
        <v>23</v>
      </c>
      <c r="E64" s="160" t="s">
        <v>68</v>
      </c>
      <c r="F64" s="163">
        <v>50</v>
      </c>
      <c r="G64" s="163">
        <v>3</v>
      </c>
      <c r="H64" s="267">
        <f>311061+248226+43833</f>
        <v>603120</v>
      </c>
      <c r="I64" s="296">
        <f>36791+29658+6174</f>
        <v>72623</v>
      </c>
      <c r="J64" s="183">
        <f>+H64/I64</f>
        <v>8.30480701706071</v>
      </c>
    </row>
    <row r="65" spans="1:10" s="136" customFormat="1" ht="15">
      <c r="A65" s="236">
        <v>62</v>
      </c>
      <c r="B65" s="220" t="s">
        <v>315</v>
      </c>
      <c r="C65" s="158">
        <v>38989</v>
      </c>
      <c r="D65" s="157" t="s">
        <v>24</v>
      </c>
      <c r="E65" s="157" t="s">
        <v>37</v>
      </c>
      <c r="F65" s="159">
        <v>85</v>
      </c>
      <c r="G65" s="159">
        <v>5</v>
      </c>
      <c r="H65" s="266">
        <v>598536</v>
      </c>
      <c r="I65" s="295">
        <v>66952</v>
      </c>
      <c r="J65" s="184">
        <f>+H65/I65</f>
        <v>8.939777751224758</v>
      </c>
    </row>
    <row r="66" spans="1:10" s="136" customFormat="1" ht="15">
      <c r="A66" s="236">
        <v>63</v>
      </c>
      <c r="B66" s="221" t="s">
        <v>240</v>
      </c>
      <c r="C66" s="161">
        <v>38716</v>
      </c>
      <c r="D66" s="162" t="s">
        <v>23</v>
      </c>
      <c r="E66" s="160" t="s">
        <v>30</v>
      </c>
      <c r="F66" s="163">
        <v>60</v>
      </c>
      <c r="G66" s="163">
        <v>21</v>
      </c>
      <c r="H66" s="269">
        <v>589445.5</v>
      </c>
      <c r="I66" s="297">
        <v>84644</v>
      </c>
      <c r="J66" s="182">
        <v>6.963819053919947</v>
      </c>
    </row>
    <row r="67" spans="1:10" s="136" customFormat="1" ht="15">
      <c r="A67" s="236">
        <v>64</v>
      </c>
      <c r="B67" s="221" t="s">
        <v>258</v>
      </c>
      <c r="C67" s="161">
        <v>38968</v>
      </c>
      <c r="D67" s="160" t="s">
        <v>7</v>
      </c>
      <c r="E67" s="160" t="s">
        <v>46</v>
      </c>
      <c r="F67" s="163">
        <v>56</v>
      </c>
      <c r="G67" s="163">
        <v>8</v>
      </c>
      <c r="H67" s="271">
        <f>236461+163486+84335+37435+22922.5+13570.5+900+297</f>
        <v>559407</v>
      </c>
      <c r="I67" s="295">
        <f>31427+22450+12316+5884+4541+2671+245+88</f>
        <v>79622</v>
      </c>
      <c r="J67" s="184">
        <f>IF(H67&lt;&gt;0,H67/I67,"")</f>
        <v>7.025784330963804</v>
      </c>
    </row>
    <row r="68" spans="1:10" s="136" customFormat="1" ht="15">
      <c r="A68" s="236">
        <v>65</v>
      </c>
      <c r="B68" s="220" t="s">
        <v>28</v>
      </c>
      <c r="C68" s="158">
        <v>38807</v>
      </c>
      <c r="D68" s="157" t="s">
        <v>24</v>
      </c>
      <c r="E68" s="160" t="s">
        <v>29</v>
      </c>
      <c r="F68" s="163">
        <v>62</v>
      </c>
      <c r="G68" s="159">
        <v>25</v>
      </c>
      <c r="H68" s="266">
        <v>548579</v>
      </c>
      <c r="I68" s="295">
        <v>71991</v>
      </c>
      <c r="J68" s="182">
        <v>7.6201052909391445</v>
      </c>
    </row>
    <row r="69" spans="1:10" s="136" customFormat="1" ht="15">
      <c r="A69" s="236">
        <v>66</v>
      </c>
      <c r="B69" s="258" t="s">
        <v>259</v>
      </c>
      <c r="C69" s="158">
        <v>38968</v>
      </c>
      <c r="D69" s="157" t="s">
        <v>365</v>
      </c>
      <c r="E69" s="157" t="s">
        <v>27</v>
      </c>
      <c r="F69" s="159">
        <v>40</v>
      </c>
      <c r="G69" s="159">
        <v>8</v>
      </c>
      <c r="H69" s="266">
        <f>226818.5+158792+76218+22580+24396.5+21459.5+3022+85</f>
        <v>533371.5</v>
      </c>
      <c r="I69" s="295">
        <f>27238+18865+9176+3401+4846+3890+609+10</f>
        <v>68035</v>
      </c>
      <c r="J69" s="184">
        <f>+H69/I69</f>
        <v>7.839663408539722</v>
      </c>
    </row>
    <row r="70" spans="1:10" s="136" customFormat="1" ht="15">
      <c r="A70" s="236">
        <v>67</v>
      </c>
      <c r="B70" s="220" t="s">
        <v>74</v>
      </c>
      <c r="C70" s="158">
        <v>38786</v>
      </c>
      <c r="D70" s="157" t="s">
        <v>24</v>
      </c>
      <c r="E70" s="157" t="s">
        <v>37</v>
      </c>
      <c r="F70" s="159">
        <v>63</v>
      </c>
      <c r="G70" s="159">
        <v>11</v>
      </c>
      <c r="H70" s="266">
        <v>508013</v>
      </c>
      <c r="I70" s="295">
        <v>64201</v>
      </c>
      <c r="J70" s="182">
        <v>7.91285182473793</v>
      </c>
    </row>
    <row r="71" spans="1:10" s="136" customFormat="1" ht="15">
      <c r="A71" s="236">
        <v>68</v>
      </c>
      <c r="B71" s="221" t="s">
        <v>12</v>
      </c>
      <c r="C71" s="161">
        <v>38800</v>
      </c>
      <c r="D71" s="162" t="s">
        <v>23</v>
      </c>
      <c r="E71" s="160" t="s">
        <v>68</v>
      </c>
      <c r="F71" s="163">
        <v>42</v>
      </c>
      <c r="G71" s="163">
        <v>12</v>
      </c>
      <c r="H71" s="269">
        <v>507055</v>
      </c>
      <c r="I71" s="297">
        <v>60438</v>
      </c>
      <c r="J71" s="182">
        <v>8.38967206062411</v>
      </c>
    </row>
    <row r="72" spans="1:10" s="136" customFormat="1" ht="15">
      <c r="A72" s="236">
        <v>69</v>
      </c>
      <c r="B72" s="220" t="s">
        <v>343</v>
      </c>
      <c r="C72" s="158">
        <v>38961</v>
      </c>
      <c r="D72" s="157" t="s">
        <v>365</v>
      </c>
      <c r="E72" s="157" t="s">
        <v>27</v>
      </c>
      <c r="F72" s="159">
        <v>60</v>
      </c>
      <c r="G72" s="159">
        <v>9</v>
      </c>
      <c r="H72" s="266">
        <f>244504+117391.5+65855+21512+25870+11732.5+1721+3190+2156</f>
        <v>493932</v>
      </c>
      <c r="I72" s="295">
        <f>29629+13126+7509+3309+4917+2177+238+772+507</f>
        <v>62184</v>
      </c>
      <c r="J72" s="184">
        <f>+H72/I72</f>
        <v>7.943072172906214</v>
      </c>
    </row>
    <row r="73" spans="1:10" s="136" customFormat="1" ht="15">
      <c r="A73" s="236">
        <v>70</v>
      </c>
      <c r="B73" s="256" t="s">
        <v>133</v>
      </c>
      <c r="C73" s="158">
        <v>38891</v>
      </c>
      <c r="D73" s="173" t="s">
        <v>76</v>
      </c>
      <c r="E73" s="166" t="s">
        <v>229</v>
      </c>
      <c r="F73" s="170">
        <v>45</v>
      </c>
      <c r="G73" s="170">
        <v>17</v>
      </c>
      <c r="H73" s="272">
        <f>154658.5+107804+83531.5+43902+30665+24700+11888+9449+6526+2252.5+1787+2024+2034.5+1406.5+492+2062+3544.5</f>
        <v>488727</v>
      </c>
      <c r="I73" s="299">
        <f>20153+14417+13506+7951+5799+4754+2261+1861+1328+521+366+427+432+364+123+456+898</f>
        <v>75617</v>
      </c>
      <c r="J73" s="183">
        <f>+H73/I73</f>
        <v>6.4631894944258566</v>
      </c>
    </row>
    <row r="74" spans="1:10" s="136" customFormat="1" ht="15">
      <c r="A74" s="236">
        <v>71</v>
      </c>
      <c r="B74" s="220" t="s">
        <v>286</v>
      </c>
      <c r="C74" s="158">
        <v>38751</v>
      </c>
      <c r="D74" s="157" t="s">
        <v>24</v>
      </c>
      <c r="E74" s="157" t="s">
        <v>287</v>
      </c>
      <c r="F74" s="159">
        <v>27</v>
      </c>
      <c r="G74" s="159">
        <v>15</v>
      </c>
      <c r="H74" s="266">
        <v>479686</v>
      </c>
      <c r="I74" s="295">
        <v>55874</v>
      </c>
      <c r="J74" s="182">
        <v>8.585137989046787</v>
      </c>
    </row>
    <row r="75" spans="1:10" s="136" customFormat="1" ht="15">
      <c r="A75" s="236">
        <v>72</v>
      </c>
      <c r="B75" s="220" t="s">
        <v>16</v>
      </c>
      <c r="C75" s="158">
        <v>38793</v>
      </c>
      <c r="D75" s="157" t="s">
        <v>26</v>
      </c>
      <c r="E75" s="157" t="s">
        <v>73</v>
      </c>
      <c r="F75" s="159">
        <v>50</v>
      </c>
      <c r="G75" s="159">
        <v>12</v>
      </c>
      <c r="H75" s="266">
        <v>438011</v>
      </c>
      <c r="I75" s="295">
        <v>65490</v>
      </c>
      <c r="J75" s="182">
        <v>6.688211940754312</v>
      </c>
    </row>
    <row r="76" spans="1:10" s="134" customFormat="1" ht="15">
      <c r="A76" s="236">
        <v>73</v>
      </c>
      <c r="B76" s="220" t="s">
        <v>222</v>
      </c>
      <c r="C76" s="158">
        <v>38954</v>
      </c>
      <c r="D76" s="157" t="s">
        <v>365</v>
      </c>
      <c r="E76" s="157" t="s">
        <v>65</v>
      </c>
      <c r="F76" s="159">
        <v>45</v>
      </c>
      <c r="G76" s="159">
        <v>10</v>
      </c>
      <c r="H76" s="266">
        <f>186098+123538.5+27154+22745+30932.5+21941+10304+9669+1275+277</f>
        <v>433934</v>
      </c>
      <c r="I76" s="295">
        <f>22214+15409+4114+3875+5067+4072+1821+2085+330+69</f>
        <v>59056</v>
      </c>
      <c r="J76" s="184">
        <f>+H76/I76</f>
        <v>7.3478393389325385</v>
      </c>
    </row>
    <row r="77" spans="1:10" s="134" customFormat="1" ht="15">
      <c r="A77" s="236">
        <v>74</v>
      </c>
      <c r="B77" s="220" t="s">
        <v>247</v>
      </c>
      <c r="C77" s="247">
        <v>38870</v>
      </c>
      <c r="D77" s="246" t="s">
        <v>24</v>
      </c>
      <c r="E77" s="246" t="s">
        <v>29</v>
      </c>
      <c r="F77" s="248">
        <v>82</v>
      </c>
      <c r="G77" s="248">
        <v>13</v>
      </c>
      <c r="H77" s="268">
        <v>433886</v>
      </c>
      <c r="I77" s="300">
        <v>63051</v>
      </c>
      <c r="J77" s="183">
        <f>+H77/I77</f>
        <v>6.881508620006027</v>
      </c>
    </row>
    <row r="78" spans="1:10" s="134" customFormat="1" ht="15">
      <c r="A78" s="236">
        <v>75</v>
      </c>
      <c r="B78" s="254" t="s">
        <v>140</v>
      </c>
      <c r="C78" s="161">
        <v>38898</v>
      </c>
      <c r="D78" s="162" t="s">
        <v>23</v>
      </c>
      <c r="E78" s="160" t="s">
        <v>30</v>
      </c>
      <c r="F78" s="163">
        <v>52</v>
      </c>
      <c r="G78" s="163">
        <v>11</v>
      </c>
      <c r="H78" s="267">
        <f>178154.5+113428-10+65774+41050.5+21920.5+111+7515.5+1828.5+771+120+1053+460</f>
        <v>432176.5</v>
      </c>
      <c r="I78" s="296">
        <f>22672+15039+9332+6541+3979+26+1490+364+82+12+203+68</f>
        <v>59808</v>
      </c>
      <c r="J78" s="183">
        <f>+H78/I78</f>
        <v>7.226065074906367</v>
      </c>
    </row>
    <row r="79" spans="1:10" s="134" customFormat="1" ht="15">
      <c r="A79" s="236">
        <v>76</v>
      </c>
      <c r="B79" s="221" t="s">
        <v>45</v>
      </c>
      <c r="C79" s="161">
        <v>38814</v>
      </c>
      <c r="D79" s="160" t="s">
        <v>7</v>
      </c>
      <c r="E79" s="160" t="s">
        <v>46</v>
      </c>
      <c r="F79" s="163">
        <v>56</v>
      </c>
      <c r="G79" s="163">
        <v>16</v>
      </c>
      <c r="H79" s="266">
        <v>388873.5</v>
      </c>
      <c r="I79" s="295">
        <v>59196</v>
      </c>
      <c r="J79" s="182">
        <v>6.569252990066897</v>
      </c>
    </row>
    <row r="80" spans="1:10" s="134" customFormat="1" ht="15">
      <c r="A80" s="236">
        <v>77</v>
      </c>
      <c r="B80" s="220" t="s">
        <v>66</v>
      </c>
      <c r="C80" s="158">
        <v>38849</v>
      </c>
      <c r="D80" s="157" t="s">
        <v>26</v>
      </c>
      <c r="E80" s="157" t="s">
        <v>27</v>
      </c>
      <c r="F80" s="159">
        <v>51</v>
      </c>
      <c r="G80" s="159">
        <v>12</v>
      </c>
      <c r="H80" s="266">
        <v>383849</v>
      </c>
      <c r="I80" s="295">
        <v>60400</v>
      </c>
      <c r="J80" s="182">
        <v>6.355115894039733</v>
      </c>
    </row>
    <row r="81" spans="1:10" s="134" customFormat="1" ht="15">
      <c r="A81" s="236">
        <v>78</v>
      </c>
      <c r="B81" s="259" t="s">
        <v>50</v>
      </c>
      <c r="C81" s="247">
        <v>38814</v>
      </c>
      <c r="D81" s="246" t="s">
        <v>26</v>
      </c>
      <c r="E81" s="246" t="s">
        <v>333</v>
      </c>
      <c r="F81" s="248">
        <v>50</v>
      </c>
      <c r="G81" s="248">
        <v>12</v>
      </c>
      <c r="H81" s="270">
        <f>159204+117003.5+55112+26308.5+8703+2820+3475+32+425.5+223.5+3021+1310</f>
        <v>377638</v>
      </c>
      <c r="I81" s="298">
        <f>19860+13877+7175+4316+1437+527+1077+4+109+52+1007+328</f>
        <v>49769</v>
      </c>
      <c r="J81" s="183">
        <f>+H81/I81</f>
        <v>7.58781570857361</v>
      </c>
    </row>
    <row r="82" spans="1:10" s="134" customFormat="1" ht="15">
      <c r="A82" s="236">
        <v>79</v>
      </c>
      <c r="B82" s="221" t="s">
        <v>260</v>
      </c>
      <c r="C82" s="161">
        <v>38968</v>
      </c>
      <c r="D82" s="162" t="s">
        <v>23</v>
      </c>
      <c r="E82" s="160" t="s">
        <v>200</v>
      </c>
      <c r="F82" s="163">
        <v>58</v>
      </c>
      <c r="G82" s="163">
        <v>8</v>
      </c>
      <c r="H82" s="267">
        <f>195080.5+67383.5+41772+34265+20273+12922+1784+1609</f>
        <v>375089</v>
      </c>
      <c r="I82" s="296">
        <f>24293+8594+5468+5945+3808+2422+380+343</f>
        <v>51253</v>
      </c>
      <c r="J82" s="183">
        <f>+H82/I82</f>
        <v>7.318381363042163</v>
      </c>
    </row>
    <row r="83" spans="1:10" s="134" customFormat="1" ht="15">
      <c r="A83" s="236">
        <v>80</v>
      </c>
      <c r="B83" s="220" t="s">
        <v>110</v>
      </c>
      <c r="C83" s="158">
        <v>38863</v>
      </c>
      <c r="D83" s="157" t="s">
        <v>24</v>
      </c>
      <c r="E83" s="157" t="s">
        <v>29</v>
      </c>
      <c r="F83" s="159">
        <v>15</v>
      </c>
      <c r="G83" s="159">
        <v>15</v>
      </c>
      <c r="H83" s="266">
        <v>374506</v>
      </c>
      <c r="I83" s="295">
        <v>49404</v>
      </c>
      <c r="J83" s="182">
        <v>7.580479313415918</v>
      </c>
    </row>
    <row r="84" spans="1:10" s="134" customFormat="1" ht="15">
      <c r="A84" s="236">
        <v>81</v>
      </c>
      <c r="B84" s="220" t="s">
        <v>366</v>
      </c>
      <c r="C84" s="158">
        <v>39017</v>
      </c>
      <c r="D84" s="157" t="s">
        <v>24</v>
      </c>
      <c r="E84" s="157" t="s">
        <v>29</v>
      </c>
      <c r="F84" s="159">
        <v>75</v>
      </c>
      <c r="G84" s="159">
        <v>1</v>
      </c>
      <c r="H84" s="266">
        <v>371505</v>
      </c>
      <c r="I84" s="295">
        <v>39853</v>
      </c>
      <c r="J84" s="184">
        <f>+H84/I84</f>
        <v>9.321882919730008</v>
      </c>
    </row>
    <row r="85" spans="1:10" s="134" customFormat="1" ht="15">
      <c r="A85" s="236">
        <v>82</v>
      </c>
      <c r="B85" s="221" t="s">
        <v>206</v>
      </c>
      <c r="C85" s="161">
        <v>38933</v>
      </c>
      <c r="D85" s="160" t="s">
        <v>7</v>
      </c>
      <c r="E85" s="160" t="s">
        <v>32</v>
      </c>
      <c r="F85" s="163">
        <v>47</v>
      </c>
      <c r="G85" s="163">
        <v>13</v>
      </c>
      <c r="H85" s="271">
        <f>152478+98850+41976.55+30958.5+16630.5+7592+3008+1218.5+2103+1951+1460+1651+420</f>
        <v>360297.05</v>
      </c>
      <c r="I85" s="295">
        <f>19117+12766+5988+5647+3375+1591+593+227+459+745+345+462+119</f>
        <v>51434</v>
      </c>
      <c r="J85" s="184">
        <f>IF(H85&lt;&gt;0,H85/I85,"")</f>
        <v>7.00503655169732</v>
      </c>
    </row>
    <row r="86" spans="1:10" s="134" customFormat="1" ht="15">
      <c r="A86" s="236">
        <v>83</v>
      </c>
      <c r="B86" s="254" t="s">
        <v>205</v>
      </c>
      <c r="C86" s="161">
        <v>38933</v>
      </c>
      <c r="D86" s="162" t="s">
        <v>23</v>
      </c>
      <c r="E86" s="160" t="s">
        <v>30</v>
      </c>
      <c r="F86" s="163">
        <v>47</v>
      </c>
      <c r="G86" s="163">
        <v>12</v>
      </c>
      <c r="H86" s="267">
        <f>168234.5+110534.5+32226+10239.5+17746+8318+3528+2570+1504+1598+464+689</f>
        <v>357651.5</v>
      </c>
      <c r="I86" s="296">
        <f>21398+14457+4314+1793+3372+1583+715+558+395+322+94+140</f>
        <v>49141</v>
      </c>
      <c r="J86" s="183">
        <f>+H86/I86</f>
        <v>7.278067194399789</v>
      </c>
    </row>
    <row r="87" spans="1:10" s="134" customFormat="1" ht="15">
      <c r="A87" s="236">
        <v>84</v>
      </c>
      <c r="B87" s="220" t="s">
        <v>316</v>
      </c>
      <c r="C87" s="158">
        <v>38989</v>
      </c>
      <c r="D87" s="157" t="s">
        <v>365</v>
      </c>
      <c r="E87" s="157" t="s">
        <v>38</v>
      </c>
      <c r="F87" s="159">
        <v>40</v>
      </c>
      <c r="G87" s="159">
        <v>5</v>
      </c>
      <c r="H87" s="266">
        <f>165996+109228+65029.5+4604.5+5145</f>
        <v>350003</v>
      </c>
      <c r="I87" s="295">
        <f>19746+13243+8058+957+1080</f>
        <v>43084</v>
      </c>
      <c r="J87" s="184">
        <f>+H87/I87</f>
        <v>8.123735029245195</v>
      </c>
    </row>
    <row r="88" spans="1:10" s="134" customFormat="1" ht="15">
      <c r="A88" s="236">
        <v>85</v>
      </c>
      <c r="B88" s="220" t="s">
        <v>233</v>
      </c>
      <c r="C88" s="158">
        <v>38961</v>
      </c>
      <c r="D88" s="157" t="s">
        <v>24</v>
      </c>
      <c r="E88" s="157" t="s">
        <v>34</v>
      </c>
      <c r="F88" s="159">
        <v>51</v>
      </c>
      <c r="G88" s="159">
        <v>9</v>
      </c>
      <c r="H88" s="266">
        <v>346500</v>
      </c>
      <c r="I88" s="295">
        <v>41406</v>
      </c>
      <c r="J88" s="184">
        <f>+H88/I88</f>
        <v>8.368352412693813</v>
      </c>
    </row>
    <row r="89" spans="1:10" s="134" customFormat="1" ht="15">
      <c r="A89" s="236">
        <v>86</v>
      </c>
      <c r="B89" s="220" t="s">
        <v>288</v>
      </c>
      <c r="C89" s="158">
        <v>38765</v>
      </c>
      <c r="D89" s="157" t="s">
        <v>24</v>
      </c>
      <c r="E89" s="157" t="s">
        <v>37</v>
      </c>
      <c r="F89" s="159">
        <v>41</v>
      </c>
      <c r="G89" s="159">
        <v>22</v>
      </c>
      <c r="H89" s="266">
        <v>338013</v>
      </c>
      <c r="I89" s="295">
        <v>46266</v>
      </c>
      <c r="J89" s="182">
        <v>7.3058617559330825</v>
      </c>
    </row>
    <row r="90" spans="1:10" s="134" customFormat="1" ht="15">
      <c r="A90" s="236">
        <v>87</v>
      </c>
      <c r="B90" s="221" t="s">
        <v>120</v>
      </c>
      <c r="C90" s="161">
        <v>38877</v>
      </c>
      <c r="D90" s="162" t="s">
        <v>23</v>
      </c>
      <c r="E90" s="160" t="s">
        <v>200</v>
      </c>
      <c r="F90" s="163">
        <v>55</v>
      </c>
      <c r="G90" s="163">
        <v>11</v>
      </c>
      <c r="H90" s="269">
        <v>337412.5</v>
      </c>
      <c r="I90" s="297">
        <v>46488</v>
      </c>
      <c r="J90" s="182">
        <v>7.258055842367921</v>
      </c>
    </row>
    <row r="91" spans="1:10" s="134" customFormat="1" ht="15">
      <c r="A91" s="236">
        <v>88</v>
      </c>
      <c r="B91" s="221" t="s">
        <v>49</v>
      </c>
      <c r="C91" s="161">
        <v>38821</v>
      </c>
      <c r="D91" s="162" t="s">
        <v>23</v>
      </c>
      <c r="E91" s="160" t="s">
        <v>48</v>
      </c>
      <c r="F91" s="163">
        <v>32</v>
      </c>
      <c r="G91" s="163">
        <v>17</v>
      </c>
      <c r="H91" s="269">
        <v>323623</v>
      </c>
      <c r="I91" s="297">
        <v>40502</v>
      </c>
      <c r="J91" s="182">
        <v>7.99029677546788</v>
      </c>
    </row>
    <row r="92" spans="1:10" s="134" customFormat="1" ht="15">
      <c r="A92" s="236">
        <v>89</v>
      </c>
      <c r="B92" s="239" t="s">
        <v>55</v>
      </c>
      <c r="C92" s="161">
        <v>38821</v>
      </c>
      <c r="D92" s="168" t="s">
        <v>23</v>
      </c>
      <c r="E92" s="168" t="s">
        <v>30</v>
      </c>
      <c r="F92" s="169">
        <v>53</v>
      </c>
      <c r="G92" s="169">
        <v>12</v>
      </c>
      <c r="H92" s="269">
        <v>321206</v>
      </c>
      <c r="I92" s="297">
        <v>47892</v>
      </c>
      <c r="J92" s="182">
        <v>6.706882151507559</v>
      </c>
    </row>
    <row r="93" spans="1:10" s="134" customFormat="1" ht="15">
      <c r="A93" s="236">
        <v>90</v>
      </c>
      <c r="B93" s="220" t="s">
        <v>230</v>
      </c>
      <c r="C93" s="158">
        <v>38772</v>
      </c>
      <c r="D93" s="157" t="s">
        <v>26</v>
      </c>
      <c r="E93" s="157" t="s">
        <v>27</v>
      </c>
      <c r="F93" s="159">
        <v>49</v>
      </c>
      <c r="G93" s="159">
        <v>12</v>
      </c>
      <c r="H93" s="266">
        <v>320051</v>
      </c>
      <c r="I93" s="295">
        <v>49501</v>
      </c>
      <c r="J93" s="182">
        <v>6.465546150582816</v>
      </c>
    </row>
    <row r="94" spans="1:10" s="134" customFormat="1" ht="15">
      <c r="A94" s="236">
        <v>91</v>
      </c>
      <c r="B94" s="255" t="s">
        <v>210</v>
      </c>
      <c r="C94" s="247">
        <v>38940</v>
      </c>
      <c r="D94" s="246" t="s">
        <v>332</v>
      </c>
      <c r="E94" s="246" t="s">
        <v>332</v>
      </c>
      <c r="F94" s="248">
        <v>40</v>
      </c>
      <c r="G94" s="248">
        <v>10</v>
      </c>
      <c r="H94" s="270">
        <f>116284+76650+44745.5+25964+20033+19011+6435.5+1614.5+854+335</f>
        <v>311926.5</v>
      </c>
      <c r="I94" s="298">
        <f>15000+10104+6159+4430+4047+3756+1312+326+192+77</f>
        <v>45403</v>
      </c>
      <c r="J94" s="183">
        <f>+H94/I94</f>
        <v>6.870173777063189</v>
      </c>
    </row>
    <row r="95" spans="1:10" s="134" customFormat="1" ht="15">
      <c r="A95" s="236">
        <v>92</v>
      </c>
      <c r="B95" s="221" t="s">
        <v>113</v>
      </c>
      <c r="C95" s="161">
        <v>38870</v>
      </c>
      <c r="D95" s="162" t="s">
        <v>23</v>
      </c>
      <c r="E95" s="160" t="s">
        <v>264</v>
      </c>
      <c r="F95" s="163">
        <v>40</v>
      </c>
      <c r="G95" s="163">
        <v>12</v>
      </c>
      <c r="H95" s="269">
        <v>298497</v>
      </c>
      <c r="I95" s="297">
        <v>37156</v>
      </c>
      <c r="J95" s="182">
        <v>8.033615028528367</v>
      </c>
    </row>
    <row r="96" spans="1:10" s="134" customFormat="1" ht="15">
      <c r="A96" s="236">
        <v>93</v>
      </c>
      <c r="B96" s="220" t="s">
        <v>54</v>
      </c>
      <c r="C96" s="158">
        <v>38828</v>
      </c>
      <c r="D96" s="157" t="s">
        <v>24</v>
      </c>
      <c r="E96" s="157" t="s">
        <v>29</v>
      </c>
      <c r="F96" s="159">
        <v>46</v>
      </c>
      <c r="G96" s="159">
        <v>16</v>
      </c>
      <c r="H96" s="266">
        <v>296037</v>
      </c>
      <c r="I96" s="295">
        <v>38457</v>
      </c>
      <c r="J96" s="182">
        <v>7.697870348701145</v>
      </c>
    </row>
    <row r="97" spans="1:10" s="134" customFormat="1" ht="15">
      <c r="A97" s="236">
        <v>94</v>
      </c>
      <c r="B97" s="255" t="s">
        <v>224</v>
      </c>
      <c r="C97" s="247">
        <v>38954</v>
      </c>
      <c r="D97" s="246" t="s">
        <v>26</v>
      </c>
      <c r="E97" s="246" t="s">
        <v>125</v>
      </c>
      <c r="F97" s="248">
        <v>50</v>
      </c>
      <c r="G97" s="248">
        <v>8</v>
      </c>
      <c r="H97" s="270">
        <f>140746.5+77695.5+23472.5+10266.5+22403.5+5873+316+658</f>
        <v>281431.5</v>
      </c>
      <c r="I97" s="298">
        <f>17188+9720+3496+1771+4374+1211+65+155</f>
        <v>37980</v>
      </c>
      <c r="J97" s="183">
        <f>+H97/I97</f>
        <v>7.409992101105845</v>
      </c>
    </row>
    <row r="98" spans="1:10" s="134" customFormat="1" ht="15">
      <c r="A98" s="236">
        <v>95</v>
      </c>
      <c r="B98" s="221" t="s">
        <v>246</v>
      </c>
      <c r="C98" s="161">
        <v>38905</v>
      </c>
      <c r="D98" s="162" t="s">
        <v>23</v>
      </c>
      <c r="E98" s="160" t="s">
        <v>36</v>
      </c>
      <c r="F98" s="163">
        <v>41</v>
      </c>
      <c r="G98" s="163">
        <v>10</v>
      </c>
      <c r="H98" s="269">
        <v>279147</v>
      </c>
      <c r="I98" s="297">
        <v>33652</v>
      </c>
      <c r="J98" s="182">
        <v>8.29510876025199</v>
      </c>
    </row>
    <row r="99" spans="1:10" s="134" customFormat="1" ht="15">
      <c r="A99" s="236">
        <v>96</v>
      </c>
      <c r="B99" s="220" t="s">
        <v>156</v>
      </c>
      <c r="C99" s="158">
        <v>38751</v>
      </c>
      <c r="D99" s="157" t="s">
        <v>26</v>
      </c>
      <c r="E99" s="157" t="s">
        <v>27</v>
      </c>
      <c r="F99" s="159">
        <v>25</v>
      </c>
      <c r="G99" s="159">
        <v>12</v>
      </c>
      <c r="H99" s="266">
        <v>278875.5</v>
      </c>
      <c r="I99" s="295">
        <v>30623</v>
      </c>
      <c r="J99" s="182">
        <v>9.106733500963328</v>
      </c>
    </row>
    <row r="100" spans="1:10" s="134" customFormat="1" ht="15">
      <c r="A100" s="236">
        <v>97</v>
      </c>
      <c r="B100" s="255" t="s">
        <v>121</v>
      </c>
      <c r="C100" s="247">
        <v>38877</v>
      </c>
      <c r="D100" s="246" t="s">
        <v>332</v>
      </c>
      <c r="E100" s="246" t="s">
        <v>332</v>
      </c>
      <c r="F100" s="248">
        <v>50</v>
      </c>
      <c r="G100" s="248">
        <v>14</v>
      </c>
      <c r="H100" s="270">
        <f>105526.5+80630+23538+22039+18613.5+7324+1983.5+1001.5+774+866+653+4531+50+412</f>
        <v>267942</v>
      </c>
      <c r="I100" s="298">
        <f>13528+10356+3577+4465+3628+1837+456+212+143+243+109+1133+10+97</f>
        <v>39794</v>
      </c>
      <c r="J100" s="183">
        <f>+H100/I100</f>
        <v>6.7332261144896215</v>
      </c>
    </row>
    <row r="101" spans="1:10" s="136" customFormat="1" ht="15">
      <c r="A101" s="236">
        <v>98</v>
      </c>
      <c r="B101" s="254" t="s">
        <v>223</v>
      </c>
      <c r="C101" s="161">
        <v>38954</v>
      </c>
      <c r="D101" s="162" t="s">
        <v>23</v>
      </c>
      <c r="E101" s="160" t="s">
        <v>30</v>
      </c>
      <c r="F101" s="163">
        <v>45</v>
      </c>
      <c r="G101" s="163">
        <v>8</v>
      </c>
      <c r="H101" s="267">
        <f>145292+74732+14642+17609.5+3563+4118+1904+180</f>
        <v>262040.5</v>
      </c>
      <c r="I101" s="296">
        <f>17609+9254+2383+3714+638+808+473+45</f>
        <v>34924</v>
      </c>
      <c r="J101" s="183">
        <f>+H101/I101</f>
        <v>7.503164013285993</v>
      </c>
    </row>
    <row r="102" spans="1:10" s="136" customFormat="1" ht="15">
      <c r="A102" s="236">
        <v>99</v>
      </c>
      <c r="B102" s="220" t="s">
        <v>367</v>
      </c>
      <c r="C102" s="158">
        <v>39017</v>
      </c>
      <c r="D102" s="157" t="s">
        <v>365</v>
      </c>
      <c r="E102" s="157" t="s">
        <v>368</v>
      </c>
      <c r="F102" s="159">
        <v>60</v>
      </c>
      <c r="G102" s="159">
        <v>1</v>
      </c>
      <c r="H102" s="266">
        <f>246527.5</f>
        <v>246527.5</v>
      </c>
      <c r="I102" s="295">
        <f>29729</f>
        <v>29729</v>
      </c>
      <c r="J102" s="184">
        <f>+H102/I102</f>
        <v>8.292492179353493</v>
      </c>
    </row>
    <row r="103" spans="1:10" s="136" customFormat="1" ht="15">
      <c r="A103" s="236">
        <v>100</v>
      </c>
      <c r="B103" s="221" t="s">
        <v>289</v>
      </c>
      <c r="C103" s="161">
        <v>38737</v>
      </c>
      <c r="D103" s="162" t="s">
        <v>24</v>
      </c>
      <c r="E103" s="160" t="s">
        <v>290</v>
      </c>
      <c r="F103" s="163">
        <v>28</v>
      </c>
      <c r="G103" s="163">
        <v>12</v>
      </c>
      <c r="H103" s="266">
        <v>246387</v>
      </c>
      <c r="I103" s="295">
        <v>30377</v>
      </c>
      <c r="J103" s="182">
        <v>8.110972117062252</v>
      </c>
    </row>
    <row r="104" spans="1:10" s="136" customFormat="1" ht="15">
      <c r="A104" s="236">
        <v>101</v>
      </c>
      <c r="B104" s="254" t="s">
        <v>60</v>
      </c>
      <c r="C104" s="161">
        <v>38835</v>
      </c>
      <c r="D104" s="162" t="s">
        <v>23</v>
      </c>
      <c r="E104" s="160" t="s">
        <v>68</v>
      </c>
      <c r="F104" s="163">
        <v>40</v>
      </c>
      <c r="G104" s="163">
        <v>14</v>
      </c>
      <c r="H104" s="267">
        <f>243472+1782</f>
        <v>245254</v>
      </c>
      <c r="I104" s="296">
        <f>31412+594</f>
        <v>32006</v>
      </c>
      <c r="J104" s="183">
        <f>+H104/I104</f>
        <v>7.66275073423733</v>
      </c>
    </row>
    <row r="105" spans="1:10" s="136" customFormat="1" ht="15">
      <c r="A105" s="236">
        <v>102</v>
      </c>
      <c r="B105" s="254" t="s">
        <v>211</v>
      </c>
      <c r="C105" s="161">
        <v>38940</v>
      </c>
      <c r="D105" s="162" t="s">
        <v>23</v>
      </c>
      <c r="E105" s="160" t="s">
        <v>48</v>
      </c>
      <c r="F105" s="163">
        <v>31</v>
      </c>
      <c r="G105" s="163">
        <v>11</v>
      </c>
      <c r="H105" s="267">
        <f>102634+63922.5+11827+16890.5+17776.5+11407.5+5994+7207.5+2520+4142+330</f>
        <v>244651.5</v>
      </c>
      <c r="I105" s="296">
        <f>12828+8256+2045+3441+3346+2564+1220+1056+517+703+33</f>
        <v>36009</v>
      </c>
      <c r="J105" s="183">
        <f>+H105/I105</f>
        <v>6.794176455886029</v>
      </c>
    </row>
    <row r="106" spans="1:10" s="136" customFormat="1" ht="15">
      <c r="A106" s="236">
        <v>103</v>
      </c>
      <c r="B106" s="221" t="s">
        <v>301</v>
      </c>
      <c r="C106" s="161">
        <v>38982</v>
      </c>
      <c r="D106" s="162" t="s">
        <v>23</v>
      </c>
      <c r="E106" s="160" t="s">
        <v>48</v>
      </c>
      <c r="F106" s="163">
        <v>39</v>
      </c>
      <c r="G106" s="163">
        <v>6</v>
      </c>
      <c r="H106" s="267">
        <f>109921+83443.5+16967.5+24096+7766+2163</f>
        <v>244357</v>
      </c>
      <c r="I106" s="296">
        <f>13346+10120+2406+4161+1679+519</f>
        <v>32231</v>
      </c>
      <c r="J106" s="183">
        <f>+H106/I106</f>
        <v>7.581427817939251</v>
      </c>
    </row>
    <row r="107" spans="1:10" s="136" customFormat="1" ht="15">
      <c r="A107" s="236">
        <v>104</v>
      </c>
      <c r="B107" s="256" t="s">
        <v>141</v>
      </c>
      <c r="C107" s="158">
        <v>38898</v>
      </c>
      <c r="D107" s="173" t="s">
        <v>76</v>
      </c>
      <c r="E107" s="166" t="s">
        <v>336</v>
      </c>
      <c r="F107" s="170">
        <v>47</v>
      </c>
      <c r="G107" s="170">
        <v>16</v>
      </c>
      <c r="H107" s="272">
        <f>88058+66057+19237+18780.5+15348+7714+11101+6810.5+1696+4186+2284+175+304+885+265+504</f>
        <v>243405</v>
      </c>
      <c r="I107" s="299">
        <f>11470+9021+3194+3443+2936+1679+2151+1195+483+727+432+42+72+188+52+168</f>
        <v>37253</v>
      </c>
      <c r="J107" s="183">
        <f>+H107/I107</f>
        <v>6.53383620111132</v>
      </c>
    </row>
    <row r="108" spans="1:10" s="136" customFormat="1" ht="15">
      <c r="A108" s="236">
        <v>105</v>
      </c>
      <c r="B108" s="221" t="s">
        <v>15</v>
      </c>
      <c r="C108" s="161">
        <v>38793</v>
      </c>
      <c r="D108" s="160" t="s">
        <v>7</v>
      </c>
      <c r="E108" s="160" t="s">
        <v>32</v>
      </c>
      <c r="F108" s="163">
        <v>71</v>
      </c>
      <c r="G108" s="163">
        <v>20</v>
      </c>
      <c r="H108" s="271">
        <f>139188.5+65126.5+15320+6439+3617+3772+4116+209.5+299+80+130+145+1032+392+477+494+747+604+99+52</f>
        <v>242339.5</v>
      </c>
      <c r="I108" s="295">
        <f>20151+10232+2945+1343+1021+739+717+69+58+16+26+29+187+97+108+130+150+118+24+13</f>
        <v>38173</v>
      </c>
      <c r="J108" s="184">
        <f>IF(H108&lt;&gt;0,H108/I108,"")</f>
        <v>6.348453095119587</v>
      </c>
    </row>
    <row r="109" spans="1:10" s="136" customFormat="1" ht="15">
      <c r="A109" s="236">
        <v>106</v>
      </c>
      <c r="B109" s="223" t="s">
        <v>122</v>
      </c>
      <c r="C109" s="309">
        <v>38877</v>
      </c>
      <c r="D109" s="166" t="s">
        <v>76</v>
      </c>
      <c r="E109" s="166" t="s">
        <v>93</v>
      </c>
      <c r="F109" s="170">
        <v>64</v>
      </c>
      <c r="G109" s="170">
        <v>20</v>
      </c>
      <c r="H109" s="266">
        <f>94169.5+63426.5+19841+16453.5+12618.5+9991+4741+3516+3356+2065.5+678+1792.5+320+299+194+83+215+3730+139+814</f>
        <v>238443</v>
      </c>
      <c r="I109" s="295">
        <f>14426+9567+3182+3017+2315+1729+923+616+640+472+129+528+43+81+47+20+45+1220+34+161</f>
        <v>39195</v>
      </c>
      <c r="J109" s="183">
        <f>+H109/I109</f>
        <v>6.0835055491771906</v>
      </c>
    </row>
    <row r="110" spans="1:10" s="136" customFormat="1" ht="15">
      <c r="A110" s="236">
        <v>107</v>
      </c>
      <c r="B110" s="220" t="s">
        <v>324</v>
      </c>
      <c r="C110" s="158">
        <v>38996</v>
      </c>
      <c r="D110" s="157" t="s">
        <v>24</v>
      </c>
      <c r="E110" s="157" t="s">
        <v>48</v>
      </c>
      <c r="F110" s="159">
        <v>65</v>
      </c>
      <c r="G110" s="159">
        <v>4</v>
      </c>
      <c r="H110" s="266">
        <v>233660</v>
      </c>
      <c r="I110" s="295">
        <v>27100</v>
      </c>
      <c r="J110" s="184">
        <f>+H110/I110</f>
        <v>8.622140221402214</v>
      </c>
    </row>
    <row r="111" spans="1:10" s="136" customFormat="1" ht="15">
      <c r="A111" s="236">
        <v>108</v>
      </c>
      <c r="B111" s="224" t="s">
        <v>130</v>
      </c>
      <c r="C111" s="161">
        <v>38849</v>
      </c>
      <c r="D111" s="164" t="s">
        <v>204</v>
      </c>
      <c r="E111" s="164" t="s">
        <v>38</v>
      </c>
      <c r="F111" s="165" t="s">
        <v>164</v>
      </c>
      <c r="G111" s="165" t="s">
        <v>214</v>
      </c>
      <c r="H111" s="269">
        <v>229422.79</v>
      </c>
      <c r="I111" s="297">
        <v>29975</v>
      </c>
      <c r="J111" s="182">
        <v>7.65</v>
      </c>
    </row>
    <row r="112" spans="1:10" s="136" customFormat="1" ht="15">
      <c r="A112" s="236">
        <v>109</v>
      </c>
      <c r="B112" s="220" t="s">
        <v>234</v>
      </c>
      <c r="C112" s="158">
        <v>38961</v>
      </c>
      <c r="D112" s="164" t="s">
        <v>57</v>
      </c>
      <c r="E112" s="157" t="s">
        <v>145</v>
      </c>
      <c r="F112" s="159">
        <v>25</v>
      </c>
      <c r="G112" s="159">
        <v>9</v>
      </c>
      <c r="H112" s="266">
        <v>228378.4</v>
      </c>
      <c r="I112" s="295">
        <v>30605</v>
      </c>
      <c r="J112" s="184">
        <f>+H112/I112</f>
        <v>7.462127103414475</v>
      </c>
    </row>
    <row r="113" spans="1:10" s="136" customFormat="1" ht="15">
      <c r="A113" s="236">
        <v>110</v>
      </c>
      <c r="B113" s="221" t="s">
        <v>245</v>
      </c>
      <c r="C113" s="161">
        <v>38849</v>
      </c>
      <c r="D113" s="162" t="s">
        <v>23</v>
      </c>
      <c r="E113" s="160" t="s">
        <v>67</v>
      </c>
      <c r="F113" s="163">
        <v>14</v>
      </c>
      <c r="G113" s="163">
        <v>13</v>
      </c>
      <c r="H113" s="269">
        <v>216248</v>
      </c>
      <c r="I113" s="297">
        <v>27941</v>
      </c>
      <c r="J113" s="182">
        <v>7.7394509860062275</v>
      </c>
    </row>
    <row r="114" spans="1:10" s="136" customFormat="1" ht="15">
      <c r="A114" s="236">
        <v>111</v>
      </c>
      <c r="B114" s="260" t="s">
        <v>217</v>
      </c>
      <c r="C114" s="161">
        <v>38947</v>
      </c>
      <c r="D114" s="215" t="s">
        <v>20</v>
      </c>
      <c r="E114" s="164" t="s">
        <v>20</v>
      </c>
      <c r="F114" s="165" t="s">
        <v>319</v>
      </c>
      <c r="G114" s="165" t="s">
        <v>330</v>
      </c>
      <c r="H114" s="273">
        <v>207444</v>
      </c>
      <c r="I114" s="296">
        <v>28051</v>
      </c>
      <c r="J114" s="183">
        <f>+H114/I114</f>
        <v>7.39524437631457</v>
      </c>
    </row>
    <row r="115" spans="1:10" s="136" customFormat="1" ht="15">
      <c r="A115" s="236">
        <v>112</v>
      </c>
      <c r="B115" s="255" t="s">
        <v>148</v>
      </c>
      <c r="C115" s="247">
        <v>38807</v>
      </c>
      <c r="D115" s="246" t="s">
        <v>26</v>
      </c>
      <c r="E115" s="246" t="s">
        <v>27</v>
      </c>
      <c r="F115" s="248">
        <v>20</v>
      </c>
      <c r="G115" s="248">
        <v>14</v>
      </c>
      <c r="H115" s="270">
        <f>79858.5+57561+16625.5+10101+9488+11377.5+5276.5+160.5+942+420+1482+36+649+1310</f>
        <v>195287.5</v>
      </c>
      <c r="I115" s="298">
        <f>9494+7131+2064+2030+1770+2617+1051+31+161+83+398+9+116+328</f>
        <v>27283</v>
      </c>
      <c r="J115" s="183">
        <f>+H115/I115</f>
        <v>7.1578455448447755</v>
      </c>
    </row>
    <row r="116" spans="1:10" s="136" customFormat="1" ht="15">
      <c r="A116" s="236">
        <v>113</v>
      </c>
      <c r="B116" s="258" t="s">
        <v>291</v>
      </c>
      <c r="C116" s="158">
        <v>38786</v>
      </c>
      <c r="D116" s="157" t="s">
        <v>26</v>
      </c>
      <c r="E116" s="157" t="s">
        <v>32</v>
      </c>
      <c r="F116" s="159">
        <v>30</v>
      </c>
      <c r="G116" s="159">
        <v>16</v>
      </c>
      <c r="H116" s="266">
        <f>94630+42901+16809.5+16862+11072+2518+4525+910+841+1579.5+454+0+262+49+49+271</f>
        <v>193733</v>
      </c>
      <c r="I116" s="295">
        <f>12856+5706+2789+3336+2239+567+1047+161+186+380+57+0+33+7+7+67</f>
        <v>29438</v>
      </c>
      <c r="J116" s="183">
        <f>+H116/I116</f>
        <v>6.581051701881921</v>
      </c>
    </row>
    <row r="117" spans="1:10" s="136" customFormat="1" ht="15">
      <c r="A117" s="236">
        <v>114</v>
      </c>
      <c r="B117" s="221" t="s">
        <v>292</v>
      </c>
      <c r="C117" s="161">
        <v>38758</v>
      </c>
      <c r="D117" s="162" t="s">
        <v>24</v>
      </c>
      <c r="E117" s="160" t="s">
        <v>34</v>
      </c>
      <c r="F117" s="163">
        <v>46</v>
      </c>
      <c r="G117" s="163">
        <v>12</v>
      </c>
      <c r="H117" s="266">
        <v>181942</v>
      </c>
      <c r="I117" s="295">
        <v>24046</v>
      </c>
      <c r="J117" s="182">
        <v>7.566414372452796</v>
      </c>
    </row>
    <row r="118" spans="1:10" s="136" customFormat="1" ht="15">
      <c r="A118" s="236">
        <v>115</v>
      </c>
      <c r="B118" s="221" t="s">
        <v>13</v>
      </c>
      <c r="C118" s="161">
        <v>38800</v>
      </c>
      <c r="D118" s="162" t="s">
        <v>23</v>
      </c>
      <c r="E118" s="160" t="s">
        <v>30</v>
      </c>
      <c r="F118" s="163">
        <v>16</v>
      </c>
      <c r="G118" s="163">
        <v>12</v>
      </c>
      <c r="H118" s="269">
        <v>172217.5</v>
      </c>
      <c r="I118" s="297">
        <v>19641</v>
      </c>
      <c r="J118" s="182">
        <v>8.768265363270702</v>
      </c>
    </row>
    <row r="119" spans="1:10" s="136" customFormat="1" ht="15">
      <c r="A119" s="236">
        <v>116</v>
      </c>
      <c r="B119" s="221" t="s">
        <v>317</v>
      </c>
      <c r="C119" s="161">
        <v>38989</v>
      </c>
      <c r="D119" s="162" t="s">
        <v>23</v>
      </c>
      <c r="E119" s="160" t="s">
        <v>239</v>
      </c>
      <c r="F119" s="163">
        <v>51</v>
      </c>
      <c r="G119" s="163">
        <v>5</v>
      </c>
      <c r="H119" s="267">
        <f>101524.5+43064.5+19404+1061+1743</f>
        <v>166797</v>
      </c>
      <c r="I119" s="296">
        <f>12503+5580+2592+199+490</f>
        <v>21364</v>
      </c>
      <c r="J119" s="183">
        <f>+H119/I119</f>
        <v>7.807386257255196</v>
      </c>
    </row>
    <row r="120" spans="1:10" s="136" customFormat="1" ht="15">
      <c r="A120" s="236">
        <v>117</v>
      </c>
      <c r="B120" s="220" t="s">
        <v>265</v>
      </c>
      <c r="C120" s="158">
        <v>38989</v>
      </c>
      <c r="D120" s="157" t="s">
        <v>365</v>
      </c>
      <c r="E120" s="157" t="s">
        <v>369</v>
      </c>
      <c r="F120" s="159">
        <v>27</v>
      </c>
      <c r="G120" s="159">
        <v>5</v>
      </c>
      <c r="H120" s="266">
        <f>71204+47862.5+39128.5+4732+3769.5</f>
        <v>166696.5</v>
      </c>
      <c r="I120" s="295">
        <f>9130+6223+5269+696+613</f>
        <v>21931</v>
      </c>
      <c r="J120" s="184">
        <f>+H120/I120</f>
        <v>7.6009529889197935</v>
      </c>
    </row>
    <row r="121" spans="1:10" s="136" customFormat="1" ht="15">
      <c r="A121" s="236">
        <v>118</v>
      </c>
      <c r="B121" s="224" t="s">
        <v>5</v>
      </c>
      <c r="C121" s="161">
        <v>38793</v>
      </c>
      <c r="D121" s="164" t="s">
        <v>1</v>
      </c>
      <c r="E121" s="164" t="s">
        <v>33</v>
      </c>
      <c r="F121" s="165">
        <v>33</v>
      </c>
      <c r="G121" s="165" t="s">
        <v>166</v>
      </c>
      <c r="H121" s="269">
        <v>166350.5</v>
      </c>
      <c r="I121" s="297">
        <v>34068.333333333336</v>
      </c>
      <c r="J121" s="182">
        <v>4.882848197250623</v>
      </c>
    </row>
    <row r="122" spans="1:10" s="136" customFormat="1" ht="15">
      <c r="A122" s="236">
        <v>119</v>
      </c>
      <c r="B122" s="220" t="s">
        <v>307</v>
      </c>
      <c r="C122" s="158">
        <v>38982</v>
      </c>
      <c r="D122" s="157" t="s">
        <v>365</v>
      </c>
      <c r="E122" s="157" t="s">
        <v>308</v>
      </c>
      <c r="F122" s="159">
        <v>22</v>
      </c>
      <c r="G122" s="159">
        <v>2</v>
      </c>
      <c r="H122" s="266">
        <f>3328+88936+72443</f>
        <v>164707</v>
      </c>
      <c r="I122" s="295">
        <f>378+10550+8764</f>
        <v>19692</v>
      </c>
      <c r="J122" s="184">
        <f>+H122/I122</f>
        <v>8.364158033719276</v>
      </c>
    </row>
    <row r="123" spans="1:10" s="136" customFormat="1" ht="15">
      <c r="A123" s="236">
        <v>120</v>
      </c>
      <c r="B123" s="221" t="s">
        <v>127</v>
      </c>
      <c r="C123" s="161">
        <v>38884</v>
      </c>
      <c r="D123" s="162" t="s">
        <v>23</v>
      </c>
      <c r="E123" s="160" t="s">
        <v>36</v>
      </c>
      <c r="F123" s="163">
        <v>24</v>
      </c>
      <c r="G123" s="163">
        <v>11</v>
      </c>
      <c r="H123" s="269">
        <v>162213.5</v>
      </c>
      <c r="I123" s="297">
        <v>20240</v>
      </c>
      <c r="J123" s="182">
        <v>8.014500988142297</v>
      </c>
    </row>
    <row r="124" spans="1:10" s="136" customFormat="1" ht="15">
      <c r="A124" s="236">
        <v>121</v>
      </c>
      <c r="B124" s="224" t="s">
        <v>142</v>
      </c>
      <c r="C124" s="161">
        <v>38898</v>
      </c>
      <c r="D124" s="164" t="s">
        <v>57</v>
      </c>
      <c r="E124" s="164" t="s">
        <v>299</v>
      </c>
      <c r="F124" s="165" t="s">
        <v>143</v>
      </c>
      <c r="G124" s="165" t="s">
        <v>118</v>
      </c>
      <c r="H124" s="269">
        <v>151188</v>
      </c>
      <c r="I124" s="297">
        <v>21834</v>
      </c>
      <c r="J124" s="182">
        <v>6.924429788403407</v>
      </c>
    </row>
    <row r="125" spans="1:10" s="136" customFormat="1" ht="15">
      <c r="A125" s="236">
        <v>122</v>
      </c>
      <c r="B125" s="221" t="s">
        <v>56</v>
      </c>
      <c r="C125" s="161">
        <v>38828</v>
      </c>
      <c r="D125" s="160" t="s">
        <v>20</v>
      </c>
      <c r="E125" s="160" t="s">
        <v>34</v>
      </c>
      <c r="F125" s="163">
        <v>46</v>
      </c>
      <c r="G125" s="163">
        <v>12</v>
      </c>
      <c r="H125" s="269">
        <v>149396</v>
      </c>
      <c r="I125" s="297">
        <v>21172</v>
      </c>
      <c r="J125" s="182">
        <v>7.056300774607973</v>
      </c>
    </row>
    <row r="126" spans="1:10" s="136" customFormat="1" ht="15">
      <c r="A126" s="236">
        <v>123</v>
      </c>
      <c r="B126" s="221" t="s">
        <v>163</v>
      </c>
      <c r="C126" s="161">
        <v>38926</v>
      </c>
      <c r="D126" s="162" t="s">
        <v>23</v>
      </c>
      <c r="E126" s="160" t="s">
        <v>44</v>
      </c>
      <c r="F126" s="163">
        <v>40</v>
      </c>
      <c r="G126" s="163">
        <v>7</v>
      </c>
      <c r="H126" s="269">
        <v>143001</v>
      </c>
      <c r="I126" s="297">
        <v>18788</v>
      </c>
      <c r="J126" s="182">
        <v>7.611294443261657</v>
      </c>
    </row>
    <row r="127" spans="1:10" s="136" customFormat="1" ht="15">
      <c r="A127" s="236">
        <v>124</v>
      </c>
      <c r="B127" s="221" t="s">
        <v>134</v>
      </c>
      <c r="C127" s="161">
        <v>38891</v>
      </c>
      <c r="D127" s="160" t="s">
        <v>7</v>
      </c>
      <c r="E127" s="160" t="s">
        <v>135</v>
      </c>
      <c r="F127" s="163">
        <v>55</v>
      </c>
      <c r="G127" s="163">
        <v>12</v>
      </c>
      <c r="H127" s="266">
        <v>137910.5</v>
      </c>
      <c r="I127" s="295">
        <v>19282</v>
      </c>
      <c r="J127" s="182">
        <v>7.152292293330568</v>
      </c>
    </row>
    <row r="128" spans="1:10" s="136" customFormat="1" ht="15">
      <c r="A128" s="236">
        <v>125</v>
      </c>
      <c r="B128" s="223" t="s">
        <v>248</v>
      </c>
      <c r="C128" s="158">
        <v>38716</v>
      </c>
      <c r="D128" s="166" t="s">
        <v>76</v>
      </c>
      <c r="E128" s="166" t="s">
        <v>296</v>
      </c>
      <c r="F128" s="170">
        <v>9</v>
      </c>
      <c r="G128" s="170">
        <v>33</v>
      </c>
      <c r="H128" s="266">
        <v>129760.5</v>
      </c>
      <c r="I128" s="295">
        <v>21442</v>
      </c>
      <c r="J128" s="182">
        <v>6.0516976028355565</v>
      </c>
    </row>
    <row r="129" spans="1:10" s="136" customFormat="1" ht="15">
      <c r="A129" s="236">
        <v>126</v>
      </c>
      <c r="B129" s="220" t="s">
        <v>293</v>
      </c>
      <c r="C129" s="158">
        <v>38765</v>
      </c>
      <c r="D129" s="157" t="s">
        <v>26</v>
      </c>
      <c r="E129" s="157" t="s">
        <v>294</v>
      </c>
      <c r="F129" s="159">
        <v>30</v>
      </c>
      <c r="G129" s="159">
        <v>12</v>
      </c>
      <c r="H129" s="266">
        <v>128270.5</v>
      </c>
      <c r="I129" s="295">
        <v>19448</v>
      </c>
      <c r="J129" s="182">
        <v>6.5955625257095845</v>
      </c>
    </row>
    <row r="130" spans="1:10" s="136" customFormat="1" ht="15">
      <c r="A130" s="236">
        <v>127</v>
      </c>
      <c r="B130" s="240" t="s">
        <v>150</v>
      </c>
      <c r="C130" s="158">
        <v>38912</v>
      </c>
      <c r="D130" s="160" t="s">
        <v>26</v>
      </c>
      <c r="E130" s="171" t="s">
        <v>27</v>
      </c>
      <c r="F130" s="163">
        <v>15</v>
      </c>
      <c r="G130" s="172">
        <v>10</v>
      </c>
      <c r="H130" s="274">
        <v>125614.5</v>
      </c>
      <c r="I130" s="301">
        <v>16469</v>
      </c>
      <c r="J130" s="182">
        <v>7.627330135405913</v>
      </c>
    </row>
    <row r="131" spans="1:10" s="136" customFormat="1" ht="15">
      <c r="A131" s="236">
        <v>128</v>
      </c>
      <c r="B131" s="221" t="s">
        <v>295</v>
      </c>
      <c r="C131" s="161">
        <v>38765</v>
      </c>
      <c r="D131" s="160" t="s">
        <v>24</v>
      </c>
      <c r="E131" s="160" t="s">
        <v>20</v>
      </c>
      <c r="F131" s="163">
        <v>20</v>
      </c>
      <c r="G131" s="163">
        <v>7</v>
      </c>
      <c r="H131" s="269">
        <v>125109</v>
      </c>
      <c r="I131" s="297">
        <v>13297</v>
      </c>
      <c r="J131" s="182">
        <v>9.408814018199594</v>
      </c>
    </row>
    <row r="132" spans="1:10" s="136" customFormat="1" ht="15">
      <c r="A132" s="236">
        <v>129</v>
      </c>
      <c r="B132" s="261" t="s">
        <v>348</v>
      </c>
      <c r="C132" s="158">
        <v>38926</v>
      </c>
      <c r="D132" s="253" t="s">
        <v>35</v>
      </c>
      <c r="E132" s="253" t="s">
        <v>334</v>
      </c>
      <c r="F132" s="252">
        <v>21</v>
      </c>
      <c r="G132" s="252">
        <v>10</v>
      </c>
      <c r="H132" s="273">
        <v>123794</v>
      </c>
      <c r="I132" s="296">
        <v>18089</v>
      </c>
      <c r="J132" s="183">
        <f>+H132/I132</f>
        <v>6.843606611752999</v>
      </c>
    </row>
    <row r="133" spans="1:10" s="136" customFormat="1" ht="15">
      <c r="A133" s="236">
        <v>130</v>
      </c>
      <c r="B133" s="255" t="s">
        <v>61</v>
      </c>
      <c r="C133" s="247">
        <v>38835</v>
      </c>
      <c r="D133" s="246" t="s">
        <v>26</v>
      </c>
      <c r="E133" s="246" t="s">
        <v>27</v>
      </c>
      <c r="F133" s="248">
        <v>15</v>
      </c>
      <c r="G133" s="248">
        <v>14</v>
      </c>
      <c r="H133" s="270">
        <f>60845.5+35645.5+5851+2968.5+2340.5+3653.5+711.5+2954.5+1334.5+1829.5+496+797.5+903+1310</f>
        <v>121641</v>
      </c>
      <c r="I133" s="298">
        <f>6762+4054+1018+542+466+689+150+650+287+366+103+162+175+328</f>
        <v>15752</v>
      </c>
      <c r="J133" s="183">
        <f>+H133/I133</f>
        <v>7.72225749111224</v>
      </c>
    </row>
    <row r="134" spans="1:10" s="136" customFormat="1" ht="15">
      <c r="A134" s="236">
        <v>131</v>
      </c>
      <c r="B134" s="257" t="s">
        <v>144</v>
      </c>
      <c r="C134" s="161">
        <v>38898</v>
      </c>
      <c r="D134" s="164" t="s">
        <v>57</v>
      </c>
      <c r="E134" s="164" t="s">
        <v>145</v>
      </c>
      <c r="F134" s="251">
        <v>7</v>
      </c>
      <c r="G134" s="251">
        <v>14</v>
      </c>
      <c r="H134" s="267">
        <v>121595</v>
      </c>
      <c r="I134" s="296">
        <v>16900</v>
      </c>
      <c r="J134" s="183">
        <f>+H134/I134</f>
        <v>7.194970414201183</v>
      </c>
    </row>
    <row r="135" spans="1:10" s="136" customFormat="1" ht="15">
      <c r="A135" s="236">
        <v>132</v>
      </c>
      <c r="B135" s="220" t="s">
        <v>196</v>
      </c>
      <c r="C135" s="158">
        <v>38758</v>
      </c>
      <c r="D135" s="157" t="s">
        <v>26</v>
      </c>
      <c r="E135" s="157" t="s">
        <v>27</v>
      </c>
      <c r="F135" s="159">
        <v>10</v>
      </c>
      <c r="G135" s="159">
        <v>15</v>
      </c>
      <c r="H135" s="266">
        <v>114516.5</v>
      </c>
      <c r="I135" s="295">
        <v>15887</v>
      </c>
      <c r="J135" s="182">
        <v>7.208189085415749</v>
      </c>
    </row>
    <row r="136" spans="1:10" s="136" customFormat="1" ht="15">
      <c r="A136" s="236">
        <v>133</v>
      </c>
      <c r="B136" s="220" t="s">
        <v>302</v>
      </c>
      <c r="C136" s="158">
        <v>38982</v>
      </c>
      <c r="D136" s="157" t="s">
        <v>38</v>
      </c>
      <c r="E136" s="157" t="s">
        <v>38</v>
      </c>
      <c r="F136" s="159">
        <v>12</v>
      </c>
      <c r="G136" s="159">
        <v>5</v>
      </c>
      <c r="H136" s="266">
        <f>55507.5+39850.5+10884+7822+204</f>
        <v>114268</v>
      </c>
      <c r="I136" s="295">
        <f>5804+3888+1337+1200+40</f>
        <v>12269</v>
      </c>
      <c r="J136" s="184">
        <f>+H136/I136</f>
        <v>9.31355448691825</v>
      </c>
    </row>
    <row r="137" spans="1:10" s="136" customFormat="1" ht="15">
      <c r="A137" s="236">
        <v>134</v>
      </c>
      <c r="B137" s="223" t="s">
        <v>75</v>
      </c>
      <c r="C137" s="158">
        <v>38793</v>
      </c>
      <c r="D137" s="166" t="s">
        <v>57</v>
      </c>
      <c r="E137" s="166" t="s">
        <v>62</v>
      </c>
      <c r="F137" s="159">
        <v>4</v>
      </c>
      <c r="G137" s="159">
        <v>10</v>
      </c>
      <c r="H137" s="266">
        <v>103297</v>
      </c>
      <c r="I137" s="295">
        <v>12362</v>
      </c>
      <c r="J137" s="182">
        <v>8.3560103543116</v>
      </c>
    </row>
    <row r="138" spans="1:10" s="136" customFormat="1" ht="15">
      <c r="A138" s="236">
        <v>135</v>
      </c>
      <c r="B138" s="224" t="s">
        <v>325</v>
      </c>
      <c r="C138" s="161">
        <v>38996</v>
      </c>
      <c r="D138" s="164" t="s">
        <v>57</v>
      </c>
      <c r="E138" s="164" t="s">
        <v>145</v>
      </c>
      <c r="F138" s="165" t="s">
        <v>320</v>
      </c>
      <c r="G138" s="165" t="s">
        <v>236</v>
      </c>
      <c r="H138" s="267">
        <v>101420.5</v>
      </c>
      <c r="I138" s="296">
        <v>9503</v>
      </c>
      <c r="J138" s="183">
        <f>+H138/I138</f>
        <v>10.672471850994423</v>
      </c>
    </row>
    <row r="139" spans="1:10" s="136" customFormat="1" ht="15">
      <c r="A139" s="236">
        <v>136</v>
      </c>
      <c r="B139" s="221" t="s">
        <v>244</v>
      </c>
      <c r="C139" s="161">
        <v>38842</v>
      </c>
      <c r="D139" s="160" t="s">
        <v>23</v>
      </c>
      <c r="E139" s="160" t="s">
        <v>42</v>
      </c>
      <c r="F139" s="163">
        <v>14</v>
      </c>
      <c r="G139" s="163">
        <v>15</v>
      </c>
      <c r="H139" s="269">
        <v>97429</v>
      </c>
      <c r="I139" s="297">
        <v>13684</v>
      </c>
      <c r="J139" s="182">
        <v>7.119921075708857</v>
      </c>
    </row>
    <row r="140" spans="1:10" s="136" customFormat="1" ht="15">
      <c r="A140" s="236">
        <v>137</v>
      </c>
      <c r="B140" s="223" t="s">
        <v>297</v>
      </c>
      <c r="C140" s="158">
        <v>38779</v>
      </c>
      <c r="D140" s="166" t="s">
        <v>57</v>
      </c>
      <c r="E140" s="166" t="s">
        <v>298</v>
      </c>
      <c r="F140" s="167" t="s">
        <v>117</v>
      </c>
      <c r="G140" s="167">
        <v>9</v>
      </c>
      <c r="H140" s="266">
        <v>96787.5</v>
      </c>
      <c r="I140" s="295">
        <v>12101</v>
      </c>
      <c r="J140" s="182">
        <v>7.998305925130155</v>
      </c>
    </row>
    <row r="141" spans="1:10" s="136" customFormat="1" ht="15">
      <c r="A141" s="236">
        <v>138</v>
      </c>
      <c r="B141" s="256" t="s">
        <v>270</v>
      </c>
      <c r="C141" s="158">
        <v>38814</v>
      </c>
      <c r="D141" s="173" t="s">
        <v>76</v>
      </c>
      <c r="E141" s="166" t="s">
        <v>271</v>
      </c>
      <c r="F141" s="170">
        <v>14</v>
      </c>
      <c r="G141" s="170">
        <v>18</v>
      </c>
      <c r="H141" s="272">
        <f>43111+13278+6067.5+7325+7474+6516.5+154+328+3068+571+1240+894+596+476+168+213+1188+1784</f>
        <v>94452</v>
      </c>
      <c r="I141" s="299">
        <f>4620+1821+1003+1445+1813+1225+30+68+737+144+310+211+149+119+21+46+297+446</f>
        <v>14505</v>
      </c>
      <c r="J141" s="183">
        <f>+H141/I141</f>
        <v>6.5116856256463285</v>
      </c>
    </row>
    <row r="142" spans="1:10" s="136" customFormat="1" ht="15">
      <c r="A142" s="236">
        <v>139</v>
      </c>
      <c r="B142" s="220" t="s">
        <v>309</v>
      </c>
      <c r="C142" s="158">
        <v>38982</v>
      </c>
      <c r="D142" s="164" t="s">
        <v>35</v>
      </c>
      <c r="E142" s="164" t="s">
        <v>93</v>
      </c>
      <c r="F142" s="251">
        <v>18</v>
      </c>
      <c r="G142" s="251">
        <v>5</v>
      </c>
      <c r="H142" s="267">
        <v>89551</v>
      </c>
      <c r="I142" s="296">
        <v>9407</v>
      </c>
      <c r="J142" s="183">
        <f>+H142/I142</f>
        <v>9.519613054108643</v>
      </c>
    </row>
    <row r="143" spans="1:10" s="136" customFormat="1" ht="15">
      <c r="A143" s="236">
        <v>140</v>
      </c>
      <c r="B143" s="220" t="s">
        <v>303</v>
      </c>
      <c r="C143" s="158">
        <v>38982</v>
      </c>
      <c r="D143" s="164" t="s">
        <v>57</v>
      </c>
      <c r="E143" s="157" t="s">
        <v>145</v>
      </c>
      <c r="F143" s="159">
        <v>12</v>
      </c>
      <c r="G143" s="159">
        <v>7</v>
      </c>
      <c r="H143" s="266">
        <v>86392</v>
      </c>
      <c r="I143" s="295">
        <v>10299</v>
      </c>
      <c r="J143" s="184">
        <f>+H143/I143</f>
        <v>8.388387222060395</v>
      </c>
    </row>
    <row r="144" spans="1:10" s="136" customFormat="1" ht="15">
      <c r="A144" s="236">
        <v>141</v>
      </c>
      <c r="B144" s="221" t="s">
        <v>109</v>
      </c>
      <c r="C144" s="161">
        <v>38863</v>
      </c>
      <c r="D144" s="160" t="s">
        <v>23</v>
      </c>
      <c r="E144" s="160" t="s">
        <v>42</v>
      </c>
      <c r="F144" s="163">
        <v>17</v>
      </c>
      <c r="G144" s="163">
        <v>16</v>
      </c>
      <c r="H144" s="269">
        <v>86282</v>
      </c>
      <c r="I144" s="297">
        <v>13503</v>
      </c>
      <c r="J144" s="182">
        <v>6.3898392949714875</v>
      </c>
    </row>
    <row r="145" spans="1:10" s="136" customFormat="1" ht="15">
      <c r="A145" s="236">
        <v>142</v>
      </c>
      <c r="B145" s="223" t="s">
        <v>80</v>
      </c>
      <c r="C145" s="158">
        <v>38744</v>
      </c>
      <c r="D145" s="157" t="s">
        <v>76</v>
      </c>
      <c r="E145" s="166" t="s">
        <v>239</v>
      </c>
      <c r="F145" s="170">
        <v>7</v>
      </c>
      <c r="G145" s="170">
        <v>27</v>
      </c>
      <c r="H145" s="266">
        <v>82559.5</v>
      </c>
      <c r="I145" s="295">
        <v>13074</v>
      </c>
      <c r="J145" s="182">
        <v>6.314785069603789</v>
      </c>
    </row>
    <row r="146" spans="1:10" s="136" customFormat="1" ht="15">
      <c r="A146" s="236">
        <v>143</v>
      </c>
      <c r="B146" s="221" t="s">
        <v>242</v>
      </c>
      <c r="C146" s="161">
        <v>38779</v>
      </c>
      <c r="D146" s="160" t="s">
        <v>299</v>
      </c>
      <c r="E146" s="160" t="s">
        <v>208</v>
      </c>
      <c r="F146" s="163">
        <v>8</v>
      </c>
      <c r="G146" s="163">
        <v>10</v>
      </c>
      <c r="H146" s="269">
        <v>82551.4</v>
      </c>
      <c r="I146" s="297">
        <v>9820</v>
      </c>
      <c r="J146" s="182">
        <v>8.406456211812632</v>
      </c>
    </row>
    <row r="147" spans="1:10" s="136" customFormat="1" ht="15">
      <c r="A147" s="236">
        <v>144</v>
      </c>
      <c r="B147" s="221" t="s">
        <v>123</v>
      </c>
      <c r="C147" s="161">
        <v>38877</v>
      </c>
      <c r="D147" s="160" t="s">
        <v>299</v>
      </c>
      <c r="E147" s="160" t="s">
        <v>129</v>
      </c>
      <c r="F147" s="163">
        <v>12</v>
      </c>
      <c r="G147" s="163">
        <v>11</v>
      </c>
      <c r="H147" s="269">
        <v>82170.51</v>
      </c>
      <c r="I147" s="297">
        <v>11439</v>
      </c>
      <c r="J147" s="182">
        <v>7.1833648046157865</v>
      </c>
    </row>
    <row r="148" spans="1:10" s="136" customFormat="1" ht="15">
      <c r="A148" s="236">
        <v>145</v>
      </c>
      <c r="B148" s="223" t="s">
        <v>82</v>
      </c>
      <c r="C148" s="309">
        <v>38723</v>
      </c>
      <c r="D148" s="166" t="s">
        <v>76</v>
      </c>
      <c r="E148" s="166" t="s">
        <v>374</v>
      </c>
      <c r="F148" s="170">
        <v>3</v>
      </c>
      <c r="G148" s="170">
        <v>21</v>
      </c>
      <c r="H148" s="266">
        <f>22570+12751+6691+4543+3462+1141+1389+1484.5+48+38+1782+1068+714+1188+2340+2005+1451+1195.5+853.5+594+1425</f>
        <v>68733.5</v>
      </c>
      <c r="I148" s="295">
        <f>2787+1607+844+585+460+145+463+399+9+7+594+356+238+396+780+313+221+233+128+198+475</f>
        <v>11238</v>
      </c>
      <c r="J148" s="183">
        <f>+H148/I148</f>
        <v>6.11616835735896</v>
      </c>
    </row>
    <row r="149" spans="1:10" s="136" customFormat="1" ht="15">
      <c r="A149" s="236">
        <v>146</v>
      </c>
      <c r="B149" s="220" t="s">
        <v>63</v>
      </c>
      <c r="C149" s="158">
        <v>38842</v>
      </c>
      <c r="D149" s="157" t="s">
        <v>26</v>
      </c>
      <c r="E149" s="157" t="s">
        <v>64</v>
      </c>
      <c r="F149" s="159">
        <v>40</v>
      </c>
      <c r="G149" s="159">
        <v>10</v>
      </c>
      <c r="H149" s="266">
        <v>67366.5</v>
      </c>
      <c r="I149" s="295">
        <v>12048</v>
      </c>
      <c r="J149" s="182">
        <v>5.591508964143427</v>
      </c>
    </row>
    <row r="150" spans="1:10" s="136" customFormat="1" ht="15">
      <c r="A150" s="236">
        <v>147</v>
      </c>
      <c r="B150" s="220" t="s">
        <v>151</v>
      </c>
      <c r="C150" s="158">
        <v>38912</v>
      </c>
      <c r="D150" s="157" t="s">
        <v>57</v>
      </c>
      <c r="E150" s="157" t="s">
        <v>145</v>
      </c>
      <c r="F150" s="159">
        <v>11</v>
      </c>
      <c r="G150" s="159">
        <v>8</v>
      </c>
      <c r="H150" s="266">
        <v>63900</v>
      </c>
      <c r="I150" s="295">
        <v>8297</v>
      </c>
      <c r="J150" s="182">
        <v>7.701578883933952</v>
      </c>
    </row>
    <row r="151" spans="1:10" s="136" customFormat="1" ht="15">
      <c r="A151" s="236">
        <v>148</v>
      </c>
      <c r="B151" s="222" t="s">
        <v>254</v>
      </c>
      <c r="C151" s="158">
        <v>38947</v>
      </c>
      <c r="D151" s="164" t="s">
        <v>35</v>
      </c>
      <c r="E151" s="164" t="s">
        <v>218</v>
      </c>
      <c r="F151" s="251">
        <v>10</v>
      </c>
      <c r="G151" s="251">
        <v>10</v>
      </c>
      <c r="H151" s="267">
        <v>63674</v>
      </c>
      <c r="I151" s="296">
        <v>9460</v>
      </c>
      <c r="J151" s="183">
        <f>+H151/I151</f>
        <v>6.730866807610994</v>
      </c>
    </row>
    <row r="152" spans="1:10" s="136" customFormat="1" ht="15">
      <c r="A152" s="236">
        <v>149</v>
      </c>
      <c r="B152" s="223" t="s">
        <v>266</v>
      </c>
      <c r="C152" s="158">
        <v>38758</v>
      </c>
      <c r="D152" s="166" t="s">
        <v>76</v>
      </c>
      <c r="E152" s="166" t="s">
        <v>267</v>
      </c>
      <c r="F152" s="170">
        <v>4</v>
      </c>
      <c r="G152" s="170">
        <v>24</v>
      </c>
      <c r="H152" s="266">
        <v>63429.5</v>
      </c>
      <c r="I152" s="295">
        <v>12176</v>
      </c>
      <c r="J152" s="182">
        <v>5.209387319316688</v>
      </c>
    </row>
    <row r="153" spans="1:10" s="136" customFormat="1" ht="15">
      <c r="A153" s="236">
        <v>150</v>
      </c>
      <c r="B153" s="220" t="s">
        <v>243</v>
      </c>
      <c r="C153" s="158">
        <v>38828</v>
      </c>
      <c r="D153" s="157" t="s">
        <v>35</v>
      </c>
      <c r="E153" s="157" t="s">
        <v>124</v>
      </c>
      <c r="F153" s="159">
        <v>5</v>
      </c>
      <c r="G153" s="159">
        <v>16</v>
      </c>
      <c r="H153" s="266">
        <v>61621.4</v>
      </c>
      <c r="I153" s="297">
        <v>9867</v>
      </c>
      <c r="J153" s="182">
        <v>6.245201175635958</v>
      </c>
    </row>
    <row r="154" spans="1:10" s="136" customFormat="1" ht="15">
      <c r="A154" s="236">
        <v>151</v>
      </c>
      <c r="B154" s="223" t="s">
        <v>116</v>
      </c>
      <c r="C154" s="309">
        <v>38870</v>
      </c>
      <c r="D154" s="166" t="s">
        <v>76</v>
      </c>
      <c r="E154" s="166" t="s">
        <v>271</v>
      </c>
      <c r="F154" s="170">
        <v>5</v>
      </c>
      <c r="G154" s="170">
        <v>19</v>
      </c>
      <c r="H154" s="266">
        <f>20882.25+8209.5+3896+2400+1136+1611+7379.5+2057+1578+454+596+242+607+80+357.5+2184+1212+1863+930+2850</f>
        <v>60524.75</v>
      </c>
      <c r="I154" s="295">
        <f>2709+885+473+442+218+235+996+335+288+86+108+45+118+20+53+550+402+621+190+950</f>
        <v>9724</v>
      </c>
      <c r="J154" s="183">
        <f aca="true" t="shared" si="0" ref="J154:J160">+H154/I154</f>
        <v>6.224264705882353</v>
      </c>
    </row>
    <row r="155" spans="1:10" s="136" customFormat="1" ht="15">
      <c r="A155" s="236">
        <v>152</v>
      </c>
      <c r="B155" s="223" t="s">
        <v>342</v>
      </c>
      <c r="C155" s="309">
        <v>39010</v>
      </c>
      <c r="D155" s="166" t="s">
        <v>76</v>
      </c>
      <c r="E155" s="166" t="s">
        <v>136</v>
      </c>
      <c r="F155" s="170">
        <v>4</v>
      </c>
      <c r="G155" s="170">
        <v>2</v>
      </c>
      <c r="H155" s="266">
        <f>29917+16679+11125</f>
        <v>57721</v>
      </c>
      <c r="I155" s="295">
        <f>3239+2157+1429</f>
        <v>6825</v>
      </c>
      <c r="J155" s="183">
        <f t="shared" si="0"/>
        <v>8.457289377289378</v>
      </c>
    </row>
    <row r="156" spans="1:10" s="136" customFormat="1" ht="15">
      <c r="A156" s="236">
        <v>153</v>
      </c>
      <c r="B156" s="256" t="s">
        <v>81</v>
      </c>
      <c r="C156" s="158">
        <v>38779</v>
      </c>
      <c r="D156" s="173" t="s">
        <v>76</v>
      </c>
      <c r="E156" s="166" t="s">
        <v>138</v>
      </c>
      <c r="F156" s="170">
        <v>10</v>
      </c>
      <c r="G156" s="170">
        <v>25</v>
      </c>
      <c r="H156" s="272">
        <f>19635+7029.5+1939.5+1932.5+1425+2285+846+5995.5+272.5+3026+831+1782+1425+2693.5+831+321+104+2033+455+780+635+1020+66+201+102</f>
        <v>57666</v>
      </c>
      <c r="I156" s="299">
        <f>2548+994+309+438+475+587+190+1491+27+979+277+594+475+870+277+75+26+361+82+165+100+310+22+67+34</f>
        <v>11773</v>
      </c>
      <c r="J156" s="183">
        <f t="shared" si="0"/>
        <v>4.898156799456383</v>
      </c>
    </row>
    <row r="157" spans="1:10" s="136" customFormat="1" ht="15">
      <c r="A157" s="236">
        <v>154</v>
      </c>
      <c r="B157" s="255" t="s">
        <v>161</v>
      </c>
      <c r="C157" s="247">
        <v>38919</v>
      </c>
      <c r="D157" s="246" t="s">
        <v>26</v>
      </c>
      <c r="E157" s="246" t="s">
        <v>88</v>
      </c>
      <c r="F157" s="248">
        <v>10</v>
      </c>
      <c r="G157" s="248">
        <v>9</v>
      </c>
      <c r="H157" s="270">
        <f>16518+9313.5+7099.5+4944+5293+3705.5+4259+4016+266</f>
        <v>55414.5</v>
      </c>
      <c r="I157" s="298">
        <f>1879+1086+1042+872+917+688+885+838+49</f>
        <v>8256</v>
      </c>
      <c r="J157" s="183">
        <f t="shared" si="0"/>
        <v>6.7120276162790695</v>
      </c>
    </row>
    <row r="158" spans="1:10" s="136" customFormat="1" ht="15">
      <c r="A158" s="236">
        <v>155</v>
      </c>
      <c r="B158" s="220" t="s">
        <v>241</v>
      </c>
      <c r="C158" s="161" t="s">
        <v>318</v>
      </c>
      <c r="D158" s="164" t="s">
        <v>35</v>
      </c>
      <c r="E158" s="164" t="s">
        <v>79</v>
      </c>
      <c r="F158" s="165" t="s">
        <v>236</v>
      </c>
      <c r="G158" s="165" t="s">
        <v>320</v>
      </c>
      <c r="H158" s="267">
        <v>53632</v>
      </c>
      <c r="I158" s="296">
        <v>7373</v>
      </c>
      <c r="J158" s="183">
        <f t="shared" si="0"/>
        <v>7.274108232741082</v>
      </c>
    </row>
    <row r="159" spans="1:10" s="136" customFormat="1" ht="15">
      <c r="A159" s="236">
        <v>156</v>
      </c>
      <c r="B159" s="224" t="s">
        <v>212</v>
      </c>
      <c r="C159" s="161">
        <v>38940</v>
      </c>
      <c r="D159" s="164" t="s">
        <v>57</v>
      </c>
      <c r="E159" s="164" t="s">
        <v>145</v>
      </c>
      <c r="F159" s="165" t="s">
        <v>118</v>
      </c>
      <c r="G159" s="165" t="s">
        <v>330</v>
      </c>
      <c r="H159" s="267">
        <v>48690</v>
      </c>
      <c r="I159" s="296">
        <v>6385</v>
      </c>
      <c r="J159" s="183">
        <f t="shared" si="0"/>
        <v>7.625685199686766</v>
      </c>
    </row>
    <row r="160" spans="1:10" s="136" customFormat="1" ht="15">
      <c r="A160" s="236">
        <v>157</v>
      </c>
      <c r="B160" s="257" t="s">
        <v>226</v>
      </c>
      <c r="C160" s="161">
        <v>38954</v>
      </c>
      <c r="D160" s="164" t="s">
        <v>57</v>
      </c>
      <c r="E160" s="164" t="s">
        <v>145</v>
      </c>
      <c r="F160" s="165" t="s">
        <v>227</v>
      </c>
      <c r="G160" s="165" t="s">
        <v>118</v>
      </c>
      <c r="H160" s="273">
        <v>47831</v>
      </c>
      <c r="I160" s="296">
        <v>5101</v>
      </c>
      <c r="J160" s="183">
        <f t="shared" si="0"/>
        <v>9.376788864928445</v>
      </c>
    </row>
    <row r="161" spans="1:10" s="136" customFormat="1" ht="15">
      <c r="A161" s="236">
        <v>158</v>
      </c>
      <c r="B161" s="224" t="s">
        <v>165</v>
      </c>
      <c r="C161" s="161">
        <v>38926</v>
      </c>
      <c r="D161" s="157" t="s">
        <v>57</v>
      </c>
      <c r="E161" s="164" t="s">
        <v>145</v>
      </c>
      <c r="F161" s="165" t="s">
        <v>166</v>
      </c>
      <c r="G161" s="165" t="s">
        <v>237</v>
      </c>
      <c r="H161" s="269">
        <v>47356</v>
      </c>
      <c r="I161" s="297">
        <v>6029</v>
      </c>
      <c r="J161" s="182">
        <v>7.8547022723503055</v>
      </c>
    </row>
    <row r="162" spans="1:10" s="136" customFormat="1" ht="15">
      <c r="A162" s="236">
        <v>159</v>
      </c>
      <c r="B162" s="220" t="s">
        <v>114</v>
      </c>
      <c r="C162" s="158">
        <v>38870</v>
      </c>
      <c r="D162" s="164" t="s">
        <v>57</v>
      </c>
      <c r="E162" s="157" t="s">
        <v>115</v>
      </c>
      <c r="F162" s="159">
        <v>5</v>
      </c>
      <c r="G162" s="159">
        <v>7</v>
      </c>
      <c r="H162" s="266">
        <v>45165</v>
      </c>
      <c r="I162" s="295">
        <v>5611</v>
      </c>
      <c r="J162" s="182">
        <v>8.04936731420424</v>
      </c>
    </row>
    <row r="163" spans="1:10" s="136" customFormat="1" ht="15">
      <c r="A163" s="236">
        <v>160</v>
      </c>
      <c r="B163" s="224" t="s">
        <v>69</v>
      </c>
      <c r="C163" s="161">
        <v>38835</v>
      </c>
      <c r="D163" s="164" t="s">
        <v>57</v>
      </c>
      <c r="E163" s="164" t="s">
        <v>62</v>
      </c>
      <c r="F163" s="165" t="s">
        <v>118</v>
      </c>
      <c r="G163" s="165" t="s">
        <v>118</v>
      </c>
      <c r="H163" s="266">
        <v>41766</v>
      </c>
      <c r="I163" s="295">
        <v>5455</v>
      </c>
      <c r="J163" s="182">
        <v>7.656461961503208</v>
      </c>
    </row>
    <row r="164" spans="1:10" s="136" customFormat="1" ht="15">
      <c r="A164" s="236">
        <v>161</v>
      </c>
      <c r="B164" s="223" t="s">
        <v>78</v>
      </c>
      <c r="C164" s="158">
        <v>38849</v>
      </c>
      <c r="D164" s="160" t="s">
        <v>76</v>
      </c>
      <c r="E164" s="166" t="s">
        <v>79</v>
      </c>
      <c r="F164" s="170">
        <v>4</v>
      </c>
      <c r="G164" s="170">
        <v>10</v>
      </c>
      <c r="H164" s="272">
        <f>12183.25+8569+5406+1833+4570+3387+1518.5+434.5+616.5+714+1068</f>
        <v>40299.75</v>
      </c>
      <c r="I164" s="299">
        <f>1678+1149+734+247+1506+495+228+65+102+238+356</f>
        <v>6798</v>
      </c>
      <c r="J164" s="183">
        <f>+H164/I164</f>
        <v>5.928177405119152</v>
      </c>
    </row>
    <row r="165" spans="1:10" s="136" customFormat="1" ht="15">
      <c r="A165" s="236">
        <v>162</v>
      </c>
      <c r="B165" s="221" t="s">
        <v>89</v>
      </c>
      <c r="C165" s="161">
        <v>38793</v>
      </c>
      <c r="D165" s="160" t="s">
        <v>7</v>
      </c>
      <c r="E165" s="160" t="s">
        <v>90</v>
      </c>
      <c r="F165" s="163">
        <v>2</v>
      </c>
      <c r="G165" s="163">
        <v>15</v>
      </c>
      <c r="H165" s="271">
        <f>34394.5+636+91+134+3682</f>
        <v>38937.5</v>
      </c>
      <c r="I165" s="295">
        <f>4287+79+17+25+920</f>
        <v>5328</v>
      </c>
      <c r="J165" s="184">
        <f>IF(H165&lt;&gt;0,H165/I165,"")</f>
        <v>7.30808933933934</v>
      </c>
    </row>
    <row r="166" spans="1:10" s="136" customFormat="1" ht="15">
      <c r="A166" s="236">
        <v>163</v>
      </c>
      <c r="B166" s="223" t="s">
        <v>77</v>
      </c>
      <c r="C166" s="158">
        <v>38856</v>
      </c>
      <c r="D166" s="166" t="s">
        <v>76</v>
      </c>
      <c r="E166" s="166" t="s">
        <v>79</v>
      </c>
      <c r="F166" s="170">
        <v>10</v>
      </c>
      <c r="G166" s="170">
        <v>9</v>
      </c>
      <c r="H166" s="266">
        <v>35206</v>
      </c>
      <c r="I166" s="295">
        <v>5544</v>
      </c>
      <c r="J166" s="182">
        <v>6.3502886002886</v>
      </c>
    </row>
    <row r="167" spans="1:10" s="136" customFormat="1" ht="15">
      <c r="A167" s="236">
        <v>164</v>
      </c>
      <c r="B167" s="220" t="s">
        <v>235</v>
      </c>
      <c r="C167" s="158">
        <v>38961</v>
      </c>
      <c r="D167" s="157" t="s">
        <v>365</v>
      </c>
      <c r="E167" s="157" t="s">
        <v>65</v>
      </c>
      <c r="F167" s="159">
        <v>10</v>
      </c>
      <c r="G167" s="159">
        <v>9</v>
      </c>
      <c r="H167" s="266">
        <f>13391.5+6244+2472+1608+617+2948.5+2831+3420+1041</f>
        <v>34573</v>
      </c>
      <c r="I167" s="295">
        <f>1429+677+335+249+125+524+508+849+533</f>
        <v>5229</v>
      </c>
      <c r="J167" s="184">
        <f>+H167/I167</f>
        <v>6.611780455153949</v>
      </c>
    </row>
    <row r="168" spans="1:10" s="136" customFormat="1" ht="15">
      <c r="A168" s="236">
        <v>165</v>
      </c>
      <c r="B168" s="220" t="s">
        <v>91</v>
      </c>
      <c r="C168" s="158">
        <v>38786</v>
      </c>
      <c r="D168" s="164" t="s">
        <v>2</v>
      </c>
      <c r="E168" s="164" t="s">
        <v>213</v>
      </c>
      <c r="F168" s="159">
        <v>7</v>
      </c>
      <c r="G168" s="159">
        <v>17</v>
      </c>
      <c r="H168" s="266">
        <v>33876.5</v>
      </c>
      <c r="I168" s="295">
        <v>7719</v>
      </c>
      <c r="J168" s="184">
        <f>+H168/I168</f>
        <v>4.38871615494235</v>
      </c>
    </row>
    <row r="169" spans="1:10" s="136" customFormat="1" ht="15">
      <c r="A169" s="236">
        <v>166</v>
      </c>
      <c r="B169" s="223" t="s">
        <v>221</v>
      </c>
      <c r="C169" s="158">
        <v>38905</v>
      </c>
      <c r="D169" s="160" t="s">
        <v>76</v>
      </c>
      <c r="E169" s="166" t="s">
        <v>152</v>
      </c>
      <c r="F169" s="170">
        <v>10</v>
      </c>
      <c r="G169" s="170">
        <v>12</v>
      </c>
      <c r="H169" s="266">
        <f>13259+2856.5+4926+4327+1719+1667.5+386+326+213+271+1196+119</f>
        <v>31266</v>
      </c>
      <c r="I169" s="295">
        <f>1361+397+710+656+352+358+85+53+51+67+388+28</f>
        <v>4506</v>
      </c>
      <c r="J169" s="183">
        <f>+H169/I169</f>
        <v>6.938748335552597</v>
      </c>
    </row>
    <row r="170" spans="1:10" s="136" customFormat="1" ht="15">
      <c r="A170" s="236">
        <v>167</v>
      </c>
      <c r="B170" s="220" t="s">
        <v>268</v>
      </c>
      <c r="C170" s="158">
        <v>38870</v>
      </c>
      <c r="D170" s="160" t="s">
        <v>76</v>
      </c>
      <c r="E170" s="157" t="s">
        <v>269</v>
      </c>
      <c r="F170" s="159">
        <v>5</v>
      </c>
      <c r="G170" s="159">
        <v>16</v>
      </c>
      <c r="H170" s="266">
        <v>30375</v>
      </c>
      <c r="I170" s="295">
        <v>4646</v>
      </c>
      <c r="J170" s="182">
        <v>6.537882049074471</v>
      </c>
    </row>
    <row r="171" spans="1:10" s="136" customFormat="1" ht="15">
      <c r="A171" s="236">
        <v>168</v>
      </c>
      <c r="B171" s="223" t="s">
        <v>327</v>
      </c>
      <c r="C171" s="309">
        <v>38996</v>
      </c>
      <c r="D171" s="166" t="s">
        <v>76</v>
      </c>
      <c r="E171" s="166" t="s">
        <v>269</v>
      </c>
      <c r="F171" s="170">
        <v>3</v>
      </c>
      <c r="G171" s="170">
        <v>4</v>
      </c>
      <c r="H171" s="266">
        <f>10863.75+6916+6396+452+3034</f>
        <v>27661.75</v>
      </c>
      <c r="I171" s="295">
        <f>2246+865+798+56+383</f>
        <v>4348</v>
      </c>
      <c r="J171" s="183">
        <f>+H171/I171</f>
        <v>6.361948022079117</v>
      </c>
    </row>
    <row r="172" spans="1:10" s="136" customFormat="1" ht="15">
      <c r="A172" s="236">
        <v>169</v>
      </c>
      <c r="B172" s="257" t="s">
        <v>219</v>
      </c>
      <c r="C172" s="161">
        <v>38947</v>
      </c>
      <c r="D172" s="164" t="s">
        <v>57</v>
      </c>
      <c r="E172" s="164" t="s">
        <v>115</v>
      </c>
      <c r="F172" s="165" t="s">
        <v>220</v>
      </c>
      <c r="G172" s="165" t="s">
        <v>330</v>
      </c>
      <c r="H172" s="273">
        <v>25282.5</v>
      </c>
      <c r="I172" s="296">
        <v>3370</v>
      </c>
      <c r="J172" s="183">
        <f>+H172/I172</f>
        <v>7.502225519287834</v>
      </c>
    </row>
    <row r="173" spans="1:10" s="136" customFormat="1" ht="15">
      <c r="A173" s="236">
        <v>170</v>
      </c>
      <c r="B173" s="223" t="s">
        <v>92</v>
      </c>
      <c r="C173" s="158">
        <v>38751</v>
      </c>
      <c r="D173" s="166" t="s">
        <v>76</v>
      </c>
      <c r="E173" s="166" t="s">
        <v>93</v>
      </c>
      <c r="F173" s="170">
        <v>1</v>
      </c>
      <c r="G173" s="170">
        <v>11</v>
      </c>
      <c r="H173" s="266">
        <v>24933</v>
      </c>
      <c r="I173" s="295">
        <v>3455</v>
      </c>
      <c r="J173" s="182">
        <v>7.2164978292329955</v>
      </c>
    </row>
    <row r="174" spans="1:10" s="136" customFormat="1" ht="15">
      <c r="A174" s="236">
        <v>171</v>
      </c>
      <c r="B174" s="220" t="s">
        <v>203</v>
      </c>
      <c r="C174" s="158">
        <v>38884</v>
      </c>
      <c r="D174" s="164" t="s">
        <v>57</v>
      </c>
      <c r="E174" s="157" t="s">
        <v>42</v>
      </c>
      <c r="F174" s="159">
        <v>10</v>
      </c>
      <c r="G174" s="159">
        <v>10</v>
      </c>
      <c r="H174" s="266">
        <v>24066.5</v>
      </c>
      <c r="I174" s="295">
        <v>3774</v>
      </c>
      <c r="J174" s="182">
        <v>6.376921038685745</v>
      </c>
    </row>
    <row r="175" spans="1:10" s="136" customFormat="1" ht="15">
      <c r="A175" s="236">
        <v>172</v>
      </c>
      <c r="B175" s="220" t="s">
        <v>326</v>
      </c>
      <c r="C175" s="158">
        <v>38996</v>
      </c>
      <c r="D175" s="164" t="s">
        <v>35</v>
      </c>
      <c r="E175" s="164" t="s">
        <v>93</v>
      </c>
      <c r="F175" s="251">
        <v>5</v>
      </c>
      <c r="G175" s="251">
        <v>4</v>
      </c>
      <c r="H175" s="267">
        <v>23079</v>
      </c>
      <c r="I175" s="296">
        <v>2368</v>
      </c>
      <c r="J175" s="183">
        <f>+H175/I175</f>
        <v>9.746199324324325</v>
      </c>
    </row>
    <row r="176" spans="1:10" s="136" customFormat="1" ht="15">
      <c r="A176" s="236">
        <v>173</v>
      </c>
      <c r="B176" s="223" t="s">
        <v>169</v>
      </c>
      <c r="C176" s="158">
        <v>38919</v>
      </c>
      <c r="D176" s="160" t="s">
        <v>76</v>
      </c>
      <c r="E176" s="166" t="s">
        <v>93</v>
      </c>
      <c r="F176" s="170">
        <v>4</v>
      </c>
      <c r="G176" s="170">
        <v>9</v>
      </c>
      <c r="H176" s="266">
        <f>3116.25+6870.5+2836+1054+450+770+2580.5+1191+2755.5+166</f>
        <v>21789.75</v>
      </c>
      <c r="I176" s="295">
        <f>523+774+396+145+61+139+385+176+597+25</f>
        <v>3221</v>
      </c>
      <c r="J176" s="184">
        <f>IF(H176&lt;&gt;0,H176/I176,"")</f>
        <v>6.764902204284383</v>
      </c>
    </row>
    <row r="177" spans="1:10" s="136" customFormat="1" ht="15">
      <c r="A177" s="236">
        <v>174</v>
      </c>
      <c r="B177" s="223" t="s">
        <v>96</v>
      </c>
      <c r="C177" s="158">
        <v>38786</v>
      </c>
      <c r="D177" s="166" t="s">
        <v>76</v>
      </c>
      <c r="E177" s="166" t="s">
        <v>97</v>
      </c>
      <c r="F177" s="170">
        <v>6</v>
      </c>
      <c r="G177" s="170">
        <v>11</v>
      </c>
      <c r="H177" s="266">
        <v>18808.5</v>
      </c>
      <c r="I177" s="295">
        <v>2922</v>
      </c>
      <c r="J177" s="182">
        <v>6.436858316221767</v>
      </c>
    </row>
    <row r="178" spans="1:10" s="136" customFormat="1" ht="15">
      <c r="A178" s="236">
        <v>175</v>
      </c>
      <c r="B178" s="223" t="s">
        <v>272</v>
      </c>
      <c r="C178" s="158">
        <v>38835</v>
      </c>
      <c r="D178" s="166" t="s">
        <v>76</v>
      </c>
      <c r="E178" s="166" t="s">
        <v>136</v>
      </c>
      <c r="F178" s="170">
        <v>5</v>
      </c>
      <c r="G178" s="170">
        <v>12</v>
      </c>
      <c r="H178" s="266">
        <v>17668</v>
      </c>
      <c r="I178" s="295">
        <v>2941</v>
      </c>
      <c r="J178" s="182">
        <v>6.00748044882693</v>
      </c>
    </row>
    <row r="179" spans="1:10" s="136" customFormat="1" ht="15">
      <c r="A179" s="236">
        <v>176</v>
      </c>
      <c r="B179" s="223" t="s">
        <v>153</v>
      </c>
      <c r="C179" s="158">
        <v>38912</v>
      </c>
      <c r="D179" s="160" t="s">
        <v>76</v>
      </c>
      <c r="E179" s="166" t="s">
        <v>154</v>
      </c>
      <c r="F179" s="170">
        <v>1</v>
      </c>
      <c r="G179" s="170">
        <v>10</v>
      </c>
      <c r="H179" s="266">
        <f>3860+2691+2385+1350+1075+444+48+1571+1739+1606+278</f>
        <v>17047</v>
      </c>
      <c r="I179" s="295">
        <f>509+453+477+230+215+74+6+267+256+239+41</f>
        <v>2767</v>
      </c>
      <c r="J179" s="184">
        <f>IF(H179&lt;&gt;0,H179/I179,"")</f>
        <v>6.160823997108782</v>
      </c>
    </row>
    <row r="180" spans="1:10" s="136" customFormat="1" ht="15">
      <c r="A180" s="236">
        <v>177</v>
      </c>
      <c r="B180" s="258" t="s">
        <v>346</v>
      </c>
      <c r="C180" s="158">
        <v>39010</v>
      </c>
      <c r="D180" s="157" t="s">
        <v>42</v>
      </c>
      <c r="E180" s="157" t="s">
        <v>347</v>
      </c>
      <c r="F180" s="159">
        <v>1</v>
      </c>
      <c r="G180" s="159">
        <v>2</v>
      </c>
      <c r="H180" s="266">
        <v>16797</v>
      </c>
      <c r="I180" s="295">
        <v>2065</v>
      </c>
      <c r="J180" s="183">
        <f>+H180/I180</f>
        <v>8.13414043583535</v>
      </c>
    </row>
    <row r="181" spans="1:10" s="136" customFormat="1" ht="15">
      <c r="A181" s="236">
        <v>178</v>
      </c>
      <c r="B181" s="256" t="s">
        <v>146</v>
      </c>
      <c r="C181" s="158">
        <v>38898</v>
      </c>
      <c r="D181" s="173" t="s">
        <v>76</v>
      </c>
      <c r="E181" s="166" t="s">
        <v>335</v>
      </c>
      <c r="F181" s="170">
        <v>5</v>
      </c>
      <c r="G181" s="170">
        <v>10</v>
      </c>
      <c r="H181" s="272">
        <f>6551.5+3573+601+2282+519.5+723+269+40+831+565</f>
        <v>15955</v>
      </c>
      <c r="I181" s="299">
        <f>756+441+97+365+71+118+58+8+277+117</f>
        <v>2308</v>
      </c>
      <c r="J181" s="183">
        <f>+H181/I181</f>
        <v>6.912911611785096</v>
      </c>
    </row>
    <row r="182" spans="1:10" s="136" customFormat="1" ht="15">
      <c r="A182" s="236">
        <v>179</v>
      </c>
      <c r="B182" s="223" t="s">
        <v>157</v>
      </c>
      <c r="C182" s="158">
        <v>38905</v>
      </c>
      <c r="D182" s="160" t="s">
        <v>76</v>
      </c>
      <c r="E182" s="166" t="s">
        <v>158</v>
      </c>
      <c r="F182" s="170">
        <v>5</v>
      </c>
      <c r="G182" s="170">
        <v>8</v>
      </c>
      <c r="H182" s="266">
        <f>8511+1752+1606+618+128+1303.5+188+831</f>
        <v>14937.5</v>
      </c>
      <c r="I182" s="295">
        <f>922+255+257+76+16+206+44+277</f>
        <v>2053</v>
      </c>
      <c r="J182" s="183">
        <f>+H182/I182</f>
        <v>7.275937652216269</v>
      </c>
    </row>
    <row r="183" spans="1:10" s="136" customFormat="1" ht="15">
      <c r="A183" s="236">
        <v>180</v>
      </c>
      <c r="B183" s="221" t="s">
        <v>94</v>
      </c>
      <c r="C183" s="158">
        <v>38772</v>
      </c>
      <c r="D183" s="160" t="s">
        <v>42</v>
      </c>
      <c r="E183" s="160" t="s">
        <v>95</v>
      </c>
      <c r="F183" s="169">
        <v>1</v>
      </c>
      <c r="G183" s="163">
        <v>6</v>
      </c>
      <c r="H183" s="269">
        <v>14052</v>
      </c>
      <c r="I183" s="297">
        <v>1802</v>
      </c>
      <c r="J183" s="182">
        <v>7.798002219755827</v>
      </c>
    </row>
    <row r="184" spans="1:10" s="136" customFormat="1" ht="15">
      <c r="A184" s="236">
        <v>181</v>
      </c>
      <c r="B184" s="220" t="s">
        <v>131</v>
      </c>
      <c r="C184" s="158">
        <v>38884</v>
      </c>
      <c r="D184" s="157" t="s">
        <v>26</v>
      </c>
      <c r="E184" s="157" t="s">
        <v>125</v>
      </c>
      <c r="F184" s="159">
        <v>4</v>
      </c>
      <c r="G184" s="159">
        <v>10</v>
      </c>
      <c r="H184" s="266">
        <v>13481.5</v>
      </c>
      <c r="I184" s="295">
        <v>2162</v>
      </c>
      <c r="J184" s="182">
        <v>6.235661424606848</v>
      </c>
    </row>
    <row r="185" spans="1:10" s="136" customFormat="1" ht="15">
      <c r="A185" s="236">
        <v>182</v>
      </c>
      <c r="B185" s="220" t="s">
        <v>98</v>
      </c>
      <c r="C185" s="158">
        <v>38723</v>
      </c>
      <c r="D185" s="173" t="s">
        <v>76</v>
      </c>
      <c r="E185" s="157" t="s">
        <v>99</v>
      </c>
      <c r="F185" s="159">
        <v>5</v>
      </c>
      <c r="G185" s="159">
        <v>8</v>
      </c>
      <c r="H185" s="266">
        <v>12887</v>
      </c>
      <c r="I185" s="295">
        <v>1855</v>
      </c>
      <c r="J185" s="182">
        <v>6.947169811320754</v>
      </c>
    </row>
    <row r="186" spans="1:10" s="136" customFormat="1" ht="15">
      <c r="A186" s="236">
        <v>183</v>
      </c>
      <c r="B186" s="223" t="s">
        <v>167</v>
      </c>
      <c r="C186" s="158">
        <v>38926</v>
      </c>
      <c r="D186" s="157" t="s">
        <v>76</v>
      </c>
      <c r="E186" s="166" t="s">
        <v>168</v>
      </c>
      <c r="F186" s="170">
        <v>14</v>
      </c>
      <c r="G186" s="170">
        <v>7</v>
      </c>
      <c r="H186" s="266">
        <v>12199</v>
      </c>
      <c r="I186" s="295">
        <v>1730</v>
      </c>
      <c r="J186" s="182">
        <v>7.0514450867052005</v>
      </c>
    </row>
    <row r="187" spans="1:10" s="136" customFormat="1" ht="15">
      <c r="A187" s="236">
        <v>184</v>
      </c>
      <c r="B187" s="257" t="s">
        <v>262</v>
      </c>
      <c r="C187" s="161">
        <v>38968</v>
      </c>
      <c r="D187" s="164" t="s">
        <v>57</v>
      </c>
      <c r="E187" s="164" t="s">
        <v>298</v>
      </c>
      <c r="F187" s="165" t="s">
        <v>236</v>
      </c>
      <c r="G187" s="165" t="s">
        <v>237</v>
      </c>
      <c r="H187" s="273">
        <v>12123.5</v>
      </c>
      <c r="I187" s="296">
        <v>1628</v>
      </c>
      <c r="J187" s="183">
        <f>+H187/I187</f>
        <v>7.446867321867322</v>
      </c>
    </row>
    <row r="188" spans="1:10" s="136" customFormat="1" ht="15">
      <c r="A188" s="236">
        <v>185</v>
      </c>
      <c r="B188" s="223" t="s">
        <v>305</v>
      </c>
      <c r="C188" s="309">
        <v>38982</v>
      </c>
      <c r="D188" s="166" t="s">
        <v>76</v>
      </c>
      <c r="E188" s="166" t="s">
        <v>306</v>
      </c>
      <c r="F188" s="170">
        <v>10</v>
      </c>
      <c r="G188" s="170">
        <v>6</v>
      </c>
      <c r="H188" s="266">
        <f>6868.5+1740+645.5+549.5+648.5+1122</f>
        <v>11574</v>
      </c>
      <c r="I188" s="295">
        <f>870+261+121+95+364+373</f>
        <v>2084</v>
      </c>
      <c r="J188" s="183">
        <f>+H188/I188</f>
        <v>5.553742802303263</v>
      </c>
    </row>
    <row r="189" spans="1:10" s="136" customFormat="1" ht="15">
      <c r="A189" s="236">
        <v>186</v>
      </c>
      <c r="B189" s="257" t="s">
        <v>100</v>
      </c>
      <c r="C189" s="161">
        <v>38821</v>
      </c>
      <c r="D189" s="164" t="s">
        <v>57</v>
      </c>
      <c r="E189" s="160" t="s">
        <v>101</v>
      </c>
      <c r="F189" s="251">
        <v>5</v>
      </c>
      <c r="G189" s="251">
        <v>6</v>
      </c>
      <c r="H189" s="267">
        <v>10838.5</v>
      </c>
      <c r="I189" s="296">
        <v>1591</v>
      </c>
      <c r="J189" s="183">
        <f>+H189/I189</f>
        <v>6.812382149591452</v>
      </c>
    </row>
    <row r="190" spans="1:10" s="136" customFormat="1" ht="15">
      <c r="A190" s="236">
        <v>187</v>
      </c>
      <c r="B190" s="256" t="s">
        <v>83</v>
      </c>
      <c r="C190" s="158">
        <v>38849</v>
      </c>
      <c r="D190" s="173" t="s">
        <v>340</v>
      </c>
      <c r="E190" s="166" t="s">
        <v>84</v>
      </c>
      <c r="F190" s="170">
        <v>1</v>
      </c>
      <c r="G190" s="170">
        <v>11</v>
      </c>
      <c r="H190" s="266">
        <f>3427.5+602+330+168+951+77+360+573.5+694+1188+1068+276</f>
        <v>9715</v>
      </c>
      <c r="I190" s="295">
        <f>772+80+66+24+317+11+62+86+103+396+164+92</f>
        <v>2173</v>
      </c>
      <c r="J190" s="183">
        <f>+H190/I190</f>
        <v>4.470777726645191</v>
      </c>
    </row>
    <row r="191" spans="1:10" s="136" customFormat="1" ht="15">
      <c r="A191" s="236">
        <v>188</v>
      </c>
      <c r="B191" s="224" t="s">
        <v>328</v>
      </c>
      <c r="C191" s="161">
        <v>38996</v>
      </c>
      <c r="D191" s="164" t="s">
        <v>57</v>
      </c>
      <c r="E191" s="164" t="s">
        <v>145</v>
      </c>
      <c r="F191" s="165" t="s">
        <v>329</v>
      </c>
      <c r="G191" s="165" t="s">
        <v>236</v>
      </c>
      <c r="H191" s="267">
        <v>8345.5</v>
      </c>
      <c r="I191" s="296">
        <v>936</v>
      </c>
      <c r="J191" s="184">
        <f>+H191/I191</f>
        <v>8.916132478632479</v>
      </c>
    </row>
    <row r="192" spans="1:10" s="136" customFormat="1" ht="15">
      <c r="A192" s="236">
        <v>189</v>
      </c>
      <c r="B192" s="220" t="s">
        <v>102</v>
      </c>
      <c r="C192" s="161">
        <v>38758</v>
      </c>
      <c r="D192" s="157" t="s">
        <v>42</v>
      </c>
      <c r="E192" s="157" t="s">
        <v>103</v>
      </c>
      <c r="F192" s="159">
        <v>4</v>
      </c>
      <c r="G192" s="159">
        <v>10</v>
      </c>
      <c r="H192" s="269">
        <v>6143</v>
      </c>
      <c r="I192" s="297">
        <v>976</v>
      </c>
      <c r="J192" s="182">
        <v>6.29405737704918</v>
      </c>
    </row>
    <row r="193" spans="1:10" s="136" customFormat="1" ht="15">
      <c r="A193" s="236">
        <v>190</v>
      </c>
      <c r="B193" s="223" t="s">
        <v>137</v>
      </c>
      <c r="C193" s="158">
        <v>38891</v>
      </c>
      <c r="D193" s="157" t="s">
        <v>76</v>
      </c>
      <c r="E193" s="166" t="s">
        <v>238</v>
      </c>
      <c r="F193" s="170">
        <v>1</v>
      </c>
      <c r="G193" s="170">
        <v>5</v>
      </c>
      <c r="H193" s="266">
        <v>5184.5</v>
      </c>
      <c r="I193" s="295">
        <v>1126</v>
      </c>
      <c r="J193" s="182">
        <v>4.604351687388986</v>
      </c>
    </row>
    <row r="194" spans="1:10" s="136" customFormat="1" ht="15">
      <c r="A194" s="236">
        <v>191</v>
      </c>
      <c r="B194" s="220" t="s">
        <v>104</v>
      </c>
      <c r="C194" s="158">
        <v>38807</v>
      </c>
      <c r="D194" s="160" t="s">
        <v>57</v>
      </c>
      <c r="E194" s="160" t="s">
        <v>298</v>
      </c>
      <c r="F194" s="159">
        <v>8</v>
      </c>
      <c r="G194" s="163">
        <v>5</v>
      </c>
      <c r="H194" s="266">
        <v>4628.5</v>
      </c>
      <c r="I194" s="295">
        <v>707</v>
      </c>
      <c r="J194" s="182">
        <v>6.546676096181047</v>
      </c>
    </row>
    <row r="195" spans="1:10" s="136" customFormat="1" ht="15.75" thickBot="1">
      <c r="A195" s="236">
        <v>192</v>
      </c>
      <c r="B195" s="241" t="s">
        <v>149</v>
      </c>
      <c r="C195" s="186">
        <v>38905</v>
      </c>
      <c r="D195" s="279" t="s">
        <v>57</v>
      </c>
      <c r="E195" s="185" t="s">
        <v>57</v>
      </c>
      <c r="F195" s="187">
        <v>6</v>
      </c>
      <c r="G195" s="187">
        <v>1</v>
      </c>
      <c r="H195" s="276">
        <v>3614.5</v>
      </c>
      <c r="I195" s="303">
        <v>396</v>
      </c>
      <c r="J195" s="304">
        <v>9.127525252525253</v>
      </c>
    </row>
    <row r="196" spans="1:10" s="138" customFormat="1" ht="15">
      <c r="A196" s="388" t="s">
        <v>9</v>
      </c>
      <c r="B196" s="389"/>
      <c r="C196" s="225"/>
      <c r="D196" s="225"/>
      <c r="E196" s="225"/>
      <c r="F196" s="226">
        <f>SUM(F4:F195)</f>
        <v>9226</v>
      </c>
      <c r="G196" s="225"/>
      <c r="H196" s="227">
        <f>SUM(H4:H195)</f>
        <v>175776609.52</v>
      </c>
      <c r="I196" s="228">
        <f>SUM(I4:I195)</f>
        <v>25081635.400000002</v>
      </c>
      <c r="J196" s="229">
        <f>H196/I196</f>
        <v>7.008179758485764</v>
      </c>
    </row>
    <row r="197" spans="1:10" s="138" customFormat="1" ht="15.75" thickBot="1">
      <c r="A197" s="390" t="s">
        <v>40</v>
      </c>
      <c r="B197" s="391"/>
      <c r="C197" s="230"/>
      <c r="D197" s="230"/>
      <c r="E197" s="230"/>
      <c r="F197" s="231">
        <v>7922</v>
      </c>
      <c r="G197" s="230"/>
      <c r="H197" s="232">
        <v>128057874.22</v>
      </c>
      <c r="I197" s="233">
        <v>19559816</v>
      </c>
      <c r="J197" s="234">
        <f>H197/I197</f>
        <v>6.546987672072171</v>
      </c>
    </row>
    <row r="198" spans="1:10" s="136" customFormat="1" ht="13.5" thickBot="1">
      <c r="A198" s="148"/>
      <c r="B198" s="139"/>
      <c r="C198" s="140"/>
      <c r="D198" s="140"/>
      <c r="E198" s="140"/>
      <c r="F198" s="140"/>
      <c r="G198" s="140"/>
      <c r="H198" s="141"/>
      <c r="I198" s="191"/>
      <c r="J198" s="142"/>
    </row>
    <row r="199" spans="1:10" s="132" customFormat="1" ht="19.5" customHeight="1">
      <c r="A199" s="195"/>
      <c r="B199" s="378" t="s">
        <v>184</v>
      </c>
      <c r="C199" s="378"/>
      <c r="D199" s="348" t="s">
        <v>105</v>
      </c>
      <c r="E199" s="74"/>
      <c r="F199" s="348" t="s">
        <v>106</v>
      </c>
      <c r="G199" s="348"/>
      <c r="H199" s="348" t="s">
        <v>188</v>
      </c>
      <c r="I199" s="348"/>
      <c r="J199" s="376" t="s">
        <v>276</v>
      </c>
    </row>
    <row r="200" spans="1:10" s="132" customFormat="1" ht="27" customHeight="1" thickBot="1">
      <c r="A200" s="197"/>
      <c r="B200" s="379"/>
      <c r="C200" s="379"/>
      <c r="D200" s="341"/>
      <c r="E200" s="196"/>
      <c r="F200" s="341"/>
      <c r="G200" s="341"/>
      <c r="H200" s="129" t="s">
        <v>277</v>
      </c>
      <c r="I200" s="130" t="s">
        <v>175</v>
      </c>
      <c r="J200" s="377"/>
    </row>
    <row r="201" spans="1:10" ht="15">
      <c r="A201" s="188">
        <v>1</v>
      </c>
      <c r="B201" s="209" t="s">
        <v>107</v>
      </c>
      <c r="C201" s="47"/>
      <c r="D201" s="47">
        <v>20</v>
      </c>
      <c r="E201" s="47"/>
      <c r="F201" s="48">
        <v>1729</v>
      </c>
      <c r="G201" s="47"/>
      <c r="H201" s="63">
        <v>73061036.22</v>
      </c>
      <c r="I201" s="198">
        <v>11092450</v>
      </c>
      <c r="J201" s="62">
        <f>H201/I201</f>
        <v>6.586555379559971</v>
      </c>
    </row>
    <row r="202" spans="1:10" ht="15.75" thickBot="1">
      <c r="A202" s="189">
        <v>2</v>
      </c>
      <c r="B202" s="210" t="s">
        <v>108</v>
      </c>
      <c r="C202" s="199"/>
      <c r="D202" s="199">
        <v>172</v>
      </c>
      <c r="E202" s="199"/>
      <c r="F202" s="200">
        <f>F196-F201</f>
        <v>7497</v>
      </c>
      <c r="G202" s="199"/>
      <c r="H202" s="201">
        <f>H196-H201</f>
        <v>102715573.30000001</v>
      </c>
      <c r="I202" s="202">
        <f>I196-I201</f>
        <v>13989185.400000002</v>
      </c>
      <c r="J202" s="203">
        <f>H202/I202</f>
        <v>7.342498534618034</v>
      </c>
    </row>
    <row r="203" spans="1:10" s="67" customFormat="1" ht="15.75" thickBot="1">
      <c r="A203" s="392"/>
      <c r="B203" s="393"/>
      <c r="C203" s="204"/>
      <c r="D203" s="204">
        <f>SUM(D201:D202)</f>
        <v>192</v>
      </c>
      <c r="E203" s="204"/>
      <c r="F203" s="205">
        <f>SUM(F201:F202)</f>
        <v>9226</v>
      </c>
      <c r="G203" s="204"/>
      <c r="H203" s="206">
        <f>SUM(H201:H202)</f>
        <v>175776609.52</v>
      </c>
      <c r="I203" s="207">
        <f>SUM(I201:I202)</f>
        <v>25081635.400000002</v>
      </c>
      <c r="J203" s="208">
        <f>H203/I203</f>
        <v>7.008179758485764</v>
      </c>
    </row>
    <row r="204" spans="8:9" ht="12.75">
      <c r="H204" s="144"/>
      <c r="I204" s="192"/>
    </row>
    <row r="205" spans="8:9" ht="12.75">
      <c r="H205" s="144"/>
      <c r="I205" s="192"/>
    </row>
    <row r="206" spans="3:10" ht="12.75">
      <c r="C206" s="356" t="s">
        <v>310</v>
      </c>
      <c r="D206" s="383"/>
      <c r="E206" s="383"/>
      <c r="F206" s="383"/>
      <c r="G206" s="383"/>
      <c r="H206" s="383"/>
      <c r="I206" s="383"/>
      <c r="J206" s="383"/>
    </row>
    <row r="207" spans="3:10" ht="12.75">
      <c r="C207" s="383"/>
      <c r="D207" s="383"/>
      <c r="E207" s="383"/>
      <c r="F207" s="383"/>
      <c r="G207" s="383"/>
      <c r="H207" s="383"/>
      <c r="I207" s="383"/>
      <c r="J207" s="383"/>
    </row>
    <row r="208" spans="3:10" ht="12.75">
      <c r="C208" s="383"/>
      <c r="D208" s="383"/>
      <c r="E208" s="383"/>
      <c r="F208" s="383"/>
      <c r="G208" s="383"/>
      <c r="H208" s="383"/>
      <c r="I208" s="383"/>
      <c r="J208" s="383"/>
    </row>
    <row r="209" spans="3:10" ht="12.75">
      <c r="C209" s="383"/>
      <c r="D209" s="383"/>
      <c r="E209" s="383"/>
      <c r="F209" s="383"/>
      <c r="G209" s="383"/>
      <c r="H209" s="383"/>
      <c r="I209" s="383"/>
      <c r="J209" s="383"/>
    </row>
    <row r="210" spans="3:10" ht="12.75">
      <c r="C210" s="383"/>
      <c r="D210" s="383"/>
      <c r="E210" s="383"/>
      <c r="F210" s="383"/>
      <c r="G210" s="383"/>
      <c r="H210" s="383"/>
      <c r="I210" s="383"/>
      <c r="J210" s="383"/>
    </row>
    <row r="211" spans="3:10" ht="12.75">
      <c r="C211" s="383"/>
      <c r="D211" s="383"/>
      <c r="E211" s="383"/>
      <c r="F211" s="383"/>
      <c r="G211" s="383"/>
      <c r="H211" s="383"/>
      <c r="I211" s="383"/>
      <c r="J211" s="383"/>
    </row>
    <row r="212" spans="3:10" ht="12.75">
      <c r="C212" s="147"/>
      <c r="D212" s="147"/>
      <c r="E212" s="147"/>
      <c r="F212" s="147"/>
      <c r="G212" s="147"/>
      <c r="H212" s="193"/>
      <c r="I212" s="193"/>
      <c r="J212" s="147"/>
    </row>
    <row r="213" spans="3:10" ht="12.75">
      <c r="C213" s="384" t="s">
        <v>312</v>
      </c>
      <c r="D213" s="383"/>
      <c r="E213" s="383"/>
      <c r="F213" s="383"/>
      <c r="G213" s="383"/>
      <c r="H213" s="383"/>
      <c r="I213" s="383"/>
      <c r="J213" s="383"/>
    </row>
    <row r="214" spans="3:10" ht="12.75">
      <c r="C214" s="383"/>
      <c r="D214" s="383"/>
      <c r="E214" s="383"/>
      <c r="F214" s="383"/>
      <c r="G214" s="383"/>
      <c r="H214" s="383"/>
      <c r="I214" s="383"/>
      <c r="J214" s="383"/>
    </row>
    <row r="215" spans="3:10" ht="12.75">
      <c r="C215" s="383"/>
      <c r="D215" s="383"/>
      <c r="E215" s="383"/>
      <c r="F215" s="383"/>
      <c r="G215" s="383"/>
      <c r="H215" s="383"/>
      <c r="I215" s="383"/>
      <c r="J215" s="383"/>
    </row>
    <row r="216" spans="3:10" ht="12.75">
      <c r="C216" s="383"/>
      <c r="D216" s="383"/>
      <c r="E216" s="383"/>
      <c r="F216" s="383"/>
      <c r="G216" s="383"/>
      <c r="H216" s="383"/>
      <c r="I216" s="383"/>
      <c r="J216" s="383"/>
    </row>
    <row r="217" spans="3:10" ht="12.75">
      <c r="C217" s="383"/>
      <c r="D217" s="383"/>
      <c r="E217" s="383"/>
      <c r="F217" s="383"/>
      <c r="G217" s="383"/>
      <c r="H217" s="383"/>
      <c r="I217" s="383"/>
      <c r="J217" s="383"/>
    </row>
    <row r="218" spans="3:10" ht="12.75">
      <c r="C218" s="383"/>
      <c r="D218" s="383"/>
      <c r="E218" s="383"/>
      <c r="F218" s="383"/>
      <c r="G218" s="383"/>
      <c r="H218" s="383"/>
      <c r="I218" s="383"/>
      <c r="J218" s="383"/>
    </row>
    <row r="219" spans="3:10" ht="12.75">
      <c r="C219" s="385"/>
      <c r="D219" s="385"/>
      <c r="E219" s="385"/>
      <c r="F219" s="385"/>
      <c r="G219" s="385"/>
      <c r="H219" s="385"/>
      <c r="I219" s="385"/>
      <c r="J219" s="385"/>
    </row>
  </sheetData>
  <mergeCells count="21">
    <mergeCell ref="C206:J211"/>
    <mergeCell ref="C213:J219"/>
    <mergeCell ref="A1:J1"/>
    <mergeCell ref="A196:B196"/>
    <mergeCell ref="A197:B197"/>
    <mergeCell ref="A203:B203"/>
    <mergeCell ref="B2:B3"/>
    <mergeCell ref="C2:C3"/>
    <mergeCell ref="D2:D3"/>
    <mergeCell ref="E2:E3"/>
    <mergeCell ref="F2:F3"/>
    <mergeCell ref="G2:G3"/>
    <mergeCell ref="H2:I2"/>
    <mergeCell ref="J2:J3"/>
    <mergeCell ref="G199:G200"/>
    <mergeCell ref="H199:I199"/>
    <mergeCell ref="J199:J200"/>
    <mergeCell ref="B199:B200"/>
    <mergeCell ref="C199:C200"/>
    <mergeCell ref="D199:D200"/>
    <mergeCell ref="F199:F200"/>
  </mergeCells>
  <printOptions/>
  <pageMargins left="0.87" right="0.58" top="0.45" bottom="0.4724409448818898" header="0.11811023622047245" footer="0.4330708661417323"/>
  <pageSetup orientation="portrait" paperSize="9" scale="50" r:id="rId1"/>
  <ignoredErrors>
    <ignoredError sqref="F6:G113 H6:I6 H113:I113 F114:G193 H114:I118 H144:I193" numberStoredAsText="1"/>
    <ignoredError sqref="J50:J128" formula="1"/>
    <ignoredError sqref="C158" twoDigitTextYear="1"/>
    <ignoredError sqref="H7:I112 H119:I143" numberStoredAsText="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Warner Bros.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Gokhan Elyetistiren</dc:creator>
  <cp:keywords/>
  <dc:description/>
  <cp:lastModifiedBy>.</cp:lastModifiedBy>
  <cp:lastPrinted>2006-10-20T17:03:19Z</cp:lastPrinted>
  <dcterms:created xsi:type="dcterms:W3CDTF">2006-03-17T12:24:26Z</dcterms:created>
  <dcterms:modified xsi:type="dcterms:W3CDTF">2006-11-03T17:02:47Z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2046748808</vt:i4>
  </property>
  <property fmtid="{D5CDD505-2E9C-101B-9397-08002B2CF9AE}" pid="3" name="_EmailSubject">
    <vt:lpwstr>WB Weekly Box Office Report</vt:lpwstr>
  </property>
  <property fmtid="{D5CDD505-2E9C-101B-9397-08002B2CF9AE}" pid="4" name="_AuthorEmail">
    <vt:lpwstr>Gokhan.Elyetistiren@warnerbros.com</vt:lpwstr>
  </property>
  <property fmtid="{D5CDD505-2E9C-101B-9397-08002B2CF9AE}" pid="5" name="_AuthorEmailDisplayName">
    <vt:lpwstr>Elyetistiren, Gokhan</vt:lpwstr>
  </property>
  <property fmtid="{D5CDD505-2E9C-101B-9397-08002B2CF9AE}" pid="6" name="_ReviewingToolsShownOnce">
    <vt:lpwstr/>
  </property>
</Properties>
</file>