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65" yWindow="65521" windowWidth="12120" windowHeight="9120" tabRatio="446" activeTab="0"/>
  </bookViews>
  <sheets>
    <sheet name="22 - 28 SEP' (WK 39)" sheetId="1" r:id="rId1"/>
    <sheet name="30 Dec' - 28 Sep' (Annual)" sheetId="2" r:id="rId2"/>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'22 - 28 SEP'' (WK 39)'!$A$1:$O$90</definedName>
    <definedName name="_xlnm.Print_Area" localSheetId="1">'30 Dec' - 28 Sep' (Annual)'!$A$1:$J$200</definedName>
  </definedNames>
  <calcPr fullCalcOnLoad="1"/>
</workbook>
</file>

<file path=xl/sharedStrings.xml><?xml version="1.0" encoding="utf-8"?>
<sst xmlns="http://schemas.openxmlformats.org/spreadsheetml/2006/main" count="842" uniqueCount="344">
  <si>
    <t>U.I.P.</t>
  </si>
  <si>
    <t>KENDA</t>
  </si>
  <si>
    <t>UMUT SANAT</t>
  </si>
  <si>
    <t>BAMBI 2</t>
  </si>
  <si>
    <t>*Sorted according to Week Total G.B.O. - Haftalık toplam hasılat sütununa göre sıralanmıştır.</t>
  </si>
  <si>
    <t>KORKUYORUM ANNE</t>
  </si>
  <si>
    <t>BEYZA'NIN KADINLARI</t>
  </si>
  <si>
    <t>MEDYAVIZYON</t>
  </si>
  <si>
    <t>LAST WEEK</t>
  </si>
  <si>
    <t>TOTAL</t>
  </si>
  <si>
    <t>DISTRIBUTORS CHART</t>
  </si>
  <si>
    <t>THIS WEEKS</t>
  </si>
  <si>
    <t>BROKEBACK MOUNTAIN</t>
  </si>
  <si>
    <t>CAPOTE</t>
  </si>
  <si>
    <t>HOODWINKED</t>
  </si>
  <si>
    <t>CRY_WOLF</t>
  </si>
  <si>
    <t>16 BLOCKS</t>
  </si>
  <si>
    <t>PINK PANTHER</t>
  </si>
  <si>
    <t>Company</t>
  </si>
  <si>
    <t>Distributor</t>
  </si>
  <si>
    <t>UNP</t>
  </si>
  <si>
    <t>C2 PICTURES</t>
  </si>
  <si>
    <t>V FOR VENDETTA</t>
  </si>
  <si>
    <t>WB</t>
  </si>
  <si>
    <t>UIP</t>
  </si>
  <si>
    <t>ALTIOKLAR</t>
  </si>
  <si>
    <t>OZEN</t>
  </si>
  <si>
    <t>FOX</t>
  </si>
  <si>
    <t>CASANOVA</t>
  </si>
  <si>
    <t>BUENA VISTA</t>
  </si>
  <si>
    <t>COLUMBIA</t>
  </si>
  <si>
    <t>PANA</t>
  </si>
  <si>
    <t>FOCUS</t>
  </si>
  <si>
    <t>ATLANTIK</t>
  </si>
  <si>
    <t>UNIVERSAL</t>
  </si>
  <si>
    <t>CHANTIER</t>
  </si>
  <si>
    <t>PRA</t>
  </si>
  <si>
    <t>PARAMOUNT</t>
  </si>
  <si>
    <t>OZEN - UMUT</t>
  </si>
  <si>
    <t>DREAMWORKS</t>
  </si>
  <si>
    <t>SAME PERIOD LAST YEAR</t>
  </si>
  <si>
    <t>U.N.P.</t>
  </si>
  <si>
    <t>R FILM</t>
  </si>
  <si>
    <t>GEN</t>
  </si>
  <si>
    <t>TIGLON</t>
  </si>
  <si>
    <t>WOLF CREEK</t>
  </si>
  <si>
    <t>WEINSTEIN CO.</t>
  </si>
  <si>
    <t>IFR</t>
  </si>
  <si>
    <t>FIDA</t>
  </si>
  <si>
    <t>ASK THE DUST</t>
  </si>
  <si>
    <t>PHANTOM OF THE OPERA, THE</t>
  </si>
  <si>
    <t>Weekly Movie Magazine Antrakt Presents - Haftalık Antrakt Sinema Gazetesi Sunar</t>
  </si>
  <si>
    <t>LUCKY NUMBER SLEVIN</t>
  </si>
  <si>
    <t>DESCENT, THE</t>
  </si>
  <si>
    <t>EIGHT BELOW</t>
  </si>
  <si>
    <t>WHEN A STRANGER CALLS</t>
  </si>
  <si>
    <t>SLITHER</t>
  </si>
  <si>
    <t>35 MILIM</t>
  </si>
  <si>
    <t>INSIDE MAN</t>
  </si>
  <si>
    <t>FINAL DESTINATION 3</t>
  </si>
  <si>
    <t>TWO FOR THE MONEY</t>
  </si>
  <si>
    <t>DATE MOVIE</t>
  </si>
  <si>
    <t>PI FILM</t>
  </si>
  <si>
    <t>ANNE YA DA LEYLA</t>
  </si>
  <si>
    <t>SINEMA AJANS</t>
  </si>
  <si>
    <t>AVSAR FILM</t>
  </si>
  <si>
    <t>HILL HAVE EYES, THE</t>
  </si>
  <si>
    <t>NEW FILMS</t>
  </si>
  <si>
    <t>FILMPOP</t>
  </si>
  <si>
    <t>ROAD TO GUANTANAMO, THE</t>
  </si>
  <si>
    <t>PRIDE&amp;PREJUDICE</t>
  </si>
  <si>
    <t>NANNY  MCHPEE</t>
  </si>
  <si>
    <t>DA VINCI CODE</t>
  </si>
  <si>
    <t>KISIK ATESTE 15 DAKIKA</t>
  </si>
  <si>
    <t>VIZYON</t>
  </si>
  <si>
    <t>WEATHER MAN</t>
  </si>
  <si>
    <t>WHAT THE BLEEP DO WE KNOW?</t>
  </si>
  <si>
    <t>BIR FILM</t>
  </si>
  <si>
    <t>LE TEMPS QUI RESTE</t>
  </si>
  <si>
    <t>ALLEGRO</t>
  </si>
  <si>
    <t>CELLULOID</t>
  </si>
  <si>
    <t>DANDELION</t>
  </si>
  <si>
    <t>LE GRAND VOYAGE</t>
  </si>
  <si>
    <t>DARK HORSE</t>
  </si>
  <si>
    <t>FALSCHER BEKENNER</t>
  </si>
  <si>
    <t>TRUST FILMS</t>
  </si>
  <si>
    <t>CARS</t>
  </si>
  <si>
    <t>LADY IN THE WATER</t>
  </si>
  <si>
    <t>PIRATES OF THE CARIBBEN: DEAD MAN'S CHEST</t>
  </si>
  <si>
    <t>2</t>
  </si>
  <si>
    <t>3</t>
  </si>
  <si>
    <t>ODYSSE</t>
  </si>
  <si>
    <t>LADIES IN LAVENDER</t>
  </si>
  <si>
    <t>LAKESHORE</t>
  </si>
  <si>
    <t>OYUN</t>
  </si>
  <si>
    <t>SEX &amp; PHILOSOPHY</t>
  </si>
  <si>
    <t>WILD BUNCH</t>
  </si>
  <si>
    <t>LES TEMPS QUI CHANGENT</t>
  </si>
  <si>
    <t>FRANCE</t>
  </si>
  <si>
    <t>FATELESS</t>
  </si>
  <si>
    <t>H20</t>
  </si>
  <si>
    <t>RABBIT ON THE MOON</t>
  </si>
  <si>
    <t>LIMON - CAPITOL</t>
  </si>
  <si>
    <t>ZOZO</t>
  </si>
  <si>
    <t>HAYALEVI</t>
  </si>
  <si>
    <t>ENEL MUNDO E CADA RATO</t>
  </si>
  <si>
    <t>UNICEF</t>
  </si>
  <si>
    <t>CERTI BAMBINI</t>
  </si>
  <si>
    <t># of Films</t>
  </si>
  <si>
    <t># of Total
Prints</t>
  </si>
  <si>
    <t>LOCAL FILMS</t>
  </si>
  <si>
    <t>FOREIGN FILMS</t>
  </si>
  <si>
    <t>SHE'S THE MAN</t>
  </si>
  <si>
    <t>DERAILED</t>
  </si>
  <si>
    <t>ETERNAL SUNSHINE OF THE SPOTLESS MIND</t>
  </si>
  <si>
    <t>X MEN: THE LAST STAND</t>
  </si>
  <si>
    <t>CONSTANT GARDENER</t>
  </si>
  <si>
    <t>PEINDRE OU FAIRE L'AMOUR</t>
  </si>
  <si>
    <t>SUGAR WORKZ</t>
  </si>
  <si>
    <t>C.R.A.Z.Y.</t>
  </si>
  <si>
    <t>10</t>
  </si>
  <si>
    <t>8</t>
  </si>
  <si>
    <t>FAILURE TO LAUNCH</t>
  </si>
  <si>
    <t>FIREWALL</t>
  </si>
  <si>
    <t>BANDIDAS</t>
  </si>
  <si>
    <t>HOWL'S MOVING CASTLE</t>
  </si>
  <si>
    <t>TRANSAMERICA</t>
  </si>
  <si>
    <t>REZO</t>
  </si>
  <si>
    <t>TF1</t>
  </si>
  <si>
    <t>11</t>
  </si>
  <si>
    <t>MAN ABOUT TOWN</t>
  </si>
  <si>
    <t>MEDYAPIM</t>
  </si>
  <si>
    <t>CONTENT</t>
  </si>
  <si>
    <t>COMBIEN TU M'AIMES</t>
  </si>
  <si>
    <t>ONE AND ONLY, THE</t>
  </si>
  <si>
    <t>POSEIDON</t>
  </si>
  <si>
    <t>TEXAS CHAINSAW MASSACRE, THE</t>
  </si>
  <si>
    <t>DOMINO</t>
  </si>
  <si>
    <t>SUMMIT</t>
  </si>
  <si>
    <t>PATHE</t>
  </si>
  <si>
    <t>TAKESHIS</t>
  </si>
  <si>
    <t>PYRAMIDE</t>
  </si>
  <si>
    <t>-</t>
  </si>
  <si>
    <t>MELISSA P.</t>
  </si>
  <si>
    <t>FROSTBITE</t>
  </si>
  <si>
    <t>SHEITAN</t>
  </si>
  <si>
    <t>31</t>
  </si>
  <si>
    <t>ROMANCE&amp;CIGARETTES</t>
  </si>
  <si>
    <t>D PRODUCTIONS</t>
  </si>
  <si>
    <t>THUMBSUCKER</t>
  </si>
  <si>
    <t>KELOGLAN KARA PRENSE KARSI</t>
  </si>
  <si>
    <t>BEE SEASON</t>
  </si>
  <si>
    <t>BUBBA HO-TEP</t>
  </si>
  <si>
    <t>STAY</t>
  </si>
  <si>
    <t>LOVE IS IN THE AIR</t>
  </si>
  <si>
    <t>EFLATUN</t>
  </si>
  <si>
    <t>20 NIGHTS &amp; A RAINY DAY</t>
  </si>
  <si>
    <t>BIR F. - ERMAN F.</t>
  </si>
  <si>
    <t>MISSION IMPOSSIBLE 3</t>
  </si>
  <si>
    <t>FAMILY STONE, THE</t>
  </si>
  <si>
    <t>COMPANY, THE</t>
  </si>
  <si>
    <t>AVSAR FILM - TMC</t>
  </si>
  <si>
    <t>HABABAM SINIFI UC BUCUK</t>
  </si>
  <si>
    <t>SUPERMAN RETURNS</t>
  </si>
  <si>
    <t>BOY EATS GIRL</t>
  </si>
  <si>
    <t>KURTLAR VADISI IRAK</t>
  </si>
  <si>
    <t>ANGEL-A</t>
  </si>
  <si>
    <t>GWAI WINK</t>
  </si>
  <si>
    <t>21</t>
  </si>
  <si>
    <t>UNDISCOVERED</t>
  </si>
  <si>
    <t>20</t>
  </si>
  <si>
    <t>ODYSSEI</t>
  </si>
  <si>
    <t>TRAMVAY</t>
  </si>
  <si>
    <t>OLGUN ARUN</t>
  </si>
  <si>
    <t>BACKSTAGE</t>
  </si>
  <si>
    <t>J PLAN</t>
  </si>
  <si>
    <t>LAKE HOUSE</t>
  </si>
  <si>
    <t>HACIVAT KARAGOZ NEDEN OLDURULDU?</t>
  </si>
  <si>
    <t>This Week's Total</t>
  </si>
  <si>
    <t>Films</t>
  </si>
  <si>
    <t>Admission</t>
  </si>
  <si>
    <t>EXCHANGE RATES</t>
  </si>
  <si>
    <t>Buying</t>
  </si>
  <si>
    <t>Selling</t>
  </si>
  <si>
    <t>Avg. Ticket</t>
  </si>
  <si>
    <t>USD</t>
  </si>
  <si>
    <t>EUR</t>
  </si>
  <si>
    <t>GBP</t>
  </si>
  <si>
    <t>CHF</t>
  </si>
  <si>
    <t>Title</t>
  </si>
  <si>
    <t>Release
Date</t>
  </si>
  <si>
    <t># of
Prints</t>
  </si>
  <si>
    <t>Week</t>
  </si>
  <si>
    <t>Cumulative</t>
  </si>
  <si>
    <t>G.B.O.</t>
  </si>
  <si>
    <t>Adm.</t>
  </si>
  <si>
    <t>Avg.
Ticket</t>
  </si>
  <si>
    <t xml:space="preserve">Avg.
Ticket </t>
  </si>
  <si>
    <t>HOSTEL</t>
  </si>
  <si>
    <t>RUMOR HAS IT</t>
  </si>
  <si>
    <t>DABBE</t>
  </si>
  <si>
    <t>WALK THE LINE</t>
  </si>
  <si>
    <t># of
Screen</t>
  </si>
  <si>
    <t># of Last Weeks New Releases</t>
  </si>
  <si>
    <t>Total Admission of New Releases</t>
  </si>
  <si>
    <t>WARNER BROS.</t>
  </si>
  <si>
    <t>OZEN FILM</t>
  </si>
  <si>
    <t>FUN WITH DICK &amp; JANE</t>
  </si>
  <si>
    <t>LES CHEVALIERS DU CIEL - SKY FIGHTERS</t>
  </si>
  <si>
    <t>UMUT</t>
  </si>
  <si>
    <t>MONSTER HOUSE</t>
  </si>
  <si>
    <t>FEARLESS</t>
  </si>
  <si>
    <t>WILD, THE</t>
  </si>
  <si>
    <t>SONY</t>
  </si>
  <si>
    <t>BREAK UP</t>
  </si>
  <si>
    <t>DARK, THE</t>
  </si>
  <si>
    <t>SEE NO EVIL</t>
  </si>
  <si>
    <t>DON'T TELL</t>
  </si>
  <si>
    <t>SINEFILM</t>
  </si>
  <si>
    <t>16</t>
  </si>
  <si>
    <t>GARFIELD 2</t>
  </si>
  <si>
    <t>ILLUSIONIST</t>
  </si>
  <si>
    <t>AMERICAN HAUNTING, AN</t>
  </si>
  <si>
    <t>22</t>
  </si>
  <si>
    <t>EUROPA</t>
  </si>
  <si>
    <t>HEIGHTS</t>
  </si>
  <si>
    <t>7</t>
  </si>
  <si>
    <t>5</t>
  </si>
  <si>
    <t>BITTERSWEET LIFE, A</t>
  </si>
  <si>
    <t>HALF LIGHT</t>
  </si>
  <si>
    <t>LITTLE MAN</t>
  </si>
  <si>
    <t>ARSENE LUPEN</t>
  </si>
  <si>
    <t>BUENAVISTA</t>
  </si>
  <si>
    <t>FOUR STARS</t>
  </si>
  <si>
    <t>14</t>
  </si>
  <si>
    <t>25</t>
  </si>
  <si>
    <t>CINEMEDYA</t>
  </si>
  <si>
    <t>BIG MOMA'S HOUSE 2</t>
  </si>
  <si>
    <t>CRANK</t>
  </si>
  <si>
    <t>DREAM WORKS</t>
  </si>
  <si>
    <t>UNITED 93</t>
  </si>
  <si>
    <t>THEM</t>
  </si>
  <si>
    <t>SCARY MOVIE 4</t>
  </si>
  <si>
    <t>AFTER DARK</t>
  </si>
  <si>
    <t>BIG WHITE, THE</t>
  </si>
  <si>
    <t>4</t>
  </si>
  <si>
    <t>6</t>
  </si>
  <si>
    <t>PI FILMCILIK</t>
  </si>
  <si>
    <t>SUGARWORKZ</t>
  </si>
  <si>
    <t>ZATHURA: A SPACE ADVANTURE</t>
  </si>
  <si>
    <t>ME AND YOU AND EVERYONE WE KNOW</t>
  </si>
  <si>
    <t>SQUID AND THE WHALE, THE</t>
  </si>
  <si>
    <t>JE NE SUIS PAS LA POUR ETRE AIME</t>
  </si>
  <si>
    <t>MATADOR, THE</t>
  </si>
  <si>
    <t>MERCHANT OF VENICE, THE</t>
  </si>
  <si>
    <t>LOST CITY, THE</t>
  </si>
  <si>
    <t>SHAGGY DOG, THE</t>
  </si>
  <si>
    <t>BUNHONGSIN - RED SHOES</t>
  </si>
  <si>
    <t>CHRONICLES OF NARNIA</t>
  </si>
  <si>
    <t>BASIC INSTINCT: RISK ADDICTION</t>
  </si>
  <si>
    <t>MATCH POINT</t>
  </si>
  <si>
    <t>FAST &amp; FURIOUS: THE TOKYO DRAFT</t>
  </si>
  <si>
    <t>GARFIELD: A TAIL OF TWO KITTIES</t>
  </si>
  <si>
    <t>THREE BURIALS OF MELQUIADES ESTRADA</t>
  </si>
  <si>
    <t>ILS - THEM</t>
  </si>
  <si>
    <t>DA VINCI CODE, THE</t>
  </si>
  <si>
    <t>OMEN 666, THE</t>
  </si>
  <si>
    <t>MIAMI VICE</t>
  </si>
  <si>
    <t>PULSE</t>
  </si>
  <si>
    <t>MY SUPER EX GIRLFRIEND</t>
  </si>
  <si>
    <t>ANT BULLY</t>
  </si>
  <si>
    <t>OVER THE HEDGE</t>
  </si>
  <si>
    <t>SENTINEL, THE</t>
  </si>
  <si>
    <t>LEMMING</t>
  </si>
  <si>
    <t>ICE AGE 2: THE MELTDOWN</t>
  </si>
  <si>
    <t>FILM POP</t>
  </si>
  <si>
    <t>BES VAKIT</t>
  </si>
  <si>
    <t>STOLEN EYES</t>
  </si>
  <si>
    <t>YAKA FILM</t>
  </si>
  <si>
    <t>MON ANGE</t>
  </si>
  <si>
    <t>MK2</t>
  </si>
  <si>
    <t>JOYEUX NOEL</t>
  </si>
  <si>
    <t>FILMS DIST.</t>
  </si>
  <si>
    <t>ENTRE SES MAINS</t>
  </si>
  <si>
    <t>Screen Avg. (Adm.)</t>
  </si>
  <si>
    <t>Release Date</t>
  </si>
  <si>
    <t>Week in Release</t>
  </si>
  <si>
    <t>Avg. Ticket Price</t>
  </si>
  <si>
    <t>G.B.O. YTL</t>
  </si>
  <si>
    <t>ARZU - FIDA</t>
  </si>
  <si>
    <t>ENERGY</t>
  </si>
  <si>
    <t>MUNICH</t>
  </si>
  <si>
    <t>MEMOIRS OF A GEISHA</t>
  </si>
  <si>
    <t>FOG, THE</t>
  </si>
  <si>
    <t>NEW WORLD, THE</t>
  </si>
  <si>
    <t>TIGER AND THE SNOW, THE</t>
  </si>
  <si>
    <t>SYRIANA</t>
  </si>
  <si>
    <t>059 FILMS SHOWN</t>
  </si>
  <si>
    <t>PROOF</t>
  </si>
  <si>
    <t>METRO</t>
  </si>
  <si>
    <t>AEON FLUX</t>
  </si>
  <si>
    <t>DREAMER</t>
  </si>
  <si>
    <t>PINEMA</t>
  </si>
  <si>
    <t>SAINT ANGE</t>
  </si>
  <si>
    <t>JARHEAD</t>
  </si>
  <si>
    <t>DUN GECE BIR RUYA GORDUM</t>
  </si>
  <si>
    <t>TRAVMA</t>
  </si>
  <si>
    <t>GOOD NIGHT &amp; GOOD LUCK</t>
  </si>
  <si>
    <t>CINECLICK ASIA</t>
  </si>
  <si>
    <t>CACHE</t>
  </si>
  <si>
    <t>BELGE FILM</t>
  </si>
  <si>
    <t>BARBAR FILM</t>
  </si>
  <si>
    <t>28.09.2006 - 15.30</t>
  </si>
  <si>
    <t>CLICK</t>
  </si>
  <si>
    <t>DEAD OR ALIVE</t>
  </si>
  <si>
    <t>AE FOND KISS</t>
  </si>
  <si>
    <t>HARD CANDY</t>
  </si>
  <si>
    <t>PIRATES OF THE CARIBBEN 2</t>
  </si>
  <si>
    <t>18</t>
  </si>
  <si>
    <t>KARDAN ADAMLAR</t>
  </si>
  <si>
    <t>PROJE</t>
  </si>
  <si>
    <t>IKLIMLER</t>
  </si>
  <si>
    <t>CO PRODUCTION</t>
  </si>
  <si>
    <t xml:space="preserve">UNIVERSAL </t>
  </si>
  <si>
    <t>BIR F. -  CINEMEDYA</t>
  </si>
  <si>
    <t>BABAM VE OGLUM</t>
  </si>
  <si>
    <t>UPSIDE OF ANGER</t>
  </si>
  <si>
    <t>MEDIA 8</t>
  </si>
  <si>
    <t>060 FILMS SHOWN</t>
  </si>
  <si>
    <t>1.4919</t>
  </si>
  <si>
    <t>1.4991</t>
  </si>
  <si>
    <t>1.8971</t>
  </si>
  <si>
    <t>1.9063</t>
  </si>
  <si>
    <t>2.8027</t>
  </si>
  <si>
    <t>2.8173</t>
  </si>
  <si>
    <t>1.1957</t>
  </si>
  <si>
    <t>1.2034</t>
  </si>
  <si>
    <t xml:space="preserve">*Dağıtımcı firmalardan Umut  Sanat, Barbar Film, Kenda ve R Film bu hafta film  dağıtmamıştır. </t>
  </si>
  <si>
    <t>COMME T'Y ES BELLE!</t>
  </si>
  <si>
    <t>FAST &amp;FURIOUS: THE TOKYO DRAFT</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</si>
  <si>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</si>
  <si>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Weeks in Release</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</si>
  <si>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</si>
  <si>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r>
      <t xml:space="preserve">2006 Türkiye Annual Box Office Report  </t>
    </r>
    <r>
      <rPr>
        <sz val="16"/>
        <color indexed="9"/>
        <rFont val="Impact"/>
        <family val="2"/>
      </rPr>
      <t>30 Dec' - 28 Sep' '06</t>
    </r>
  </si>
</sst>
</file>

<file path=xl/styles.xml><?xml version="1.0" encoding="utf-8"?>
<styleSheet xmlns="http://schemas.openxmlformats.org/spreadsheetml/2006/main">
  <numFmts count="5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s>
  <fonts count="48">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b/>
      <sz val="10"/>
      <name val="Century Gothic"/>
      <family val="2"/>
    </font>
    <font>
      <sz val="10"/>
      <name val="Impact"/>
      <family val="2"/>
    </font>
    <font>
      <sz val="14"/>
      <name val="Arial"/>
      <family val="2"/>
    </font>
    <font>
      <sz val="40"/>
      <color indexed="9"/>
      <name val="Impact"/>
      <family val="2"/>
    </font>
    <font>
      <sz val="26"/>
      <color indexed="9"/>
      <name val="Impact"/>
      <family val="2"/>
    </font>
    <font>
      <sz val="20"/>
      <color indexed="9"/>
      <name val="Impact"/>
      <family val="2"/>
    </font>
    <font>
      <sz val="16"/>
      <color indexed="9"/>
      <name val="Impact"/>
      <family val="2"/>
    </font>
    <font>
      <b/>
      <sz val="8"/>
      <name val="Trebuchet MS"/>
      <family val="0"/>
    </font>
    <font>
      <sz val="8"/>
      <name val="Trebuchet MS"/>
      <family val="0"/>
    </font>
    <font>
      <b/>
      <sz val="10"/>
      <name val="Arial"/>
      <family val="2"/>
    </font>
    <font>
      <sz val="20"/>
      <name val="Impact"/>
      <family val="2"/>
    </font>
    <font>
      <b/>
      <sz val="10"/>
      <name val="Trebuchet MS"/>
      <family val="0"/>
    </font>
    <font>
      <sz val="10"/>
      <name val="Trebuchet MS"/>
      <family val="0"/>
    </font>
    <font>
      <sz val="20"/>
      <color indexed="44"/>
      <name val="GoudyLight"/>
      <family val="0"/>
    </font>
    <font>
      <i/>
      <sz val="9"/>
      <name val="Arial"/>
      <family val="2"/>
    </font>
    <font>
      <b/>
      <sz val="10"/>
      <color indexed="9"/>
      <name val="Trebuchet MS"/>
      <family val="2"/>
    </font>
    <font>
      <b/>
      <sz val="10"/>
      <color indexed="10"/>
      <name val="Trebuchet MS"/>
      <family val="2"/>
    </font>
    <font>
      <sz val="10"/>
      <color indexed="10"/>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sz val="40"/>
      <color indexed="9"/>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b/>
      <sz val="9"/>
      <name val="Trebuchet MS"/>
      <family val="0"/>
    </font>
    <font>
      <sz val="9"/>
      <name val="Arial"/>
      <family val="0"/>
    </font>
    <font>
      <sz val="9"/>
      <name val="Trebuchet MS"/>
      <family val="0"/>
    </font>
    <font>
      <sz val="9"/>
      <color indexed="10"/>
      <name val="Trebuchet MS"/>
      <family val="0"/>
    </font>
    <font>
      <b/>
      <sz val="9"/>
      <name val="Arial Narrow"/>
      <family val="2"/>
    </font>
    <font>
      <b/>
      <sz val="11"/>
      <color indexed="9"/>
      <name val="Century Gothic"/>
      <family val="2"/>
    </font>
    <font>
      <sz val="26"/>
      <name val="Arial"/>
      <family val="0"/>
    </font>
    <font>
      <i/>
      <sz val="10"/>
      <name val="Arial"/>
      <family val="2"/>
    </font>
    <font>
      <b/>
      <sz val="14"/>
      <name val="Impact"/>
      <family val="2"/>
    </font>
    <font>
      <b/>
      <sz val="14"/>
      <name val="Arial"/>
      <family val="2"/>
    </font>
    <font>
      <sz val="10"/>
      <color indexed="8"/>
      <name val="Trebuchet MS"/>
      <family val="2"/>
    </font>
    <font>
      <b/>
      <sz val="10"/>
      <color indexed="8"/>
      <name val="Trebuchet MS"/>
      <family val="2"/>
    </font>
  </fonts>
  <fills count="5">
    <fill>
      <patternFill/>
    </fill>
    <fill>
      <patternFill patternType="gray125"/>
    </fill>
    <fill>
      <patternFill patternType="solid">
        <fgColor indexed="8"/>
        <bgColor indexed="64"/>
      </patternFill>
    </fill>
    <fill>
      <patternFill patternType="solid">
        <fgColor indexed="56"/>
        <bgColor indexed="64"/>
      </patternFill>
    </fill>
    <fill>
      <patternFill patternType="solid">
        <fgColor indexed="42"/>
        <bgColor indexed="64"/>
      </patternFill>
    </fill>
  </fills>
  <borders count="65">
    <border>
      <left/>
      <right/>
      <top/>
      <bottom/>
      <diagonal/>
    </border>
    <border>
      <left style="hair"/>
      <right style="hair"/>
      <top style="hair"/>
      <bottom style="hair"/>
    </border>
    <border>
      <left style="hair"/>
      <right style="hair"/>
      <top style="hair"/>
      <bottom style="medium"/>
    </border>
    <border>
      <left style="hair"/>
      <right style="hair"/>
      <top style="medium"/>
      <bottom style="hair"/>
    </border>
    <border>
      <left style="hair"/>
      <right style="medium"/>
      <top style="hair"/>
      <bottom style="hair"/>
    </border>
    <border>
      <left style="hair"/>
      <right style="medium"/>
      <top style="hair"/>
      <bottom style="medium"/>
    </border>
    <border>
      <left style="hair"/>
      <right style="medium"/>
      <top style="medium"/>
      <bottom style="hair"/>
    </border>
    <border>
      <left>
        <color indexed="63"/>
      </left>
      <right style="hair"/>
      <top style="medium"/>
      <bottom style="hair"/>
    </border>
    <border>
      <left>
        <color indexed="63"/>
      </left>
      <right style="hair"/>
      <top style="hair"/>
      <bottom style="hair"/>
    </border>
    <border>
      <left>
        <color indexed="63"/>
      </left>
      <right style="hair"/>
      <top style="hair"/>
      <bottom style="medium"/>
    </border>
    <border>
      <left style="medium"/>
      <right style="thin"/>
      <top style="hair"/>
      <bottom style="hair"/>
    </border>
    <border>
      <left style="medium"/>
      <right style="thin"/>
      <top style="hair"/>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style="medium"/>
      <right style="thin"/>
      <top>
        <color indexed="63"/>
      </top>
      <bottom style="hair"/>
    </border>
    <border>
      <left>
        <color indexed="63"/>
      </left>
      <right style="hair"/>
      <top>
        <color indexed="63"/>
      </top>
      <bottom style="hair"/>
    </border>
    <border>
      <left style="hair"/>
      <right style="hair"/>
      <top>
        <color indexed="63"/>
      </top>
      <bottom style="hair"/>
    </border>
    <border>
      <left style="hair"/>
      <right style="medium"/>
      <top>
        <color indexed="63"/>
      </top>
      <bottom style="hair"/>
    </border>
    <border>
      <left style="medium"/>
      <right style="hair"/>
      <top style="medium"/>
      <bottom style="hair"/>
    </border>
    <border>
      <left style="hair"/>
      <right style="thin"/>
      <top style="medium"/>
      <bottom style="hair"/>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medium"/>
      <top style="thin"/>
      <bottom style="thin"/>
    </border>
    <border>
      <left style="medium"/>
      <right style="hair"/>
      <top>
        <color indexed="63"/>
      </top>
      <bottom style="hair"/>
    </border>
    <border>
      <left style="hair"/>
      <right style="thin"/>
      <top>
        <color indexed="63"/>
      </top>
      <bottom style="hair"/>
    </border>
    <border>
      <left style="thin"/>
      <right style="hair"/>
      <top>
        <color indexed="63"/>
      </top>
      <bottom style="hair"/>
    </border>
    <border>
      <left style="medium"/>
      <right style="hair"/>
      <top style="hair"/>
      <bottom style="hair"/>
    </border>
    <border>
      <left style="hair"/>
      <right style="thin"/>
      <top style="hair"/>
      <bottom style="hair"/>
    </border>
    <border>
      <left style="thin"/>
      <right style="hair"/>
      <top style="hair"/>
      <bottom style="hair"/>
    </border>
    <border>
      <left style="medium"/>
      <right style="hair"/>
      <top style="hair"/>
      <bottom style="medium"/>
    </border>
    <border>
      <left style="hair"/>
      <right style="thin"/>
      <top style="hair"/>
      <bottom style="medium"/>
    </border>
    <border>
      <left style="thin"/>
      <right style="hair"/>
      <top style="hair"/>
      <bottom style="medium"/>
    </border>
    <border>
      <left style="medium"/>
      <right style="thin"/>
      <top style="medium"/>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hair"/>
      <right style="medium"/>
      <top style="hair"/>
      <bottom style="thin"/>
    </border>
    <border>
      <left style="medium"/>
      <right>
        <color indexed="63"/>
      </right>
      <top style="medium"/>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style="medium"/>
    </border>
    <border>
      <left style="thin"/>
      <right style="thin"/>
      <top style="thin"/>
      <bottom>
        <color indexed="63"/>
      </bottom>
    </border>
    <border>
      <left style="thin"/>
      <right style="medium"/>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6">
    <xf numFmtId="0" fontId="0" fillId="0" borderId="0" xfId="0" applyAlignment="1">
      <alignment/>
    </xf>
    <xf numFmtId="43" fontId="3" fillId="0" borderId="0" xfId="15"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0" fontId="13" fillId="0" borderId="0" xfId="0" applyNumberFormat="1" applyFont="1" applyFill="1" applyBorder="1" applyAlignment="1" applyProtection="1">
      <alignment horizontal="center" vertical="center"/>
      <protection locked="0"/>
    </xf>
    <xf numFmtId="192" fontId="13" fillId="0" borderId="0" xfId="15" applyNumberFormat="1" applyFont="1" applyFill="1" applyBorder="1" applyAlignment="1" applyProtection="1">
      <alignment vertical="center"/>
      <protection/>
    </xf>
    <xf numFmtId="0" fontId="15"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3" fillId="0" borderId="0" xfId="0" applyNumberFormat="1" applyFont="1" applyFill="1" applyBorder="1" applyAlignment="1" applyProtection="1">
      <alignment horizontal="center" vertical="center"/>
      <protection locked="0"/>
    </xf>
    <xf numFmtId="184" fontId="7"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187" fontId="4" fillId="0" borderId="0" xfId="0" applyNumberFormat="1" applyFont="1" applyFill="1" applyBorder="1" applyAlignment="1" applyProtection="1">
      <alignment horizontal="right" vertical="center"/>
      <protection/>
    </xf>
    <xf numFmtId="187" fontId="13" fillId="0" borderId="0" xfId="0" applyNumberFormat="1" applyFont="1" applyFill="1" applyBorder="1" applyAlignment="1" applyProtection="1">
      <alignment horizontal="right" vertical="center"/>
      <protection locked="0"/>
    </xf>
    <xf numFmtId="187" fontId="7" fillId="0" borderId="0" xfId="0" applyNumberFormat="1" applyFont="1" applyFill="1" applyBorder="1" applyAlignment="1" applyProtection="1">
      <alignment horizontal="right" vertical="center"/>
      <protection locked="0"/>
    </xf>
    <xf numFmtId="193" fontId="4" fillId="0" borderId="0" xfId="0" applyNumberFormat="1" applyFont="1" applyFill="1" applyBorder="1" applyAlignment="1" applyProtection="1">
      <alignment horizontal="right" vertical="center"/>
      <protection/>
    </xf>
    <xf numFmtId="192" fontId="13" fillId="0" borderId="0" xfId="0" applyNumberFormat="1" applyFont="1" applyFill="1" applyBorder="1" applyAlignment="1" applyProtection="1">
      <alignment vertical="center"/>
      <protection locked="0"/>
    </xf>
    <xf numFmtId="0" fontId="14" fillId="0" borderId="0" xfId="0" applyFont="1" applyBorder="1" applyAlignment="1">
      <alignment horizontal="center" vertical="center"/>
    </xf>
    <xf numFmtId="0" fontId="19" fillId="0" borderId="0" xfId="0" applyFont="1" applyBorder="1" applyAlignment="1" applyProtection="1">
      <alignment vertical="center" wrapText="1"/>
      <protection locked="0"/>
    </xf>
    <xf numFmtId="187" fontId="12" fillId="0" borderId="0" xfId="0" applyNumberFormat="1" applyFont="1" applyFill="1" applyBorder="1" applyAlignment="1" applyProtection="1">
      <alignment horizontal="center" vertical="center"/>
      <protection locked="0"/>
    </xf>
    <xf numFmtId="192" fontId="3" fillId="0" borderId="0" xfId="0" applyNumberFormat="1" applyFont="1" applyFill="1" applyBorder="1" applyAlignment="1" applyProtection="1">
      <alignment vertical="center"/>
      <protection/>
    </xf>
    <xf numFmtId="192" fontId="7" fillId="0" borderId="0" xfId="0" applyNumberFormat="1" applyFont="1" applyFill="1" applyBorder="1" applyAlignment="1" applyProtection="1">
      <alignment vertical="center"/>
      <protection locked="0"/>
    </xf>
    <xf numFmtId="0" fontId="17" fillId="0" borderId="0"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locked="0"/>
    </xf>
    <xf numFmtId="0" fontId="23" fillId="2" borderId="1" xfId="0" applyFont="1" applyFill="1" applyBorder="1" applyAlignment="1">
      <alignment vertical="center"/>
    </xf>
    <xf numFmtId="184" fontId="23" fillId="2" borderId="1" xfId="0" applyNumberFormat="1" applyFont="1" applyFill="1" applyBorder="1" applyAlignment="1">
      <alignment horizontal="center" vertical="center"/>
    </xf>
    <xf numFmtId="0" fontId="23" fillId="2" borderId="1" xfId="0" applyFont="1" applyFill="1" applyBorder="1" applyAlignment="1">
      <alignment horizontal="center" vertical="center"/>
    </xf>
    <xf numFmtId="3" fontId="23" fillId="2" borderId="1" xfId="0" applyNumberFormat="1" applyFont="1" applyFill="1" applyBorder="1" applyAlignment="1">
      <alignment horizontal="center" vertical="center"/>
    </xf>
    <xf numFmtId="192" fontId="23" fillId="2" borderId="1" xfId="0" applyNumberFormat="1" applyFont="1" applyFill="1" applyBorder="1" applyAlignment="1">
      <alignment vertical="center"/>
    </xf>
    <xf numFmtId="193" fontId="12" fillId="0" borderId="0" xfId="0" applyNumberFormat="1" applyFont="1" applyFill="1" applyBorder="1" applyAlignment="1" applyProtection="1">
      <alignment horizontal="right" vertical="center"/>
      <protection locked="0"/>
    </xf>
    <xf numFmtId="193" fontId="13" fillId="0" borderId="0" xfId="0" applyNumberFormat="1" applyFont="1" applyFill="1" applyBorder="1" applyAlignment="1" applyProtection="1">
      <alignment horizontal="right" vertical="center"/>
      <protection locked="0"/>
    </xf>
    <xf numFmtId="193" fontId="3" fillId="0" borderId="0" xfId="0" applyNumberFormat="1" applyFont="1" applyFill="1" applyBorder="1" applyAlignment="1" applyProtection="1">
      <alignment horizontal="right" vertical="center"/>
      <protection/>
    </xf>
    <xf numFmtId="193" fontId="23" fillId="2" borderId="1" xfId="0" applyNumberFormat="1" applyFont="1" applyFill="1" applyBorder="1" applyAlignment="1">
      <alignment horizontal="right" vertical="center"/>
    </xf>
    <xf numFmtId="193" fontId="7" fillId="0" borderId="0"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23" fillId="2" borderId="2" xfId="0" applyFont="1" applyFill="1" applyBorder="1" applyAlignment="1">
      <alignment vertical="center"/>
    </xf>
    <xf numFmtId="184" fontId="23" fillId="2" borderId="2" xfId="0" applyNumberFormat="1" applyFont="1" applyFill="1" applyBorder="1" applyAlignment="1">
      <alignment horizontal="center" vertical="center"/>
    </xf>
    <xf numFmtId="0" fontId="23" fillId="2" borderId="2" xfId="0" applyFont="1" applyFill="1" applyBorder="1" applyAlignment="1">
      <alignment horizontal="center" vertical="center"/>
    </xf>
    <xf numFmtId="3" fontId="23" fillId="2" borderId="2" xfId="0" applyNumberFormat="1" applyFont="1" applyFill="1" applyBorder="1" applyAlignment="1">
      <alignment horizontal="center" vertical="center"/>
    </xf>
    <xf numFmtId="193" fontId="23" fillId="2" borderId="2" xfId="0" applyNumberFormat="1" applyFont="1" applyFill="1" applyBorder="1" applyAlignment="1">
      <alignment horizontal="right" vertical="center"/>
    </xf>
    <xf numFmtId="192" fontId="23" fillId="2" borderId="2" xfId="0" applyNumberFormat="1" applyFont="1" applyFill="1" applyBorder="1" applyAlignment="1">
      <alignment vertical="center"/>
    </xf>
    <xf numFmtId="0" fontId="17" fillId="0" borderId="3" xfId="0" applyFont="1" applyBorder="1" applyAlignment="1">
      <alignment horizontal="center" vertical="center"/>
    </xf>
    <xf numFmtId="3" fontId="17" fillId="0" borderId="3" xfId="0" applyNumberFormat="1" applyFont="1" applyBorder="1" applyAlignment="1">
      <alignment horizontal="center" vertical="center"/>
    </xf>
    <xf numFmtId="187" fontId="20" fillId="2" borderId="2" xfId="0" applyNumberFormat="1" applyFont="1" applyFill="1" applyBorder="1" applyAlignment="1">
      <alignment horizontal="right" vertical="center"/>
    </xf>
    <xf numFmtId="187" fontId="23" fillId="2" borderId="1" xfId="0" applyNumberFormat="1" applyFont="1" applyFill="1" applyBorder="1" applyAlignment="1">
      <alignment horizontal="right" vertical="center"/>
    </xf>
    <xf numFmtId="187" fontId="23" fillId="2" borderId="2" xfId="0" applyNumberFormat="1" applyFont="1" applyFill="1" applyBorder="1" applyAlignment="1">
      <alignment horizontal="right" vertical="center"/>
    </xf>
    <xf numFmtId="187" fontId="13" fillId="0" borderId="0" xfId="15" applyNumberFormat="1" applyFont="1" applyFill="1" applyBorder="1" applyAlignment="1" applyProtection="1">
      <alignment horizontal="right" vertical="center"/>
      <protection/>
    </xf>
    <xf numFmtId="192" fontId="3" fillId="0" borderId="0" xfId="0" applyNumberFormat="1" applyFont="1" applyFill="1" applyBorder="1" applyAlignment="1" applyProtection="1">
      <alignment horizontal="right" vertical="center"/>
      <protection/>
    </xf>
    <xf numFmtId="192" fontId="23" fillId="2" borderId="4" xfId="0" applyNumberFormat="1" applyFont="1" applyFill="1" applyBorder="1" applyAlignment="1">
      <alignment horizontal="right" vertical="center"/>
    </xf>
    <xf numFmtId="192" fontId="23" fillId="2" borderId="5" xfId="0" applyNumberFormat="1" applyFont="1" applyFill="1" applyBorder="1" applyAlignment="1">
      <alignment horizontal="right" vertical="center"/>
    </xf>
    <xf numFmtId="192" fontId="13" fillId="0" borderId="0" xfId="0" applyNumberFormat="1" applyFont="1" applyFill="1" applyBorder="1" applyAlignment="1" applyProtection="1">
      <alignment horizontal="right" vertical="center"/>
      <protection locked="0"/>
    </xf>
    <xf numFmtId="192" fontId="7" fillId="0" borderId="0" xfId="0" applyNumberFormat="1" applyFont="1" applyFill="1" applyBorder="1" applyAlignment="1" applyProtection="1">
      <alignment horizontal="right" vertical="center"/>
      <protection locked="0"/>
    </xf>
    <xf numFmtId="187" fontId="26" fillId="0" borderId="0" xfId="0" applyNumberFormat="1" applyFont="1" applyFill="1" applyBorder="1" applyAlignment="1" applyProtection="1">
      <alignment horizontal="right" vertical="center"/>
      <protection/>
    </xf>
    <xf numFmtId="187" fontId="20" fillId="2" borderId="1" xfId="0" applyNumberFormat="1" applyFont="1" applyFill="1" applyBorder="1" applyAlignment="1">
      <alignment horizontal="right" vertical="center"/>
    </xf>
    <xf numFmtId="187" fontId="27" fillId="0" borderId="0" xfId="0" applyNumberFormat="1" applyFont="1" applyFill="1" applyBorder="1" applyAlignment="1" applyProtection="1">
      <alignment horizontal="right" vertical="center"/>
      <protection locked="0"/>
    </xf>
    <xf numFmtId="187" fontId="28" fillId="0" borderId="0" xfId="0" applyNumberFormat="1" applyFont="1" applyFill="1" applyBorder="1" applyAlignment="1" applyProtection="1">
      <alignment horizontal="right" vertical="center"/>
      <protection locked="0"/>
    </xf>
    <xf numFmtId="192" fontId="17" fillId="0" borderId="6" xfId="0" applyNumberFormat="1" applyFont="1" applyBorder="1" applyAlignment="1">
      <alignment vertical="center"/>
    </xf>
    <xf numFmtId="187" fontId="16" fillId="0" borderId="3" xfId="0" applyNumberFormat="1" applyFont="1" applyBorder="1" applyAlignment="1">
      <alignment horizontal="right" vertical="center"/>
    </xf>
    <xf numFmtId="0" fontId="18" fillId="2" borderId="0" xfId="0" applyFont="1" applyFill="1" applyBorder="1" applyAlignment="1" applyProtection="1">
      <alignment horizontal="center" vertical="center"/>
      <protection/>
    </xf>
    <xf numFmtId="0" fontId="19" fillId="0" borderId="0" xfId="0" applyFont="1" applyBorder="1" applyAlignment="1" applyProtection="1">
      <alignment vertical="center" wrapText="1"/>
      <protection locked="0"/>
    </xf>
    <xf numFmtId="0" fontId="25" fillId="0" borderId="0" xfId="0" applyFont="1" applyBorder="1" applyAlignment="1" applyProtection="1">
      <alignment vertical="center" wrapText="1"/>
      <protection locked="0"/>
    </xf>
    <xf numFmtId="0" fontId="13" fillId="0" borderId="0" xfId="0" applyFont="1" applyFill="1" applyBorder="1" applyAlignment="1" applyProtection="1">
      <alignment horizontal="right" vertical="center"/>
      <protection locked="0"/>
    </xf>
    <xf numFmtId="0" fontId="13" fillId="0" borderId="0" xfId="0" applyFont="1" applyFill="1" applyBorder="1" applyAlignment="1" applyProtection="1">
      <alignment horizontal="left" vertical="center" indent="1"/>
      <protection locked="0"/>
    </xf>
    <xf numFmtId="0" fontId="0" fillId="0" borderId="0" xfId="0" applyFont="1" applyBorder="1" applyAlignment="1">
      <alignment horizontal="center"/>
    </xf>
    <xf numFmtId="0" fontId="0" fillId="0" borderId="0" xfId="0" applyBorder="1" applyAlignment="1">
      <alignment horizontal="center" vertical="center"/>
    </xf>
    <xf numFmtId="0" fontId="0" fillId="0" borderId="0" xfId="0" applyAlignment="1">
      <alignment/>
    </xf>
    <xf numFmtId="1" fontId="30" fillId="0" borderId="0" xfId="0" applyNumberFormat="1" applyFont="1" applyFill="1" applyBorder="1" applyAlignment="1" applyProtection="1">
      <alignment horizontal="right" vertical="center"/>
      <protection/>
    </xf>
    <xf numFmtId="1" fontId="30" fillId="0" borderId="0" xfId="0" applyNumberFormat="1" applyFont="1" applyFill="1" applyBorder="1" applyAlignment="1" applyProtection="1">
      <alignment horizontal="right" vertical="center"/>
      <protection locked="0"/>
    </xf>
    <xf numFmtId="0" fontId="17" fillId="0" borderId="1" xfId="0" applyFont="1" applyFill="1" applyBorder="1" applyAlignment="1" applyProtection="1">
      <alignment horizontal="left" vertical="center"/>
      <protection locked="0"/>
    </xf>
    <xf numFmtId="184" fontId="17" fillId="0" borderId="1" xfId="0" applyNumberFormat="1" applyFont="1" applyFill="1" applyBorder="1" applyAlignment="1" applyProtection="1">
      <alignment horizontal="center" vertical="center"/>
      <protection locked="0"/>
    </xf>
    <xf numFmtId="184" fontId="17" fillId="0" borderId="1" xfId="0" applyNumberFormat="1" applyFont="1" applyFill="1" applyBorder="1" applyAlignment="1" applyProtection="1">
      <alignment horizontal="left" vertical="center"/>
      <protection locked="0"/>
    </xf>
    <xf numFmtId="0" fontId="17" fillId="0" borderId="1" xfId="0" applyFont="1" applyFill="1" applyBorder="1" applyAlignment="1" applyProtection="1">
      <alignment horizontal="center" vertical="center"/>
      <protection locked="0"/>
    </xf>
    <xf numFmtId="187" fontId="17" fillId="0" borderId="1" xfId="15" applyNumberFormat="1" applyFont="1" applyFill="1" applyBorder="1" applyAlignment="1" applyProtection="1">
      <alignment vertical="center"/>
      <protection locked="0"/>
    </xf>
    <xf numFmtId="185" fontId="17" fillId="0" borderId="1" xfId="15" applyNumberFormat="1" applyFont="1" applyFill="1" applyBorder="1" applyAlignment="1" applyProtection="1">
      <alignment vertical="center"/>
      <protection locked="0"/>
    </xf>
    <xf numFmtId="185" fontId="17" fillId="0" borderId="1" xfId="15" applyNumberFormat="1" applyFont="1" applyFill="1" applyBorder="1" applyAlignment="1" applyProtection="1">
      <alignment vertical="center"/>
      <protection/>
    </xf>
    <xf numFmtId="192" fontId="17" fillId="0" borderId="1" xfId="15" applyNumberFormat="1" applyFont="1" applyFill="1" applyBorder="1" applyAlignment="1" applyProtection="1">
      <alignment vertical="center"/>
      <protection/>
    </xf>
    <xf numFmtId="0" fontId="17" fillId="0" borderId="1" xfId="0" applyFont="1" applyFill="1" applyBorder="1" applyAlignment="1">
      <alignment horizontal="left" vertical="center"/>
    </xf>
    <xf numFmtId="184" fontId="17" fillId="0" borderId="1" xfId="0" applyNumberFormat="1" applyFont="1" applyFill="1" applyBorder="1" applyAlignment="1">
      <alignment horizontal="center" vertical="center"/>
    </xf>
    <xf numFmtId="0" fontId="17" fillId="0" borderId="1" xfId="0" applyFont="1" applyFill="1" applyBorder="1" applyAlignment="1">
      <alignment horizontal="center" vertical="center"/>
    </xf>
    <xf numFmtId="187" fontId="17" fillId="0" borderId="1" xfId="0" applyNumberFormat="1" applyFont="1" applyFill="1" applyBorder="1" applyAlignment="1">
      <alignment vertical="center"/>
    </xf>
    <xf numFmtId="185" fontId="17" fillId="0" borderId="1" xfId="0" applyNumberFormat="1" applyFont="1" applyFill="1" applyBorder="1" applyAlignment="1">
      <alignment vertical="center"/>
    </xf>
    <xf numFmtId="185" fontId="17" fillId="0" borderId="1" xfId="21" applyNumberFormat="1" applyFont="1" applyFill="1" applyBorder="1" applyAlignment="1" applyProtection="1">
      <alignment vertical="center"/>
      <protection/>
    </xf>
    <xf numFmtId="192" fontId="17" fillId="0" borderId="1" xfId="21" applyNumberFormat="1" applyFont="1" applyFill="1" applyBorder="1" applyAlignment="1" applyProtection="1">
      <alignment vertical="center"/>
      <protection/>
    </xf>
    <xf numFmtId="187" fontId="17" fillId="0" borderId="1" xfId="15" applyNumberFormat="1" applyFont="1" applyFill="1" applyBorder="1" applyAlignment="1" applyProtection="1">
      <alignment vertical="center"/>
      <protection/>
    </xf>
    <xf numFmtId="49" fontId="17" fillId="0" borderId="1" xfId="0" applyNumberFormat="1" applyFont="1" applyFill="1" applyBorder="1" applyAlignment="1" applyProtection="1">
      <alignment horizontal="left" vertical="center"/>
      <protection locked="0"/>
    </xf>
    <xf numFmtId="49" fontId="17" fillId="0" borderId="1" xfId="0" applyNumberFormat="1" applyFont="1" applyFill="1" applyBorder="1" applyAlignment="1" applyProtection="1">
      <alignment horizontal="center" vertical="center"/>
      <protection locked="0"/>
    </xf>
    <xf numFmtId="49" fontId="17" fillId="0" borderId="1" xfId="0" applyNumberFormat="1" applyFont="1" applyFill="1" applyBorder="1" applyAlignment="1">
      <alignment horizontal="left" vertical="center"/>
    </xf>
    <xf numFmtId="3" fontId="17" fillId="0" borderId="1" xfId="0" applyNumberFormat="1" applyFont="1" applyFill="1" applyBorder="1" applyAlignment="1">
      <alignment horizontal="center" vertical="center"/>
    </xf>
    <xf numFmtId="192" fontId="17" fillId="0" borderId="4" xfId="21" applyNumberFormat="1" applyFont="1" applyFill="1" applyBorder="1" applyAlignment="1" applyProtection="1">
      <alignment vertical="center"/>
      <protection/>
    </xf>
    <xf numFmtId="192" fontId="17" fillId="0" borderId="4" xfId="15" applyNumberFormat="1" applyFont="1" applyFill="1" applyBorder="1" applyAlignment="1" applyProtection="1">
      <alignment vertical="center"/>
      <protection/>
    </xf>
    <xf numFmtId="0" fontId="17" fillId="0" borderId="2" xfId="0" applyFont="1" applyFill="1" applyBorder="1" applyAlignment="1">
      <alignment horizontal="left" vertical="center"/>
    </xf>
    <xf numFmtId="184" fontId="17" fillId="0" borderId="2" xfId="0" applyNumberFormat="1" applyFont="1" applyFill="1" applyBorder="1" applyAlignment="1">
      <alignment horizontal="center" vertical="center"/>
    </xf>
    <xf numFmtId="0" fontId="17" fillId="0" borderId="2" xfId="0" applyFont="1" applyFill="1" applyBorder="1" applyAlignment="1" applyProtection="1">
      <alignment horizontal="left" vertical="center"/>
      <protection locked="0"/>
    </xf>
    <xf numFmtId="0" fontId="17" fillId="0" borderId="2" xfId="0" applyFont="1" applyFill="1" applyBorder="1" applyAlignment="1" applyProtection="1">
      <alignment horizontal="center" vertical="center"/>
      <protection locked="0"/>
    </xf>
    <xf numFmtId="0" fontId="17" fillId="0" borderId="2" xfId="0" applyFont="1" applyFill="1" applyBorder="1" applyAlignment="1">
      <alignment horizontal="center" vertical="center"/>
    </xf>
    <xf numFmtId="187" fontId="17" fillId="0" borderId="2" xfId="0" applyNumberFormat="1" applyFont="1" applyFill="1" applyBorder="1" applyAlignment="1">
      <alignment vertical="center"/>
    </xf>
    <xf numFmtId="185" fontId="17" fillId="0" borderId="2" xfId="0" applyNumberFormat="1" applyFont="1" applyFill="1" applyBorder="1" applyAlignment="1">
      <alignment vertical="center"/>
    </xf>
    <xf numFmtId="185" fontId="17" fillId="0" borderId="2" xfId="15" applyNumberFormat="1" applyFont="1" applyFill="1" applyBorder="1" applyAlignment="1" applyProtection="1">
      <alignment vertical="center"/>
      <protection/>
    </xf>
    <xf numFmtId="192" fontId="17" fillId="0" borderId="2" xfId="15" applyNumberFormat="1" applyFont="1" applyFill="1" applyBorder="1" applyAlignment="1" applyProtection="1">
      <alignment vertical="center"/>
      <protection/>
    </xf>
    <xf numFmtId="192" fontId="17" fillId="0" borderId="5" xfId="15" applyNumberFormat="1" applyFont="1" applyFill="1" applyBorder="1" applyAlignment="1" applyProtection="1">
      <alignment vertical="center"/>
      <protection/>
    </xf>
    <xf numFmtId="0" fontId="0" fillId="0" borderId="7" xfId="0" applyBorder="1" applyAlignment="1">
      <alignment horizontal="right" vertical="center"/>
    </xf>
    <xf numFmtId="0" fontId="0" fillId="0" borderId="8" xfId="0" applyBorder="1" applyAlignment="1">
      <alignment horizontal="right" vertical="center"/>
    </xf>
    <xf numFmtId="0" fontId="17" fillId="0" borderId="8" xfId="0" applyFont="1" applyFill="1" applyBorder="1" applyAlignment="1">
      <alignment horizontal="left" vertical="center"/>
    </xf>
    <xf numFmtId="0" fontId="17" fillId="0" borderId="8" xfId="0" applyFont="1" applyFill="1" applyBorder="1" applyAlignment="1" applyProtection="1">
      <alignment horizontal="left" vertical="center"/>
      <protection locked="0"/>
    </xf>
    <xf numFmtId="0" fontId="17" fillId="0" borderId="8" xfId="0" applyNumberFormat="1" applyFont="1" applyFill="1" applyBorder="1" applyAlignment="1" applyProtection="1">
      <alignment horizontal="left" vertical="center"/>
      <protection locked="0"/>
    </xf>
    <xf numFmtId="49" fontId="17" fillId="0" borderId="8" xfId="0" applyNumberFormat="1" applyFont="1" applyFill="1" applyBorder="1" applyAlignment="1">
      <alignment horizontal="left" vertical="center"/>
    </xf>
    <xf numFmtId="49" fontId="17" fillId="0" borderId="8" xfId="0" applyNumberFormat="1" applyFont="1" applyFill="1" applyBorder="1" applyAlignment="1" applyProtection="1">
      <alignment horizontal="left" vertical="center"/>
      <protection locked="0"/>
    </xf>
    <xf numFmtId="0" fontId="17" fillId="0" borderId="8" xfId="0" applyFont="1" applyFill="1" applyBorder="1" applyAlignment="1" applyProtection="1">
      <alignment horizontal="left" vertical="center"/>
      <protection/>
    </xf>
    <xf numFmtId="0" fontId="17" fillId="0" borderId="9" xfId="0" applyFont="1" applyFill="1" applyBorder="1" applyAlignment="1">
      <alignment horizontal="left" vertical="center"/>
    </xf>
    <xf numFmtId="1" fontId="30" fillId="0" borderId="10" xfId="0" applyNumberFormat="1" applyFont="1" applyFill="1" applyBorder="1" applyAlignment="1" applyProtection="1">
      <alignment horizontal="right" vertical="center"/>
      <protection/>
    </xf>
    <xf numFmtId="1" fontId="30" fillId="0" borderId="11" xfId="0" applyNumberFormat="1" applyFont="1" applyFill="1" applyBorder="1" applyAlignment="1" applyProtection="1">
      <alignment horizontal="right" vertical="center"/>
      <protection/>
    </xf>
    <xf numFmtId="4" fontId="33" fillId="0" borderId="12" xfId="0" applyNumberFormat="1" applyFont="1" applyFill="1" applyBorder="1" applyAlignment="1" applyProtection="1">
      <alignment horizontal="center" vertical="center" wrapText="1"/>
      <protection/>
    </xf>
    <xf numFmtId="181" fontId="33" fillId="0" borderId="12" xfId="0" applyNumberFormat="1" applyFont="1" applyFill="1" applyBorder="1" applyAlignment="1" applyProtection="1">
      <alignment horizontal="center" vertical="center" wrapText="1"/>
      <protection/>
    </xf>
    <xf numFmtId="181" fontId="33" fillId="0" borderId="13" xfId="0" applyNumberFormat="1" applyFont="1" applyFill="1" applyBorder="1" applyAlignment="1" applyProtection="1">
      <alignment horizontal="center" vertical="center" wrapText="1"/>
      <protection/>
    </xf>
    <xf numFmtId="187" fontId="33" fillId="0" borderId="14" xfId="0" applyNumberFormat="1" applyFont="1" applyFill="1" applyBorder="1" applyAlignment="1" applyProtection="1">
      <alignment horizontal="center" wrapText="1"/>
      <protection/>
    </xf>
    <xf numFmtId="193" fontId="33" fillId="0" borderId="14" xfId="0" applyNumberFormat="1" applyFont="1" applyFill="1" applyBorder="1" applyAlignment="1" applyProtection="1">
      <alignment horizontal="center" wrapText="1"/>
      <protection/>
    </xf>
    <xf numFmtId="192" fontId="33" fillId="0" borderId="14" xfId="0" applyNumberFormat="1" applyFont="1" applyFill="1" applyBorder="1" applyAlignment="1" applyProtection="1">
      <alignment horizontal="center" wrapText="1"/>
      <protection/>
    </xf>
    <xf numFmtId="192" fontId="33" fillId="0" borderId="15" xfId="0" applyNumberFormat="1" applyFont="1" applyFill="1" applyBorder="1" applyAlignment="1" applyProtection="1">
      <alignment horizontal="center" wrapText="1"/>
      <protection/>
    </xf>
    <xf numFmtId="43" fontId="33" fillId="0" borderId="12" xfId="15" applyFont="1" applyFill="1" applyBorder="1" applyAlignment="1" applyProtection="1">
      <alignment horizontal="center" vertical="center" wrapText="1"/>
      <protection/>
    </xf>
    <xf numFmtId="184" fontId="33" fillId="0" borderId="12" xfId="0" applyNumberFormat="1" applyFont="1" applyFill="1" applyBorder="1" applyAlignment="1" applyProtection="1">
      <alignment horizontal="center" vertical="center" wrapText="1"/>
      <protection/>
    </xf>
    <xf numFmtId="0" fontId="33" fillId="0" borderId="12" xfId="0" applyFont="1" applyFill="1" applyBorder="1" applyAlignment="1" applyProtection="1">
      <alignment horizontal="center" vertical="center" wrapText="1"/>
      <protection/>
    </xf>
    <xf numFmtId="0" fontId="33" fillId="0" borderId="12" xfId="0" applyNumberFormat="1" applyFont="1" applyFill="1" applyBorder="1" applyAlignment="1" applyProtection="1">
      <alignment horizontal="center" vertical="center" wrapText="1"/>
      <protection/>
    </xf>
    <xf numFmtId="0" fontId="35" fillId="0" borderId="14" xfId="0" applyFont="1" applyBorder="1" applyAlignment="1">
      <alignment horizontal="center" vertical="center"/>
    </xf>
    <xf numFmtId="0" fontId="22" fillId="2" borderId="16" xfId="0" applyFont="1" applyFill="1" applyBorder="1" applyAlignment="1">
      <alignment horizontal="right" vertical="center"/>
    </xf>
    <xf numFmtId="184" fontId="22" fillId="2" borderId="3" xfId="0" applyNumberFormat="1" applyFont="1" applyFill="1" applyBorder="1" applyAlignment="1">
      <alignment horizontal="center" vertical="center"/>
    </xf>
    <xf numFmtId="0" fontId="22" fillId="2" borderId="3" xfId="0" applyFont="1" applyFill="1" applyBorder="1" applyAlignment="1">
      <alignment horizontal="center" vertical="center"/>
    </xf>
    <xf numFmtId="0" fontId="22" fillId="2" borderId="3" xfId="0" applyFont="1" applyFill="1" applyBorder="1" applyAlignment="1">
      <alignment vertical="center"/>
    </xf>
    <xf numFmtId="3" fontId="22" fillId="2" borderId="3" xfId="0" applyNumberFormat="1" applyFont="1" applyFill="1" applyBorder="1" applyAlignment="1">
      <alignment horizontal="center" vertical="center"/>
    </xf>
    <xf numFmtId="187" fontId="21" fillId="2" borderId="3" xfId="0" applyNumberFormat="1" applyFont="1" applyFill="1" applyBorder="1" applyAlignment="1">
      <alignment horizontal="right" vertical="center"/>
    </xf>
    <xf numFmtId="193" fontId="22" fillId="2" borderId="3" xfId="0" applyNumberFormat="1" applyFont="1" applyFill="1" applyBorder="1" applyAlignment="1">
      <alignment horizontal="right" vertical="center"/>
    </xf>
    <xf numFmtId="192" fontId="22" fillId="2" borderId="3" xfId="0" applyNumberFormat="1" applyFont="1" applyFill="1" applyBorder="1" applyAlignment="1">
      <alignment vertical="center"/>
    </xf>
    <xf numFmtId="187" fontId="22" fillId="2" borderId="3" xfId="0" applyNumberFormat="1" applyFont="1" applyFill="1" applyBorder="1" applyAlignment="1">
      <alignment horizontal="right" vertical="center"/>
    </xf>
    <xf numFmtId="192" fontId="22" fillId="2" borderId="6" xfId="0" applyNumberFormat="1" applyFont="1" applyFill="1" applyBorder="1" applyAlignment="1">
      <alignment horizontal="right" vertical="center"/>
    </xf>
    <xf numFmtId="0" fontId="23" fillId="2" borderId="17" xfId="0" applyFont="1" applyFill="1" applyBorder="1" applyAlignment="1">
      <alignment horizontal="right" vertical="center"/>
    </xf>
    <xf numFmtId="0" fontId="23" fillId="2" borderId="18" xfId="0" applyFont="1" applyFill="1" applyBorder="1" applyAlignment="1">
      <alignment horizontal="right" vertical="center"/>
    </xf>
    <xf numFmtId="0" fontId="0" fillId="0" borderId="9" xfId="0" applyBorder="1" applyAlignment="1">
      <alignment horizontal="right" vertical="center"/>
    </xf>
    <xf numFmtId="1" fontId="30" fillId="0" borderId="19" xfId="0" applyNumberFormat="1" applyFont="1" applyFill="1" applyBorder="1" applyAlignment="1" applyProtection="1">
      <alignment horizontal="right" vertical="center"/>
      <protection/>
    </xf>
    <xf numFmtId="0" fontId="17" fillId="0" borderId="20" xfId="0" applyFont="1" applyFill="1" applyBorder="1" applyAlignment="1" applyProtection="1">
      <alignment horizontal="left" vertical="center"/>
      <protection locked="0"/>
    </xf>
    <xf numFmtId="184" fontId="17" fillId="0" borderId="21" xfId="0" applyNumberFormat="1" applyFont="1" applyFill="1" applyBorder="1" applyAlignment="1" applyProtection="1">
      <alignment horizontal="center" vertical="center"/>
      <protection locked="0"/>
    </xf>
    <xf numFmtId="184" fontId="17" fillId="0" borderId="21" xfId="0" applyNumberFormat="1" applyFont="1" applyFill="1" applyBorder="1" applyAlignment="1" applyProtection="1">
      <alignment horizontal="left" vertical="center"/>
      <protection locked="0"/>
    </xf>
    <xf numFmtId="0" fontId="17" fillId="0" borderId="21" xfId="0" applyFont="1" applyFill="1" applyBorder="1" applyAlignment="1" applyProtection="1">
      <alignment horizontal="left" vertical="center"/>
      <protection locked="0"/>
    </xf>
    <xf numFmtId="0" fontId="17" fillId="0" borderId="21" xfId="0" applyFont="1" applyFill="1" applyBorder="1" applyAlignment="1" applyProtection="1">
      <alignment horizontal="center" vertical="center"/>
      <protection locked="0"/>
    </xf>
    <xf numFmtId="187" fontId="17" fillId="0" borderId="21" xfId="15" applyNumberFormat="1" applyFont="1" applyFill="1" applyBorder="1" applyAlignment="1" applyProtection="1">
      <alignment vertical="center"/>
      <protection locked="0"/>
    </xf>
    <xf numFmtId="185" fontId="17" fillId="0" borderId="21" xfId="15" applyNumberFormat="1" applyFont="1" applyFill="1" applyBorder="1" applyAlignment="1" applyProtection="1">
      <alignment vertical="center"/>
      <protection locked="0"/>
    </xf>
    <xf numFmtId="185" fontId="17" fillId="0" borderId="21" xfId="15" applyNumberFormat="1" applyFont="1" applyFill="1" applyBorder="1" applyAlignment="1" applyProtection="1">
      <alignment vertical="center"/>
      <protection/>
    </xf>
    <xf numFmtId="192" fontId="17" fillId="0" borderId="21" xfId="15" applyNumberFormat="1" applyFont="1" applyFill="1" applyBorder="1" applyAlignment="1" applyProtection="1">
      <alignment vertical="center"/>
      <protection/>
    </xf>
    <xf numFmtId="192" fontId="17" fillId="0" borderId="22" xfId="15" applyNumberFormat="1" applyFont="1" applyFill="1" applyBorder="1" applyAlignment="1" applyProtection="1">
      <alignment vertical="center"/>
      <protection/>
    </xf>
    <xf numFmtId="184" fontId="36" fillId="0" borderId="23" xfId="0" applyNumberFormat="1" applyFont="1" applyFill="1" applyBorder="1" applyAlignment="1" applyProtection="1">
      <alignment horizontal="center" vertical="center"/>
      <protection locked="0"/>
    </xf>
    <xf numFmtId="0" fontId="37" fillId="0" borderId="24" xfId="0" applyFont="1" applyBorder="1" applyAlignment="1">
      <alignment/>
    </xf>
    <xf numFmtId="0" fontId="36" fillId="0" borderId="25" xfId="0" applyFont="1" applyFill="1" applyBorder="1" applyAlignment="1" applyProtection="1">
      <alignment horizontal="center" vertical="center"/>
      <protection locked="0"/>
    </xf>
    <xf numFmtId="0" fontId="37" fillId="0" borderId="26" xfId="0" applyFont="1" applyBorder="1" applyAlignment="1">
      <alignment/>
    </xf>
    <xf numFmtId="0" fontId="37" fillId="0" borderId="27" xfId="0" applyFont="1" applyBorder="1" applyAlignment="1">
      <alignment/>
    </xf>
    <xf numFmtId="0" fontId="37" fillId="0" borderId="28" xfId="0" applyFont="1" applyBorder="1" applyAlignment="1">
      <alignment/>
    </xf>
    <xf numFmtId="0" fontId="37" fillId="0" borderId="29" xfId="0" applyFont="1" applyBorder="1" applyAlignment="1">
      <alignment/>
    </xf>
    <xf numFmtId="0" fontId="36" fillId="0" borderId="30" xfId="0" applyFont="1" applyFill="1" applyBorder="1" applyAlignment="1" applyProtection="1">
      <alignment horizontal="center" vertical="center"/>
      <protection locked="0"/>
    </xf>
    <xf numFmtId="0" fontId="36" fillId="0" borderId="31" xfId="0" applyNumberFormat="1" applyFont="1" applyFill="1" applyBorder="1" applyAlignment="1" applyProtection="1">
      <alignment horizontal="center" vertical="center"/>
      <protection locked="0"/>
    </xf>
    <xf numFmtId="0" fontId="36" fillId="0" borderId="32" xfId="0" applyNumberFormat="1" applyFont="1" applyFill="1" applyBorder="1" applyAlignment="1" applyProtection="1">
      <alignment horizontal="center" vertical="center"/>
      <protection locked="0"/>
    </xf>
    <xf numFmtId="0" fontId="38" fillId="0" borderId="33" xfId="0" applyFont="1" applyFill="1" applyBorder="1" applyAlignment="1" applyProtection="1">
      <alignment horizontal="right" vertical="center"/>
      <protection locked="0"/>
    </xf>
    <xf numFmtId="49" fontId="38" fillId="0" borderId="34" xfId="0" applyNumberFormat="1" applyFont="1" applyFill="1" applyBorder="1" applyAlignment="1" applyProtection="1">
      <alignment horizontal="center" vertical="center"/>
      <protection locked="0"/>
    </xf>
    <xf numFmtId="0" fontId="38" fillId="0" borderId="35" xfId="0" applyFont="1" applyFill="1" applyBorder="1" applyAlignment="1" applyProtection="1">
      <alignment horizontal="left" vertical="center" indent="1"/>
      <protection locked="0"/>
    </xf>
    <xf numFmtId="49" fontId="39" fillId="0" borderId="21" xfId="0" applyNumberFormat="1" applyFont="1" applyFill="1" applyBorder="1" applyAlignment="1" applyProtection="1">
      <alignment horizontal="center" vertical="center"/>
      <protection locked="0"/>
    </xf>
    <xf numFmtId="49" fontId="39" fillId="0" borderId="22" xfId="0" applyNumberFormat="1" applyFont="1" applyFill="1" applyBorder="1" applyAlignment="1" applyProtection="1">
      <alignment horizontal="center" vertical="center"/>
      <protection locked="0"/>
    </xf>
    <xf numFmtId="0" fontId="38" fillId="0" borderId="36" xfId="0" applyFont="1" applyFill="1" applyBorder="1" applyAlignment="1" applyProtection="1">
      <alignment horizontal="right" vertical="center"/>
      <protection locked="0"/>
    </xf>
    <xf numFmtId="3" fontId="38" fillId="0" borderId="37" xfId="0" applyNumberFormat="1" applyFont="1" applyFill="1" applyBorder="1" applyAlignment="1" applyProtection="1">
      <alignment horizontal="center" vertical="center"/>
      <protection locked="0"/>
    </xf>
    <xf numFmtId="0" fontId="38" fillId="0" borderId="38" xfId="0" applyFont="1" applyFill="1" applyBorder="1" applyAlignment="1" applyProtection="1">
      <alignment horizontal="left" vertical="center" indent="1"/>
      <protection locked="0"/>
    </xf>
    <xf numFmtId="49" fontId="39" fillId="0" borderId="1" xfId="0" applyNumberFormat="1" applyFont="1" applyFill="1" applyBorder="1" applyAlignment="1" applyProtection="1">
      <alignment horizontal="center" vertical="center"/>
      <protection locked="0"/>
    </xf>
    <xf numFmtId="49" fontId="39" fillId="0" borderId="4" xfId="0" applyNumberFormat="1" applyFont="1" applyFill="1" applyBorder="1" applyAlignment="1" applyProtection="1">
      <alignment horizontal="center" vertical="center"/>
      <protection locked="0"/>
    </xf>
    <xf numFmtId="184" fontId="38" fillId="0" borderId="37" xfId="0" applyNumberFormat="1" applyFont="1" applyFill="1" applyBorder="1" applyAlignment="1" applyProtection="1">
      <alignment horizontal="center" vertical="center"/>
      <protection locked="0"/>
    </xf>
    <xf numFmtId="0" fontId="38" fillId="0" borderId="39" xfId="0" applyFont="1" applyFill="1" applyBorder="1" applyAlignment="1" applyProtection="1">
      <alignment horizontal="right" vertical="center"/>
      <protection locked="0"/>
    </xf>
    <xf numFmtId="184" fontId="38" fillId="0" borderId="40" xfId="0" applyNumberFormat="1" applyFont="1" applyFill="1" applyBorder="1" applyAlignment="1" applyProtection="1">
      <alignment horizontal="center" vertical="center"/>
      <protection locked="0"/>
    </xf>
    <xf numFmtId="0" fontId="38" fillId="0" borderId="41" xfId="0" applyFont="1" applyFill="1" applyBorder="1" applyAlignment="1" applyProtection="1">
      <alignment horizontal="left" vertical="center" indent="1"/>
      <protection locked="0"/>
    </xf>
    <xf numFmtId="49" fontId="39" fillId="0" borderId="2" xfId="0" applyNumberFormat="1" applyFont="1" applyFill="1" applyBorder="1" applyAlignment="1" applyProtection="1">
      <alignment horizontal="center" vertical="center"/>
      <protection locked="0"/>
    </xf>
    <xf numFmtId="49" fontId="39" fillId="0" borderId="5" xfId="0" applyNumberFormat="1" applyFont="1" applyFill="1" applyBorder="1" applyAlignment="1" applyProtection="1">
      <alignment horizontal="center" vertical="center"/>
      <protection locked="0"/>
    </xf>
    <xf numFmtId="0" fontId="38" fillId="0" borderId="1" xfId="0" applyNumberFormat="1" applyFont="1" applyFill="1" applyBorder="1" applyAlignment="1" applyProtection="1">
      <alignment horizontal="center" vertical="center"/>
      <protection locked="0"/>
    </xf>
    <xf numFmtId="4" fontId="36" fillId="0" borderId="1" xfId="0" applyNumberFormat="1" applyFont="1" applyFill="1" applyBorder="1" applyAlignment="1" applyProtection="1">
      <alignment horizontal="right" vertical="center" indent="1"/>
      <protection locked="0"/>
    </xf>
    <xf numFmtId="193" fontId="38" fillId="0" borderId="1" xfId="0" applyNumberFormat="1" applyFont="1" applyFill="1" applyBorder="1" applyAlignment="1" applyProtection="1">
      <alignment horizontal="right" vertical="center" indent="1"/>
      <protection locked="0"/>
    </xf>
    <xf numFmtId="184" fontId="36" fillId="0" borderId="3" xfId="0" applyNumberFormat="1" applyFont="1" applyFill="1" applyBorder="1" applyAlignment="1" applyProtection="1">
      <alignment horizontal="center" vertical="center"/>
      <protection locked="0"/>
    </xf>
    <xf numFmtId="0" fontId="37" fillId="0" borderId="3" xfId="0" applyFont="1" applyBorder="1" applyAlignment="1">
      <alignment/>
    </xf>
    <xf numFmtId="0" fontId="37" fillId="0" borderId="6" xfId="0" applyFont="1" applyBorder="1" applyAlignment="1">
      <alignment/>
    </xf>
    <xf numFmtId="192" fontId="38" fillId="0" borderId="4" xfId="0" applyNumberFormat="1" applyFont="1" applyFill="1" applyBorder="1" applyAlignment="1" applyProtection="1">
      <alignment horizontal="center" vertical="center"/>
      <protection locked="0"/>
    </xf>
    <xf numFmtId="0" fontId="38" fillId="0" borderId="2" xfId="0" applyNumberFormat="1" applyFont="1" applyFill="1" applyBorder="1" applyAlignment="1" applyProtection="1">
      <alignment horizontal="center" vertical="center"/>
      <protection locked="0"/>
    </xf>
    <xf numFmtId="4" fontId="36" fillId="0" borderId="2" xfId="0" applyNumberFormat="1" applyFont="1" applyFill="1" applyBorder="1" applyAlignment="1" applyProtection="1">
      <alignment horizontal="right" vertical="center" indent="1"/>
      <protection locked="0"/>
    </xf>
    <xf numFmtId="193" fontId="38" fillId="0" borderId="2" xfId="0" applyNumberFormat="1" applyFont="1" applyFill="1" applyBorder="1" applyAlignment="1" applyProtection="1">
      <alignment horizontal="right" vertical="center" indent="1"/>
      <protection locked="0"/>
    </xf>
    <xf numFmtId="192" fontId="38" fillId="0" borderId="5" xfId="0" applyNumberFormat="1" applyFont="1" applyFill="1" applyBorder="1" applyAlignment="1" applyProtection="1">
      <alignment horizontal="center" vertical="center"/>
      <protection locked="0"/>
    </xf>
    <xf numFmtId="0" fontId="36" fillId="0" borderId="7" xfId="0" applyFont="1" applyFill="1" applyBorder="1" applyAlignment="1" applyProtection="1">
      <alignment horizontal="center" vertical="center"/>
      <protection locked="0"/>
    </xf>
    <xf numFmtId="0" fontId="38" fillId="0" borderId="8" xfId="0" applyFont="1" applyFill="1" applyBorder="1" applyAlignment="1" applyProtection="1">
      <alignment horizontal="right" vertical="center"/>
      <protection locked="0"/>
    </xf>
    <xf numFmtId="0" fontId="38" fillId="0" borderId="9" xfId="0" applyFont="1" applyFill="1" applyBorder="1" applyAlignment="1" applyProtection="1">
      <alignment horizontal="right" vertical="center"/>
      <protection locked="0"/>
    </xf>
    <xf numFmtId="1" fontId="40" fillId="0" borderId="42" xfId="0" applyNumberFormat="1" applyFont="1" applyFill="1" applyBorder="1" applyAlignment="1" applyProtection="1">
      <alignment horizontal="right" vertical="center"/>
      <protection locked="0"/>
    </xf>
    <xf numFmtId="1" fontId="40" fillId="0" borderId="10" xfId="0" applyNumberFormat="1" applyFont="1" applyFill="1" applyBorder="1" applyAlignment="1" applyProtection="1">
      <alignment horizontal="right" vertical="center"/>
      <protection/>
    </xf>
    <xf numFmtId="1" fontId="40" fillId="0" borderId="11" xfId="0" applyNumberFormat="1" applyFont="1" applyFill="1" applyBorder="1" applyAlignment="1" applyProtection="1">
      <alignment horizontal="right" vertical="center"/>
      <protection/>
    </xf>
    <xf numFmtId="1" fontId="40" fillId="0" borderId="19" xfId="0" applyNumberFormat="1" applyFont="1" applyFill="1" applyBorder="1" applyAlignment="1" applyProtection="1">
      <alignment horizontal="right" vertical="center"/>
      <protection/>
    </xf>
    <xf numFmtId="0" fontId="38" fillId="0" borderId="20" xfId="0" applyFont="1" applyFill="1" applyBorder="1" applyAlignment="1" applyProtection="1">
      <alignment horizontal="right" vertical="center"/>
      <protection locked="0"/>
    </xf>
    <xf numFmtId="0" fontId="38" fillId="0" borderId="21" xfId="0" applyNumberFormat="1" applyFont="1" applyFill="1" applyBorder="1" applyAlignment="1" applyProtection="1">
      <alignment horizontal="center" vertical="center"/>
      <protection locked="0"/>
    </xf>
    <xf numFmtId="4" fontId="36" fillId="0" borderId="21" xfId="0" applyNumberFormat="1" applyFont="1" applyFill="1" applyBorder="1" applyAlignment="1" applyProtection="1">
      <alignment horizontal="right" vertical="center" indent="1"/>
      <protection locked="0"/>
    </xf>
    <xf numFmtId="193" fontId="38" fillId="0" borderId="21" xfId="0" applyNumberFormat="1" applyFont="1" applyFill="1" applyBorder="1" applyAlignment="1" applyProtection="1">
      <alignment horizontal="right" vertical="center" indent="1"/>
      <protection locked="0"/>
    </xf>
    <xf numFmtId="192" fontId="38" fillId="0" borderId="22" xfId="0" applyNumberFormat="1" applyFont="1" applyFill="1" applyBorder="1" applyAlignment="1" applyProtection="1">
      <alignment horizontal="center" vertical="center"/>
      <protection locked="0"/>
    </xf>
    <xf numFmtId="1" fontId="40" fillId="0" borderId="43" xfId="0" applyNumberFormat="1" applyFont="1" applyFill="1" applyBorder="1" applyAlignment="1" applyProtection="1">
      <alignment horizontal="right" vertical="center"/>
      <protection locked="0"/>
    </xf>
    <xf numFmtId="0" fontId="36" fillId="0" borderId="44" xfId="0" applyFont="1" applyFill="1" applyBorder="1" applyAlignment="1" applyProtection="1">
      <alignment horizontal="center" vertical="center"/>
      <protection locked="0"/>
    </xf>
    <xf numFmtId="184" fontId="36" fillId="0" borderId="45" xfId="0" applyNumberFormat="1" applyFont="1" applyFill="1" applyBorder="1" applyAlignment="1" applyProtection="1">
      <alignment horizontal="center" vertical="center"/>
      <protection locked="0"/>
    </xf>
    <xf numFmtId="0" fontId="36" fillId="0" borderId="45" xfId="0" applyFont="1" applyFill="1" applyBorder="1" applyAlignment="1" applyProtection="1">
      <alignment horizontal="center" vertical="center"/>
      <protection locked="0"/>
    </xf>
    <xf numFmtId="0" fontId="36" fillId="0" borderId="46" xfId="0" applyNumberFormat="1" applyFont="1" applyFill="1" applyBorder="1" applyAlignment="1" applyProtection="1">
      <alignment horizontal="center" vertical="center" wrapText="1"/>
      <protection locked="0"/>
    </xf>
    <xf numFmtId="0" fontId="0" fillId="0" borderId="0" xfId="0" applyAlignment="1">
      <alignment horizontal="right" vertical="center" wrapText="1"/>
    </xf>
    <xf numFmtId="0" fontId="0" fillId="0" borderId="0" xfId="0" applyAlignment="1">
      <alignment vertical="center" readingOrder="1"/>
    </xf>
    <xf numFmtId="0" fontId="0" fillId="0" borderId="0" xfId="0" applyAlignment="1">
      <alignment horizontal="right" vertical="center"/>
    </xf>
    <xf numFmtId="0" fontId="13" fillId="0" borderId="0" xfId="0" applyNumberFormat="1" applyFont="1" applyFill="1" applyBorder="1" applyAlignment="1" applyProtection="1">
      <alignment horizontal="right" vertical="center" wrapText="1"/>
      <protection locked="0"/>
    </xf>
    <xf numFmtId="1" fontId="32" fillId="0" borderId="47" xfId="0" applyNumberFormat="1" applyFont="1" applyFill="1" applyBorder="1" applyAlignment="1" applyProtection="1">
      <alignment horizontal="center" vertical="center" wrapText="1"/>
      <protection/>
    </xf>
    <xf numFmtId="1" fontId="34" fillId="0" borderId="48" xfId="0" applyNumberFormat="1" applyFont="1" applyFill="1" applyBorder="1" applyAlignment="1" applyProtection="1">
      <alignment horizontal="center" vertical="center" wrapText="1"/>
      <protection/>
    </xf>
    <xf numFmtId="0" fontId="33" fillId="0" borderId="49" xfId="0" applyNumberFormat="1" applyFont="1" applyFill="1" applyBorder="1" applyAlignment="1" applyProtection="1">
      <alignment horizontal="center" vertical="center" wrapText="1"/>
      <protection/>
    </xf>
    <xf numFmtId="0" fontId="35" fillId="0" borderId="50" xfId="0" applyFont="1" applyBorder="1" applyAlignment="1">
      <alignment horizontal="center" vertical="center" wrapText="1"/>
    </xf>
    <xf numFmtId="0" fontId="13" fillId="0" borderId="0" xfId="0" applyFont="1" applyAlignment="1">
      <alignment horizontal="right" vertical="center" wrapText="1"/>
    </xf>
    <xf numFmtId="0" fontId="33" fillId="0" borderId="12" xfId="0" applyNumberFormat="1" applyFont="1" applyFill="1" applyBorder="1" applyAlignment="1">
      <alignment horizontal="center" vertical="center" wrapText="1"/>
    </xf>
    <xf numFmtId="192" fontId="33" fillId="0" borderId="13" xfId="0" applyNumberFormat="1" applyFont="1" applyFill="1" applyBorder="1" applyAlignment="1" applyProtection="1">
      <alignment horizontal="center" vertical="center" wrapText="1"/>
      <protection/>
    </xf>
    <xf numFmtId="0" fontId="33" fillId="0" borderId="51" xfId="0" applyNumberFormat="1" applyFont="1" applyFill="1" applyBorder="1" applyAlignment="1">
      <alignment horizontal="center" vertical="center" wrapText="1"/>
    </xf>
    <xf numFmtId="0" fontId="33" fillId="0" borderId="51" xfId="0" applyNumberFormat="1" applyFont="1" applyFill="1" applyBorder="1" applyAlignment="1" applyProtection="1">
      <alignment horizontal="center" vertical="center" wrapText="1"/>
      <protection/>
    </xf>
    <xf numFmtId="187" fontId="33" fillId="0" borderId="51" xfId="0" applyNumberFormat="1" applyFont="1" applyFill="1" applyBorder="1" applyAlignment="1" applyProtection="1">
      <alignment horizontal="center" vertical="center" wrapText="1"/>
      <protection/>
    </xf>
    <xf numFmtId="193" fontId="33" fillId="0" borderId="51" xfId="0" applyNumberFormat="1" applyFont="1" applyFill="1" applyBorder="1" applyAlignment="1" applyProtection="1">
      <alignment horizontal="center" vertical="center" wrapText="1"/>
      <protection/>
    </xf>
    <xf numFmtId="192" fontId="33" fillId="0" borderId="52" xfId="0" applyNumberFormat="1" applyFont="1" applyFill="1" applyBorder="1" applyAlignment="1" applyProtection="1">
      <alignment horizontal="center" vertical="center" wrapText="1"/>
      <protection/>
    </xf>
    <xf numFmtId="0" fontId="24" fillId="0" borderId="0" xfId="0" applyFont="1" applyBorder="1" applyAlignment="1">
      <alignment vertical="center"/>
    </xf>
    <xf numFmtId="0" fontId="3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4" fillId="0" borderId="0" xfId="0" applyFont="1" applyFill="1" applyBorder="1" applyAlignment="1">
      <alignment vertical="center"/>
    </xf>
    <xf numFmtId="2" fontId="14" fillId="0" borderId="0" xfId="0" applyNumberFormat="1"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right" vertical="center"/>
    </xf>
    <xf numFmtId="0" fontId="0" fillId="0" borderId="0" xfId="0"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87" fontId="14" fillId="0" borderId="0" xfId="0" applyNumberFormat="1" applyFont="1" applyFill="1" applyBorder="1" applyAlignment="1">
      <alignment horizontal="right" vertical="center"/>
    </xf>
    <xf numFmtId="192" fontId="0" fillId="0" borderId="0" xfId="0" applyNumberFormat="1" applyFont="1" applyFill="1" applyBorder="1" applyAlignment="1">
      <alignment horizontal="right" vertical="center" indent="1"/>
    </xf>
    <xf numFmtId="0" fontId="0" fillId="0" borderId="0" xfId="0" applyBorder="1" applyAlignment="1">
      <alignment vertical="center"/>
    </xf>
    <xf numFmtId="187" fontId="14" fillId="0" borderId="0" xfId="0" applyNumberFormat="1" applyFont="1" applyBorder="1" applyAlignment="1">
      <alignment horizontal="right" vertical="center"/>
    </xf>
    <xf numFmtId="193" fontId="14" fillId="0" borderId="0" xfId="0" applyNumberFormat="1" applyFont="1" applyBorder="1" applyAlignment="1">
      <alignment horizontal="right" vertical="center" indent="1"/>
    </xf>
    <xf numFmtId="192" fontId="0" fillId="0" borderId="0" xfId="0" applyNumberFormat="1" applyBorder="1" applyAlignment="1">
      <alignment horizontal="right" vertical="center" indent="1"/>
    </xf>
    <xf numFmtId="0" fontId="0" fillId="0" borderId="0" xfId="0" applyBorder="1" applyAlignment="1">
      <alignment horizontal="right" vertical="center" wrapText="1"/>
    </xf>
    <xf numFmtId="0" fontId="0" fillId="0" borderId="0" xfId="0" applyBorder="1" applyAlignment="1">
      <alignment horizontal="right" vertical="center" wrapText="1"/>
    </xf>
    <xf numFmtId="0" fontId="13" fillId="0" borderId="0" xfId="0" applyFont="1" applyBorder="1" applyAlignment="1">
      <alignment horizontal="right" vertical="center" wrapText="1"/>
    </xf>
    <xf numFmtId="0" fontId="0" fillId="0" borderId="0" xfId="0" applyBorder="1" applyAlignment="1">
      <alignment vertical="center" wrapText="1"/>
    </xf>
    <xf numFmtId="0" fontId="30" fillId="0" borderId="0" xfId="0" applyFont="1" applyFill="1" applyBorder="1" applyAlignment="1">
      <alignment horizontal="right" vertical="center"/>
    </xf>
    <xf numFmtId="0" fontId="30" fillId="0" borderId="0" xfId="0" applyFont="1" applyBorder="1" applyAlignment="1">
      <alignment horizontal="right" vertical="center"/>
    </xf>
    <xf numFmtId="0" fontId="9" fillId="3" borderId="0" xfId="0" applyFont="1" applyFill="1" applyBorder="1" applyAlignment="1">
      <alignment horizontal="center" vertical="center" wrapText="1"/>
    </xf>
    <xf numFmtId="0" fontId="42" fillId="0" borderId="0" xfId="0" applyFont="1" applyAlignment="1">
      <alignment vertical="center"/>
    </xf>
    <xf numFmtId="0" fontId="43" fillId="0" borderId="0" xfId="0" applyFont="1" applyBorder="1" applyAlignment="1" applyProtection="1">
      <alignment vertical="center" wrapText="1"/>
      <protection locked="0"/>
    </xf>
    <xf numFmtId="193" fontId="44" fillId="0" borderId="0" xfId="0" applyNumberFormat="1" applyFont="1" applyFill="1" applyBorder="1" applyAlignment="1" applyProtection="1">
      <alignment horizontal="right" vertical="center"/>
      <protection/>
    </xf>
    <xf numFmtId="187" fontId="16" fillId="4" borderId="21" xfId="15" applyNumberFormat="1" applyFont="1" applyFill="1" applyBorder="1" applyAlignment="1" applyProtection="1">
      <alignment vertical="center"/>
      <protection locked="0"/>
    </xf>
    <xf numFmtId="185" fontId="16" fillId="4" borderId="21" xfId="15" applyNumberFormat="1" applyFont="1" applyFill="1" applyBorder="1" applyAlignment="1" applyProtection="1">
      <alignment vertical="center"/>
      <protection locked="0"/>
    </xf>
    <xf numFmtId="187" fontId="16" fillId="4" borderId="1" xfId="0" applyNumberFormat="1" applyFont="1" applyFill="1" applyBorder="1" applyAlignment="1">
      <alignment vertical="center"/>
    </xf>
    <xf numFmtId="185" fontId="16" fillId="4" borderId="1" xfId="0" applyNumberFormat="1" applyFont="1" applyFill="1" applyBorder="1" applyAlignment="1">
      <alignment vertical="center"/>
    </xf>
    <xf numFmtId="187" fontId="16" fillId="4" borderId="1" xfId="15" applyNumberFormat="1" applyFont="1" applyFill="1" applyBorder="1" applyAlignment="1" applyProtection="1">
      <alignment vertical="center"/>
      <protection locked="0"/>
    </xf>
    <xf numFmtId="185" fontId="16" fillId="4" borderId="1" xfId="15" applyNumberFormat="1" applyFont="1" applyFill="1" applyBorder="1" applyAlignment="1" applyProtection="1">
      <alignment vertical="center"/>
      <protection locked="0"/>
    </xf>
    <xf numFmtId="187" fontId="16" fillId="4" borderId="1" xfId="15" applyNumberFormat="1" applyFont="1" applyFill="1" applyBorder="1" applyAlignment="1" applyProtection="1">
      <alignment vertical="center"/>
      <protection/>
    </xf>
    <xf numFmtId="185" fontId="16" fillId="4" borderId="1" xfId="15" applyNumberFormat="1" applyFont="1" applyFill="1" applyBorder="1" applyAlignment="1" applyProtection="1">
      <alignment vertical="center"/>
      <protection/>
    </xf>
    <xf numFmtId="187" fontId="16" fillId="4" borderId="2" xfId="0" applyNumberFormat="1" applyFont="1" applyFill="1" applyBorder="1" applyAlignment="1">
      <alignment vertical="center"/>
    </xf>
    <xf numFmtId="185" fontId="16" fillId="4" borderId="2" xfId="0" applyNumberFormat="1" applyFont="1" applyFill="1" applyBorder="1" applyAlignment="1">
      <alignment vertical="center"/>
    </xf>
    <xf numFmtId="193" fontId="21" fillId="2" borderId="3" xfId="0" applyNumberFormat="1" applyFont="1" applyFill="1" applyBorder="1" applyAlignment="1">
      <alignment horizontal="right" vertical="center"/>
    </xf>
    <xf numFmtId="193" fontId="20" fillId="2" borderId="1" xfId="0" applyNumberFormat="1" applyFont="1" applyFill="1" applyBorder="1" applyAlignment="1">
      <alignment horizontal="right" vertical="center"/>
    </xf>
    <xf numFmtId="193" fontId="20" fillId="2" borderId="2" xfId="0" applyNumberFormat="1" applyFont="1" applyFill="1" applyBorder="1" applyAlignment="1">
      <alignment horizontal="right" vertical="center"/>
    </xf>
    <xf numFmtId="0" fontId="14" fillId="0" borderId="0" xfId="0" applyFont="1" applyAlignment="1">
      <alignment horizontal="right" vertical="center"/>
    </xf>
    <xf numFmtId="0" fontId="14" fillId="0" borderId="0" xfId="0" applyFont="1" applyAlignment="1">
      <alignment vertical="center" readingOrder="1"/>
    </xf>
    <xf numFmtId="193" fontId="45" fillId="0" borderId="0" xfId="0" applyNumberFormat="1" applyFont="1" applyFill="1" applyBorder="1" applyAlignment="1" applyProtection="1">
      <alignment horizontal="right" vertical="center"/>
      <protection locked="0"/>
    </xf>
    <xf numFmtId="0" fontId="17" fillId="0" borderId="20" xfId="0" applyFont="1" applyFill="1" applyBorder="1" applyAlignment="1">
      <alignment horizontal="left" vertical="center"/>
    </xf>
    <xf numFmtId="184" fontId="17" fillId="0" borderId="21" xfId="0" applyNumberFormat="1" applyFont="1" applyFill="1" applyBorder="1" applyAlignment="1">
      <alignment horizontal="center" vertical="center"/>
    </xf>
    <xf numFmtId="0" fontId="17" fillId="0" borderId="21" xfId="0" applyFont="1" applyFill="1" applyBorder="1" applyAlignment="1">
      <alignment horizontal="left" vertical="center"/>
    </xf>
    <xf numFmtId="0" fontId="17" fillId="0" borderId="21" xfId="0" applyFont="1" applyFill="1" applyBorder="1" applyAlignment="1">
      <alignment horizontal="center" vertical="center"/>
    </xf>
    <xf numFmtId="187" fontId="16" fillId="4" borderId="21" xfId="0" applyNumberFormat="1" applyFont="1" applyFill="1" applyBorder="1" applyAlignment="1">
      <alignment vertical="center"/>
    </xf>
    <xf numFmtId="185" fontId="16" fillId="4" borderId="21" xfId="0" applyNumberFormat="1" applyFont="1" applyFill="1" applyBorder="1" applyAlignment="1">
      <alignment vertical="center"/>
    </xf>
    <xf numFmtId="185" fontId="17" fillId="0" borderId="21" xfId="21" applyNumberFormat="1" applyFont="1" applyFill="1" applyBorder="1" applyAlignment="1" applyProtection="1">
      <alignment vertical="center"/>
      <protection/>
    </xf>
    <xf numFmtId="192" fontId="17" fillId="0" borderId="21" xfId="21" applyNumberFormat="1" applyFont="1" applyFill="1" applyBorder="1" applyAlignment="1" applyProtection="1">
      <alignment vertical="center"/>
      <protection/>
    </xf>
    <xf numFmtId="187" fontId="17" fillId="0" borderId="21" xfId="0" applyNumberFormat="1" applyFont="1" applyFill="1" applyBorder="1" applyAlignment="1">
      <alignment vertical="center"/>
    </xf>
    <xf numFmtId="185" fontId="17" fillId="0" borderId="21" xfId="0" applyNumberFormat="1" applyFont="1" applyFill="1" applyBorder="1" applyAlignment="1">
      <alignment vertical="center"/>
    </xf>
    <xf numFmtId="192" fontId="17" fillId="0" borderId="22" xfId="21" applyNumberFormat="1" applyFont="1" applyFill="1" applyBorder="1" applyAlignment="1" applyProtection="1">
      <alignment vertical="center"/>
      <protection/>
    </xf>
    <xf numFmtId="1" fontId="30" fillId="0" borderId="43" xfId="0" applyNumberFormat="1" applyFont="1" applyFill="1" applyBorder="1" applyAlignment="1" applyProtection="1">
      <alignment horizontal="right" vertical="center"/>
      <protection/>
    </xf>
    <xf numFmtId="0" fontId="17" fillId="0" borderId="44" xfId="0" applyFont="1" applyFill="1" applyBorder="1" applyAlignment="1" applyProtection="1">
      <alignment horizontal="left" vertical="center"/>
      <protection locked="0"/>
    </xf>
    <xf numFmtId="184" fontId="17" fillId="0" borderId="45" xfId="0" applyNumberFormat="1" applyFont="1" applyFill="1" applyBorder="1" applyAlignment="1" applyProtection="1">
      <alignment horizontal="center" vertical="center"/>
      <protection locked="0"/>
    </xf>
    <xf numFmtId="184" fontId="17" fillId="0" borderId="45" xfId="0" applyNumberFormat="1" applyFont="1" applyFill="1" applyBorder="1" applyAlignment="1" applyProtection="1">
      <alignment horizontal="left" vertical="center"/>
      <protection locked="0"/>
    </xf>
    <xf numFmtId="0" fontId="17" fillId="0" borderId="45" xfId="0" applyFont="1" applyFill="1" applyBorder="1" applyAlignment="1" applyProtection="1">
      <alignment horizontal="left" vertical="center"/>
      <protection locked="0"/>
    </xf>
    <xf numFmtId="0" fontId="17" fillId="0" borderId="45" xfId="0" applyFont="1" applyFill="1" applyBorder="1" applyAlignment="1" applyProtection="1">
      <alignment horizontal="center" vertical="center"/>
      <protection locked="0"/>
    </xf>
    <xf numFmtId="187" fontId="16" fillId="4" borderId="45" xfId="15" applyNumberFormat="1" applyFont="1" applyFill="1" applyBorder="1" applyAlignment="1" applyProtection="1">
      <alignment vertical="center"/>
      <protection locked="0"/>
    </xf>
    <xf numFmtId="185" fontId="16" fillId="4" borderId="45" xfId="15" applyNumberFormat="1" applyFont="1" applyFill="1" applyBorder="1" applyAlignment="1" applyProtection="1">
      <alignment vertical="center"/>
      <protection locked="0"/>
    </xf>
    <xf numFmtId="185" fontId="17" fillId="0" borderId="45" xfId="15" applyNumberFormat="1" applyFont="1" applyFill="1" applyBorder="1" applyAlignment="1" applyProtection="1">
      <alignment vertical="center"/>
      <protection/>
    </xf>
    <xf numFmtId="192" fontId="17" fillId="0" borderId="45" xfId="15" applyNumberFormat="1" applyFont="1" applyFill="1" applyBorder="1" applyAlignment="1" applyProtection="1">
      <alignment vertical="center"/>
      <protection/>
    </xf>
    <xf numFmtId="187" fontId="17" fillId="0" borderId="45" xfId="15" applyNumberFormat="1" applyFont="1" applyFill="1" applyBorder="1" applyAlignment="1" applyProtection="1">
      <alignment vertical="center"/>
      <protection locked="0"/>
    </xf>
    <xf numFmtId="185" fontId="17" fillId="0" borderId="45" xfId="15" applyNumberFormat="1" applyFont="1" applyFill="1" applyBorder="1" applyAlignment="1" applyProtection="1">
      <alignment vertical="center"/>
      <protection locked="0"/>
    </xf>
    <xf numFmtId="192" fontId="17" fillId="0" borderId="46" xfId="15" applyNumberFormat="1" applyFont="1" applyFill="1" applyBorder="1" applyAlignment="1" applyProtection="1">
      <alignment vertical="center"/>
      <protection/>
    </xf>
    <xf numFmtId="0" fontId="17" fillId="0" borderId="1" xfId="0" applyFont="1" applyFill="1" applyBorder="1" applyAlignment="1">
      <alignment horizontal="left" vertical="center"/>
    </xf>
    <xf numFmtId="184" fontId="17" fillId="0" borderId="1" xfId="0" applyNumberFormat="1" applyFont="1" applyFill="1" applyBorder="1" applyAlignment="1">
      <alignment horizontal="center" vertical="center"/>
    </xf>
    <xf numFmtId="0" fontId="17" fillId="0" borderId="1" xfId="0" applyFont="1" applyFill="1" applyBorder="1" applyAlignment="1">
      <alignment horizontal="center" vertical="center"/>
    </xf>
    <xf numFmtId="187" fontId="16" fillId="0" borderId="1" xfId="0" applyNumberFormat="1" applyFont="1" applyFill="1" applyBorder="1" applyAlignment="1">
      <alignment horizontal="right" vertical="center"/>
    </xf>
    <xf numFmtId="193" fontId="16" fillId="0" borderId="1" xfId="0" applyNumberFormat="1" applyFont="1" applyFill="1" applyBorder="1" applyAlignment="1">
      <alignment horizontal="right" vertical="center"/>
    </xf>
    <xf numFmtId="0" fontId="17" fillId="0" borderId="1" xfId="0" applyFont="1" applyFill="1" applyBorder="1" applyAlignment="1" applyProtection="1">
      <alignment horizontal="left" vertical="center"/>
      <protection locked="0"/>
    </xf>
    <xf numFmtId="184" fontId="17" fillId="0" borderId="1" xfId="0" applyNumberFormat="1" applyFont="1" applyFill="1" applyBorder="1" applyAlignment="1" applyProtection="1">
      <alignment horizontal="center" vertical="center"/>
      <protection locked="0"/>
    </xf>
    <xf numFmtId="184" fontId="17" fillId="0" borderId="1" xfId="0" applyNumberFormat="1" applyFont="1" applyFill="1" applyBorder="1" applyAlignment="1" applyProtection="1">
      <alignment horizontal="left" vertical="center"/>
      <protection locked="0"/>
    </xf>
    <xf numFmtId="0" fontId="17" fillId="0" borderId="1" xfId="0" applyFont="1" applyFill="1" applyBorder="1" applyAlignment="1" applyProtection="1">
      <alignment horizontal="center" vertical="center"/>
      <protection locked="0"/>
    </xf>
    <xf numFmtId="187" fontId="16" fillId="0" borderId="1" xfId="15" applyNumberFormat="1" applyFont="1" applyFill="1" applyBorder="1" applyAlignment="1" applyProtection="1">
      <alignment horizontal="right" vertical="center"/>
      <protection locked="0"/>
    </xf>
    <xf numFmtId="193" fontId="16" fillId="0" borderId="1" xfId="15" applyNumberFormat="1" applyFont="1" applyFill="1" applyBorder="1" applyAlignment="1" applyProtection="1">
      <alignment horizontal="right" vertical="center"/>
      <protection locked="0"/>
    </xf>
    <xf numFmtId="49" fontId="17" fillId="0" borderId="1" xfId="0" applyNumberFormat="1" applyFont="1" applyFill="1" applyBorder="1" applyAlignment="1" applyProtection="1">
      <alignment horizontal="left" vertical="center"/>
      <protection locked="0"/>
    </xf>
    <xf numFmtId="49" fontId="17" fillId="0" borderId="1" xfId="0" applyNumberFormat="1" applyFont="1" applyFill="1" applyBorder="1" applyAlignment="1" applyProtection="1">
      <alignment horizontal="center" vertical="center"/>
      <protection locked="0"/>
    </xf>
    <xf numFmtId="187" fontId="16" fillId="0" borderId="1" xfId="0" applyNumberFormat="1" applyFont="1" applyFill="1" applyBorder="1" applyAlignment="1" applyProtection="1">
      <alignment horizontal="right" vertical="center"/>
      <protection locked="0"/>
    </xf>
    <xf numFmtId="193" fontId="16" fillId="0" borderId="1" xfId="0" applyNumberFormat="1" applyFont="1" applyFill="1" applyBorder="1" applyAlignment="1" applyProtection="1">
      <alignment horizontal="right" vertical="center"/>
      <protection locked="0"/>
    </xf>
    <xf numFmtId="49" fontId="17" fillId="0" borderId="1" xfId="0" applyNumberFormat="1" applyFont="1" applyFill="1" applyBorder="1" applyAlignment="1">
      <alignment horizontal="left" vertical="center"/>
    </xf>
    <xf numFmtId="49" fontId="17" fillId="0" borderId="1" xfId="0" applyNumberFormat="1" applyFont="1" applyFill="1" applyBorder="1" applyAlignment="1">
      <alignment horizontal="center" vertical="center"/>
    </xf>
    <xf numFmtId="3" fontId="17" fillId="0" borderId="1" xfId="0" applyNumberFormat="1" applyFont="1" applyFill="1" applyBorder="1" applyAlignment="1" applyProtection="1">
      <alignment horizontal="left" vertical="center"/>
      <protection locked="0"/>
    </xf>
    <xf numFmtId="3" fontId="17" fillId="0" borderId="1" xfId="0" applyNumberFormat="1" applyFont="1" applyFill="1" applyBorder="1" applyAlignment="1" applyProtection="1">
      <alignment horizontal="center" vertical="center"/>
      <protection locked="0"/>
    </xf>
    <xf numFmtId="187" fontId="16" fillId="0" borderId="1" xfId="15" applyNumberFormat="1" applyFont="1" applyFill="1" applyBorder="1" applyAlignment="1" applyProtection="1">
      <alignment horizontal="right" vertical="center"/>
      <protection/>
    </xf>
    <xf numFmtId="3" fontId="17" fillId="0" borderId="1" xfId="0" applyNumberFormat="1" applyFont="1" applyFill="1" applyBorder="1" applyAlignment="1">
      <alignment horizontal="center" vertical="center"/>
    </xf>
    <xf numFmtId="0" fontId="46" fillId="0" borderId="1" xfId="0" applyFont="1" applyFill="1" applyBorder="1" applyAlignment="1">
      <alignment horizontal="left" vertical="center"/>
    </xf>
    <xf numFmtId="0" fontId="46" fillId="0" borderId="1" xfId="0" applyFont="1" applyFill="1" applyBorder="1" applyAlignment="1">
      <alignment horizontal="center" vertical="center"/>
    </xf>
    <xf numFmtId="187" fontId="47" fillId="0" borderId="1" xfId="0" applyNumberFormat="1" applyFont="1" applyFill="1" applyBorder="1" applyAlignment="1">
      <alignment horizontal="right" vertical="center"/>
    </xf>
    <xf numFmtId="193" fontId="47" fillId="0" borderId="1" xfId="0" applyNumberFormat="1" applyFont="1" applyFill="1" applyBorder="1" applyAlignment="1">
      <alignment horizontal="right" vertical="center"/>
    </xf>
    <xf numFmtId="1" fontId="17" fillId="0" borderId="1" xfId="0" applyNumberFormat="1" applyFont="1" applyFill="1" applyBorder="1" applyAlignment="1">
      <alignment horizontal="center" vertical="center"/>
    </xf>
    <xf numFmtId="197" fontId="17" fillId="0" borderId="1" xfId="0" applyNumberFormat="1" applyFont="1" applyFill="1" applyBorder="1" applyAlignment="1">
      <alignment horizontal="left" vertical="center"/>
    </xf>
    <xf numFmtId="0" fontId="17" fillId="0" borderId="21" xfId="0" applyFont="1" applyFill="1" applyBorder="1" applyAlignment="1">
      <alignment horizontal="left" vertical="center"/>
    </xf>
    <xf numFmtId="184" fontId="17" fillId="0" borderId="21" xfId="0" applyNumberFormat="1" applyFont="1" applyFill="1" applyBorder="1" applyAlignment="1">
      <alignment horizontal="center" vertical="center"/>
    </xf>
    <xf numFmtId="0" fontId="17" fillId="0" borderId="21" xfId="0" applyFont="1" applyFill="1" applyBorder="1" applyAlignment="1">
      <alignment horizontal="center" vertical="center"/>
    </xf>
    <xf numFmtId="187" fontId="16" fillId="0" borderId="21" xfId="0" applyNumberFormat="1" applyFont="1" applyFill="1" applyBorder="1" applyAlignment="1">
      <alignment horizontal="right" vertical="center"/>
    </xf>
    <xf numFmtId="193" fontId="16" fillId="0" borderId="21" xfId="0" applyNumberFormat="1" applyFont="1" applyFill="1" applyBorder="1" applyAlignment="1">
      <alignment horizontal="right" vertical="center"/>
    </xf>
    <xf numFmtId="0" fontId="30" fillId="0" borderId="47" xfId="0" applyFont="1" applyFill="1" applyBorder="1" applyAlignment="1">
      <alignment horizontal="center" vertical="center"/>
    </xf>
    <xf numFmtId="0" fontId="31" fillId="0" borderId="48" xfId="0" applyFont="1" applyFill="1" applyBorder="1" applyAlignment="1">
      <alignment horizontal="center" vertical="center"/>
    </xf>
    <xf numFmtId="0" fontId="33" fillId="0" borderId="14" xfId="0" applyNumberFormat="1" applyFont="1" applyFill="1" applyBorder="1" applyAlignment="1">
      <alignment horizontal="center" vertical="center" wrapText="1"/>
    </xf>
    <xf numFmtId="0" fontId="33" fillId="0" borderId="14" xfId="0" applyNumberFormat="1" applyFont="1" applyFill="1" applyBorder="1" applyAlignment="1">
      <alignment horizontal="center" wrapText="1"/>
    </xf>
    <xf numFmtId="0" fontId="33" fillId="0" borderId="14" xfId="0" applyNumberFormat="1" applyFont="1" applyFill="1" applyBorder="1" applyAlignment="1" applyProtection="1">
      <alignment horizontal="center" vertical="center" wrapText="1"/>
      <protection/>
    </xf>
    <xf numFmtId="187" fontId="33" fillId="0" borderId="14" xfId="0" applyNumberFormat="1" applyFont="1" applyFill="1" applyBorder="1" applyAlignment="1" applyProtection="1">
      <alignment horizontal="center" vertical="center" wrapText="1"/>
      <protection/>
    </xf>
    <xf numFmtId="193" fontId="33" fillId="0" borderId="14" xfId="0" applyNumberFormat="1" applyFont="1" applyFill="1" applyBorder="1" applyAlignment="1" applyProtection="1">
      <alignment horizontal="center" vertical="center" wrapText="1"/>
      <protection/>
    </xf>
    <xf numFmtId="192" fontId="33" fillId="0" borderId="15" xfId="0" applyNumberFormat="1" applyFont="1" applyFill="1" applyBorder="1" applyAlignment="1" applyProtection="1">
      <alignment horizontal="center" vertical="center" wrapText="1"/>
      <protection/>
    </xf>
    <xf numFmtId="0" fontId="17" fillId="0" borderId="3" xfId="0" applyFont="1" applyFill="1" applyBorder="1" applyAlignment="1">
      <alignment horizontal="left" vertical="center"/>
    </xf>
    <xf numFmtId="184" fontId="17" fillId="0" borderId="3" xfId="0" applyNumberFormat="1" applyFont="1" applyFill="1" applyBorder="1" applyAlignment="1">
      <alignment horizontal="center" vertical="center"/>
    </xf>
    <xf numFmtId="0" fontId="17" fillId="0" borderId="3" xfId="0" applyFont="1" applyFill="1" applyBorder="1" applyAlignment="1">
      <alignment horizontal="center" vertical="center"/>
    </xf>
    <xf numFmtId="187" fontId="16" fillId="0" borderId="3" xfId="0" applyNumberFormat="1" applyFont="1" applyFill="1" applyBorder="1" applyAlignment="1">
      <alignment horizontal="right" vertical="center"/>
    </xf>
    <xf numFmtId="193" fontId="16" fillId="0" borderId="3" xfId="0" applyNumberFormat="1" applyFont="1" applyFill="1" applyBorder="1" applyAlignment="1">
      <alignment horizontal="right" vertical="center"/>
    </xf>
    <xf numFmtId="192" fontId="17" fillId="0" borderId="6" xfId="0" applyNumberFormat="1" applyFont="1" applyFill="1" applyBorder="1" applyAlignment="1">
      <alignment vertical="center"/>
    </xf>
    <xf numFmtId="192" fontId="17" fillId="0" borderId="4" xfId="0" applyNumberFormat="1" applyFont="1" applyFill="1" applyBorder="1" applyAlignment="1">
      <alignment vertical="center"/>
    </xf>
    <xf numFmtId="192" fontId="17" fillId="0" borderId="4" xfId="15" applyNumberFormat="1" applyFont="1" applyFill="1" applyBorder="1" applyAlignment="1" applyProtection="1">
      <alignment vertical="center"/>
      <protection/>
    </xf>
    <xf numFmtId="192" fontId="17" fillId="0" borderId="4" xfId="21" applyNumberFormat="1" applyFont="1" applyFill="1" applyBorder="1" applyAlignment="1" applyProtection="1">
      <alignment vertical="center"/>
      <protection/>
    </xf>
    <xf numFmtId="0" fontId="17" fillId="0" borderId="2" xfId="0" applyFont="1" applyFill="1" applyBorder="1" applyAlignment="1">
      <alignment horizontal="left" vertical="center"/>
    </xf>
    <xf numFmtId="184" fontId="17" fillId="0" borderId="2" xfId="0" applyNumberFormat="1" applyFont="1" applyFill="1" applyBorder="1" applyAlignment="1">
      <alignment horizontal="center" vertical="center"/>
    </xf>
    <xf numFmtId="0" fontId="17" fillId="0" borderId="2" xfId="0" applyFont="1" applyFill="1" applyBorder="1" applyAlignment="1">
      <alignment horizontal="center" vertical="center"/>
    </xf>
    <xf numFmtId="187" fontId="16" fillId="0" borderId="2" xfId="0" applyNumberFormat="1" applyFont="1" applyFill="1" applyBorder="1" applyAlignment="1">
      <alignment horizontal="right" vertical="center"/>
    </xf>
    <xf numFmtId="193" fontId="16" fillId="0" borderId="2" xfId="0" applyNumberFormat="1" applyFont="1" applyFill="1" applyBorder="1" applyAlignment="1">
      <alignment horizontal="right" vertical="center"/>
    </xf>
    <xf numFmtId="192" fontId="17" fillId="0" borderId="5" xfId="0" applyNumberFormat="1" applyFont="1" applyFill="1" applyBorder="1" applyAlignment="1">
      <alignment vertical="center"/>
    </xf>
    <xf numFmtId="0" fontId="17" fillId="0" borderId="7" xfId="0" applyFont="1" applyFill="1" applyBorder="1" applyAlignment="1">
      <alignment horizontal="left" vertical="center"/>
    </xf>
    <xf numFmtId="0" fontId="17" fillId="0" borderId="8" xfId="0" applyFont="1" applyFill="1" applyBorder="1" applyAlignment="1">
      <alignment horizontal="left" vertical="center"/>
    </xf>
    <xf numFmtId="0" fontId="17" fillId="0" borderId="8" xfId="0"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49" fontId="17" fillId="0" borderId="8" xfId="0" applyNumberFormat="1" applyFont="1" applyFill="1" applyBorder="1" applyAlignment="1">
      <alignment horizontal="left" vertical="center"/>
    </xf>
    <xf numFmtId="3" fontId="17" fillId="0" borderId="8" xfId="0" applyNumberFormat="1" applyFont="1" applyFill="1" applyBorder="1" applyAlignment="1" applyProtection="1">
      <alignment horizontal="left" vertical="center"/>
      <protection locked="0"/>
    </xf>
    <xf numFmtId="0" fontId="17" fillId="0" borderId="8" xfId="0" applyNumberFormat="1" applyFont="1" applyFill="1" applyBorder="1" applyAlignment="1" applyProtection="1">
      <alignment horizontal="left" vertical="center"/>
      <protection locked="0"/>
    </xf>
    <xf numFmtId="0" fontId="46" fillId="0" borderId="8" xfId="0" applyFont="1" applyFill="1" applyBorder="1" applyAlignment="1">
      <alignment horizontal="left" vertical="center"/>
    </xf>
    <xf numFmtId="0" fontId="17" fillId="0" borderId="9" xfId="0" applyFont="1" applyFill="1" applyBorder="1" applyAlignment="1">
      <alignment horizontal="left" vertical="center"/>
    </xf>
    <xf numFmtId="0" fontId="30" fillId="0" borderId="53" xfId="0" applyFont="1" applyFill="1" applyBorder="1" applyAlignment="1" applyProtection="1">
      <alignment horizontal="right" vertical="center"/>
      <protection/>
    </xf>
    <xf numFmtId="0" fontId="30" fillId="0" borderId="54" xfId="0" applyFont="1" applyFill="1" applyBorder="1" applyAlignment="1" applyProtection="1">
      <alignment horizontal="right" vertical="center"/>
      <protection/>
    </xf>
    <xf numFmtId="0" fontId="30" fillId="0" borderId="55" xfId="0" applyFont="1" applyFill="1" applyBorder="1" applyAlignment="1" applyProtection="1">
      <alignment horizontal="right" vertical="center"/>
      <protection/>
    </xf>
    <xf numFmtId="0" fontId="17" fillId="0" borderId="20" xfId="0" applyFont="1" applyFill="1" applyBorder="1" applyAlignment="1" applyProtection="1">
      <alignment horizontal="left" vertical="center"/>
      <protection locked="0"/>
    </xf>
    <xf numFmtId="0" fontId="17" fillId="0" borderId="21" xfId="0" applyFont="1" applyFill="1" applyBorder="1" applyAlignment="1" applyProtection="1">
      <alignment horizontal="left" vertical="center"/>
      <protection locked="0"/>
    </xf>
    <xf numFmtId="0" fontId="17" fillId="0" borderId="21" xfId="0" applyFont="1" applyFill="1" applyBorder="1" applyAlignment="1" applyProtection="1">
      <alignment horizontal="center" vertical="center"/>
      <protection locked="0"/>
    </xf>
    <xf numFmtId="192" fontId="17" fillId="0" borderId="22" xfId="21" applyNumberFormat="1" applyFont="1" applyFill="1" applyBorder="1" applyAlignment="1" applyProtection="1">
      <alignment vertical="center"/>
      <protection/>
    </xf>
    <xf numFmtId="0" fontId="30" fillId="0" borderId="56" xfId="0" applyFont="1" applyFill="1" applyBorder="1" applyAlignment="1" applyProtection="1">
      <alignment horizontal="right" vertical="center"/>
      <protection/>
    </xf>
    <xf numFmtId="0" fontId="17" fillId="0" borderId="44" xfId="0" applyFont="1" applyFill="1" applyBorder="1" applyAlignment="1" applyProtection="1">
      <alignment horizontal="left" vertical="center"/>
      <protection locked="0"/>
    </xf>
    <xf numFmtId="184" fontId="17" fillId="0" borderId="45" xfId="0" applyNumberFormat="1" applyFont="1" applyFill="1" applyBorder="1" applyAlignment="1" applyProtection="1">
      <alignment horizontal="center" vertical="center"/>
      <protection locked="0"/>
    </xf>
    <xf numFmtId="184" fontId="17" fillId="0" borderId="45" xfId="0" applyNumberFormat="1" applyFont="1" applyFill="1" applyBorder="1" applyAlignment="1" applyProtection="1">
      <alignment horizontal="left" vertical="center"/>
      <protection locked="0"/>
    </xf>
    <xf numFmtId="0" fontId="17" fillId="0" borderId="45" xfId="0" applyFont="1" applyFill="1" applyBorder="1" applyAlignment="1" applyProtection="1">
      <alignment horizontal="left" vertical="center"/>
      <protection locked="0"/>
    </xf>
    <xf numFmtId="0" fontId="17" fillId="0" borderId="45" xfId="0" applyFont="1" applyFill="1" applyBorder="1" applyAlignment="1" applyProtection="1">
      <alignment horizontal="center" vertical="center"/>
      <protection locked="0"/>
    </xf>
    <xf numFmtId="187" fontId="16" fillId="0" borderId="45" xfId="15" applyNumberFormat="1" applyFont="1" applyFill="1" applyBorder="1" applyAlignment="1" applyProtection="1">
      <alignment horizontal="right" vertical="center"/>
      <protection locked="0"/>
    </xf>
    <xf numFmtId="193" fontId="16" fillId="0" borderId="45" xfId="15" applyNumberFormat="1" applyFont="1" applyFill="1" applyBorder="1" applyAlignment="1" applyProtection="1">
      <alignment horizontal="right" vertical="center"/>
      <protection locked="0"/>
    </xf>
    <xf numFmtId="192" fontId="17" fillId="0" borderId="46" xfId="15" applyNumberFormat="1" applyFont="1" applyFill="1" applyBorder="1" applyAlignment="1" applyProtection="1">
      <alignment vertical="center"/>
      <protection/>
    </xf>
    <xf numFmtId="193" fontId="14" fillId="0" borderId="0" xfId="0" applyNumberFormat="1" applyFont="1" applyFill="1" applyBorder="1" applyAlignment="1">
      <alignment horizontal="right" vertical="center" indent="1"/>
    </xf>
    <xf numFmtId="193" fontId="14" fillId="0" borderId="0" xfId="0" applyNumberFormat="1" applyFont="1" applyBorder="1" applyAlignment="1">
      <alignment horizontal="right" vertical="center" indent="1"/>
    </xf>
    <xf numFmtId="0" fontId="14" fillId="0" borderId="0" xfId="0" applyFont="1" applyBorder="1" applyAlignment="1">
      <alignment horizontal="right" vertical="center" wrapText="1"/>
    </xf>
    <xf numFmtId="187" fontId="14" fillId="0" borderId="0" xfId="0" applyNumberFormat="1" applyFont="1" applyBorder="1" applyAlignment="1">
      <alignment horizontal="right" vertical="center"/>
    </xf>
    <xf numFmtId="0" fontId="0" fillId="0" borderId="57" xfId="0" applyBorder="1" applyAlignment="1">
      <alignment horizontal="center" vertical="center"/>
    </xf>
    <xf numFmtId="0" fontId="21" fillId="2" borderId="47" xfId="0" applyFont="1" applyFill="1" applyBorder="1" applyAlignment="1">
      <alignment horizontal="center" vertical="center"/>
    </xf>
    <xf numFmtId="0" fontId="21" fillId="2" borderId="57" xfId="0" applyFont="1" applyFill="1" applyBorder="1" applyAlignment="1">
      <alignment horizontal="center" vertical="center"/>
    </xf>
    <xf numFmtId="3" fontId="21" fillId="2" borderId="57" xfId="0" applyNumberFormat="1" applyFont="1" applyFill="1" applyBorder="1" applyAlignment="1">
      <alignment horizontal="center" vertical="center"/>
    </xf>
    <xf numFmtId="187" fontId="21" fillId="2" borderId="57" xfId="0" applyNumberFormat="1" applyFont="1" applyFill="1" applyBorder="1" applyAlignment="1">
      <alignment horizontal="center" vertical="center"/>
    </xf>
    <xf numFmtId="193" fontId="21" fillId="2" borderId="57" xfId="0" applyNumberFormat="1" applyFont="1" applyFill="1" applyBorder="1" applyAlignment="1">
      <alignment horizontal="center" vertical="center"/>
    </xf>
    <xf numFmtId="192" fontId="21" fillId="2" borderId="58" xfId="0" applyNumberFormat="1" applyFont="1" applyFill="1" applyBorder="1" applyAlignment="1">
      <alignment horizontal="center" vertical="center"/>
    </xf>
    <xf numFmtId="0" fontId="20" fillId="2" borderId="48" xfId="0" applyFont="1" applyFill="1" applyBorder="1" applyAlignment="1">
      <alignment horizontal="center" vertical="center"/>
    </xf>
    <xf numFmtId="0" fontId="0" fillId="0" borderId="59" xfId="0" applyBorder="1" applyAlignment="1">
      <alignment horizontal="center" vertical="center"/>
    </xf>
    <xf numFmtId="0" fontId="20" fillId="2" borderId="59" xfId="0" applyFont="1" applyFill="1" applyBorder="1" applyAlignment="1">
      <alignment horizontal="center" vertical="center"/>
    </xf>
    <xf numFmtId="3" fontId="20" fillId="2" borderId="59" xfId="0" applyNumberFormat="1" applyFont="1" applyFill="1" applyBorder="1" applyAlignment="1">
      <alignment horizontal="center" vertical="center"/>
    </xf>
    <xf numFmtId="187" fontId="20" fillId="2" borderId="59" xfId="0" applyNumberFormat="1" applyFont="1" applyFill="1" applyBorder="1" applyAlignment="1">
      <alignment horizontal="center" vertical="center"/>
    </xf>
    <xf numFmtId="193" fontId="20" fillId="2" borderId="59" xfId="0" applyNumberFormat="1" applyFont="1" applyFill="1" applyBorder="1" applyAlignment="1">
      <alignment horizontal="center" vertical="center"/>
    </xf>
    <xf numFmtId="192" fontId="20" fillId="2" borderId="60" xfId="0" applyNumberFormat="1" applyFont="1" applyFill="1" applyBorder="1" applyAlignment="1">
      <alignment horizontal="center" vertical="center"/>
    </xf>
    <xf numFmtId="0" fontId="33" fillId="0" borderId="47" xfId="0" applyFont="1" applyFill="1" applyBorder="1" applyAlignment="1">
      <alignment horizontal="center" vertical="center"/>
    </xf>
    <xf numFmtId="0" fontId="33" fillId="0" borderId="12" xfId="0" applyNumberFormat="1" applyFont="1" applyFill="1" applyBorder="1" applyAlignment="1" applyProtection="1">
      <alignment horizontal="center" vertical="center" wrapText="1"/>
      <protection/>
    </xf>
    <xf numFmtId="0" fontId="33" fillId="0" borderId="51" xfId="0" applyNumberFormat="1" applyFont="1" applyFill="1" applyBorder="1" applyAlignment="1">
      <alignment horizontal="center" wrapText="1"/>
    </xf>
    <xf numFmtId="0" fontId="41" fillId="0" borderId="61" xfId="0" applyFont="1" applyFill="1" applyBorder="1" applyAlignment="1">
      <alignment horizontal="center" vertical="center"/>
    </xf>
    <xf numFmtId="193" fontId="16" fillId="0" borderId="3" xfId="0" applyNumberFormat="1" applyFont="1" applyBorder="1" applyAlignment="1">
      <alignment vertical="center"/>
    </xf>
    <xf numFmtId="0" fontId="17" fillId="0" borderId="2" xfId="0" applyFont="1" applyBorder="1" applyAlignment="1">
      <alignment horizontal="center" vertical="center"/>
    </xf>
    <xf numFmtId="3" fontId="17" fillId="0" borderId="2" xfId="0" applyNumberFormat="1" applyFont="1" applyBorder="1" applyAlignment="1">
      <alignment horizontal="center" vertical="center"/>
    </xf>
    <xf numFmtId="187" fontId="16" fillId="0" borderId="2" xfId="0" applyNumberFormat="1" applyFont="1" applyBorder="1" applyAlignment="1">
      <alignment horizontal="right" vertical="center"/>
    </xf>
    <xf numFmtId="193" fontId="16" fillId="0" borderId="2" xfId="0" applyNumberFormat="1" applyFont="1" applyBorder="1" applyAlignment="1">
      <alignment vertical="center"/>
    </xf>
    <xf numFmtId="192" fontId="17" fillId="0" borderId="5" xfId="0" applyNumberFormat="1" applyFont="1" applyBorder="1" applyAlignment="1">
      <alignment vertical="center"/>
    </xf>
    <xf numFmtId="0" fontId="30" fillId="2" borderId="62" xfId="0" applyFont="1" applyFill="1" applyBorder="1" applyAlignment="1">
      <alignment horizontal="center" vertical="center"/>
    </xf>
    <xf numFmtId="0" fontId="0" fillId="2" borderId="63" xfId="0" applyFont="1" applyFill="1" applyBorder="1" applyAlignment="1">
      <alignment horizontal="center" vertical="center"/>
    </xf>
    <xf numFmtId="0" fontId="20" fillId="2" borderId="63" xfId="0" applyFont="1" applyFill="1" applyBorder="1" applyAlignment="1">
      <alignment horizontal="center" vertical="center"/>
    </xf>
    <xf numFmtId="3" fontId="20" fillId="2" borderId="63" xfId="0" applyNumberFormat="1" applyFont="1" applyFill="1" applyBorder="1" applyAlignment="1">
      <alignment horizontal="center" vertical="center"/>
    </xf>
    <xf numFmtId="187" fontId="20" fillId="2" borderId="63" xfId="0" applyNumberFormat="1" applyFont="1" applyFill="1" applyBorder="1" applyAlignment="1">
      <alignment horizontal="center" vertical="center"/>
    </xf>
    <xf numFmtId="193" fontId="20" fillId="2" borderId="63" xfId="0" applyNumberFormat="1" applyFont="1" applyFill="1" applyBorder="1" applyAlignment="1">
      <alignment horizontal="center" vertical="center"/>
    </xf>
    <xf numFmtId="192" fontId="20" fillId="2" borderId="64" xfId="0" applyNumberFormat="1" applyFont="1" applyFill="1" applyBorder="1" applyAlignment="1">
      <alignment horizontal="center" vertical="center"/>
    </xf>
    <xf numFmtId="0" fontId="17" fillId="0" borderId="7" xfId="0" applyFont="1" applyBorder="1" applyAlignment="1">
      <alignment vertical="center"/>
    </xf>
    <xf numFmtId="0" fontId="17" fillId="0" borderId="9" xfId="0" applyFont="1" applyBorder="1" applyAlignment="1">
      <alignment vertical="center"/>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Box 1"/>
        <xdr:cNvSpPr txBox="1">
          <a:spLocks noChangeArrowheads="1"/>
        </xdr:cNvSpPr>
      </xdr:nvSpPr>
      <xdr:spPr>
        <a:xfrm>
          <a:off x="19050" y="38100"/>
          <a:ext cx="13954125" cy="1057275"/>
        </a:xfrm>
        <a:prstGeom prst="rect">
          <a:avLst/>
        </a:prstGeom>
        <a:solidFill>
          <a:srgbClr val="003366"/>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WEEKLY BOX OFFICE &amp; ADMISSION REPORT</a:t>
          </a:r>
        </a:p>
      </xdr:txBody>
    </xdr:sp>
    <xdr:clientData/>
  </xdr:twoCellAnchor>
  <xdr:twoCellAnchor>
    <xdr:from>
      <xdr:col>12</xdr:col>
      <xdr:colOff>0</xdr:colOff>
      <xdr:row>0</xdr:row>
      <xdr:rowOff>466725</xdr:rowOff>
    </xdr:from>
    <xdr:to>
      <xdr:col>14</xdr:col>
      <xdr:colOff>400050</xdr:colOff>
      <xdr:row>0</xdr:row>
      <xdr:rowOff>1066800</xdr:rowOff>
    </xdr:to>
    <xdr:sp fLocksText="0">
      <xdr:nvSpPr>
        <xdr:cNvPr id="2" name="TextBox 2"/>
        <xdr:cNvSpPr txBox="1">
          <a:spLocks noChangeArrowheads="1"/>
        </xdr:cNvSpPr>
      </xdr:nvSpPr>
      <xdr:spPr>
        <a:xfrm>
          <a:off x="11487150" y="466725"/>
          <a:ext cx="2343150" cy="600075"/>
        </a:xfrm>
        <a:prstGeom prst="rect">
          <a:avLst/>
        </a:prstGeom>
        <a:solidFill>
          <a:srgbClr val="003366"/>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 39
</a:t>
          </a:r>
          <a:r>
            <a:rPr lang="en-US" cap="none" sz="1600" b="0" i="0" u="none" baseline="0">
              <a:solidFill>
                <a:srgbClr val="FFFFFF"/>
              </a:solidFill>
              <a:latin typeface="Impact"/>
              <a:ea typeface="Impact"/>
              <a:cs typeface="Impact"/>
            </a:rPr>
            <a:t>22 - 28 SEP' 2006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06"/>
  <sheetViews>
    <sheetView showGridLines="0" tabSelected="1" zoomScale="60" zoomScaleNormal="6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3.00390625" style="73" customWidth="1"/>
    <col min="2" max="2" width="41.57421875" style="4" customWidth="1"/>
    <col min="3" max="3" width="10.57421875" style="13" customWidth="1"/>
    <col min="4" max="4" width="19.00390625" style="17" customWidth="1"/>
    <col min="5" max="5" width="20.57421875" style="17" customWidth="1"/>
    <col min="6" max="6" width="10.421875" style="6" bestFit="1" customWidth="1"/>
    <col min="7" max="7" width="9.00390625" style="6" bestFit="1" customWidth="1"/>
    <col min="8" max="8" width="10.57421875" style="6" customWidth="1"/>
    <col min="9" max="9" width="17.421875" style="61" customWidth="1"/>
    <col min="10" max="10" width="12.00390625" style="264" customWidth="1"/>
    <col min="11" max="11" width="10.421875" style="39" customWidth="1"/>
    <col min="12" max="12" width="7.7109375" style="27" customWidth="1"/>
    <col min="13" max="13" width="16.140625" style="20" customWidth="1"/>
    <col min="14" max="14" width="13.00390625" style="39" customWidth="1"/>
    <col min="15" max="15" width="8.140625" style="57" customWidth="1"/>
    <col min="16" max="16384" width="9.140625" style="4" customWidth="1"/>
  </cols>
  <sheetData>
    <row r="1" spans="1:15" s="2" customFormat="1" ht="90.75" customHeight="1">
      <c r="A1" s="72"/>
      <c r="B1" s="1"/>
      <c r="C1" s="11"/>
      <c r="D1" s="15"/>
      <c r="E1" s="15"/>
      <c r="F1" s="5"/>
      <c r="G1" s="5"/>
      <c r="H1" s="5"/>
      <c r="I1" s="58"/>
      <c r="J1" s="248"/>
      <c r="K1" s="37"/>
      <c r="L1" s="26"/>
      <c r="M1" s="18"/>
      <c r="N1" s="21"/>
      <c r="O1" s="53"/>
    </row>
    <row r="2" spans="1:15" s="10" customFormat="1" ht="27.75" thickBot="1">
      <c r="A2" s="64" t="s">
        <v>51</v>
      </c>
      <c r="B2" s="71"/>
      <c r="C2" s="71"/>
      <c r="D2" s="71"/>
      <c r="E2" s="71"/>
      <c r="F2" s="71"/>
      <c r="G2" s="71"/>
      <c r="H2" s="71"/>
      <c r="I2" s="71"/>
      <c r="J2" s="71"/>
      <c r="K2" s="71"/>
      <c r="L2" s="71"/>
      <c r="M2" s="71"/>
      <c r="N2" s="71"/>
      <c r="O2" s="71"/>
    </row>
    <row r="3" spans="1:15" s="40" customFormat="1" ht="16.5">
      <c r="A3" s="211"/>
      <c r="B3" s="124" t="s">
        <v>189</v>
      </c>
      <c r="C3" s="125" t="s">
        <v>190</v>
      </c>
      <c r="D3" s="126" t="s">
        <v>19</v>
      </c>
      <c r="E3" s="126" t="s">
        <v>18</v>
      </c>
      <c r="F3" s="127" t="s">
        <v>191</v>
      </c>
      <c r="G3" s="127" t="s">
        <v>202</v>
      </c>
      <c r="H3" s="213" t="s">
        <v>341</v>
      </c>
      <c r="I3" s="117" t="s">
        <v>192</v>
      </c>
      <c r="J3" s="117"/>
      <c r="K3" s="117"/>
      <c r="L3" s="117"/>
      <c r="M3" s="118" t="s">
        <v>193</v>
      </c>
      <c r="N3" s="118"/>
      <c r="O3" s="119"/>
    </row>
    <row r="4" spans="1:15" s="40" customFormat="1" ht="43.5" thickBot="1">
      <c r="A4" s="212"/>
      <c r="B4" s="128"/>
      <c r="C4" s="128"/>
      <c r="D4" s="128"/>
      <c r="E4" s="128"/>
      <c r="F4" s="128"/>
      <c r="G4" s="128"/>
      <c r="H4" s="214"/>
      <c r="I4" s="120" t="s">
        <v>194</v>
      </c>
      <c r="J4" s="121" t="s">
        <v>195</v>
      </c>
      <c r="K4" s="121" t="s">
        <v>284</v>
      </c>
      <c r="L4" s="122" t="s">
        <v>196</v>
      </c>
      <c r="M4" s="120" t="s">
        <v>194</v>
      </c>
      <c r="N4" s="121" t="s">
        <v>195</v>
      </c>
      <c r="O4" s="123" t="s">
        <v>197</v>
      </c>
    </row>
    <row r="5" spans="1:15" s="3" customFormat="1" ht="15">
      <c r="A5" s="142">
        <v>1</v>
      </c>
      <c r="B5" s="143" t="s">
        <v>313</v>
      </c>
      <c r="C5" s="144">
        <v>38982</v>
      </c>
      <c r="D5" s="145" t="s">
        <v>23</v>
      </c>
      <c r="E5" s="146" t="s">
        <v>30</v>
      </c>
      <c r="F5" s="147">
        <v>76</v>
      </c>
      <c r="G5" s="147">
        <v>77</v>
      </c>
      <c r="H5" s="147">
        <v>1</v>
      </c>
      <c r="I5" s="249">
        <v>679462.5</v>
      </c>
      <c r="J5" s="250">
        <v>80488</v>
      </c>
      <c r="K5" s="150">
        <f>J5/G5</f>
        <v>1045.2987012987012</v>
      </c>
      <c r="L5" s="151">
        <f>I5/J5</f>
        <v>8.441786353245204</v>
      </c>
      <c r="M5" s="148">
        <v>679462.5</v>
      </c>
      <c r="N5" s="149">
        <v>80488</v>
      </c>
      <c r="O5" s="152">
        <f>+M5/N5</f>
        <v>8.441786353245204</v>
      </c>
    </row>
    <row r="6" spans="1:15" s="3" customFormat="1" ht="15">
      <c r="A6" s="115">
        <v>2</v>
      </c>
      <c r="B6" s="108" t="s">
        <v>86</v>
      </c>
      <c r="C6" s="83">
        <v>38975</v>
      </c>
      <c r="D6" s="82" t="s">
        <v>24</v>
      </c>
      <c r="E6" s="74" t="s">
        <v>29</v>
      </c>
      <c r="F6" s="77">
        <v>129</v>
      </c>
      <c r="G6" s="84">
        <v>129</v>
      </c>
      <c r="H6" s="84">
        <v>2</v>
      </c>
      <c r="I6" s="251">
        <v>519405</v>
      </c>
      <c r="J6" s="252">
        <v>67633</v>
      </c>
      <c r="K6" s="87">
        <f>IF(I6&lt;&gt;0,J6/G6,"")</f>
        <v>524.2868217054264</v>
      </c>
      <c r="L6" s="88">
        <f>IF(I6&lt;&gt;0,I6/J6,"")</f>
        <v>7.6797569233953835</v>
      </c>
      <c r="M6" s="85">
        <v>1398519</v>
      </c>
      <c r="N6" s="86">
        <v>181045</v>
      </c>
      <c r="O6" s="94">
        <f>IF(M6&lt;&gt;0,M6/N6,"")</f>
        <v>7.724703802921925</v>
      </c>
    </row>
    <row r="7" spans="1:15" s="3" customFormat="1" ht="15">
      <c r="A7" s="276">
        <v>3</v>
      </c>
      <c r="B7" s="277" t="s">
        <v>87</v>
      </c>
      <c r="C7" s="278">
        <v>38975</v>
      </c>
      <c r="D7" s="279" t="s">
        <v>23</v>
      </c>
      <c r="E7" s="280" t="s">
        <v>205</v>
      </c>
      <c r="F7" s="281">
        <v>83</v>
      </c>
      <c r="G7" s="281">
        <v>84</v>
      </c>
      <c r="H7" s="281">
        <v>2</v>
      </c>
      <c r="I7" s="282">
        <v>232549</v>
      </c>
      <c r="J7" s="283">
        <v>28533</v>
      </c>
      <c r="K7" s="284">
        <f>J7/G7</f>
        <v>339.67857142857144</v>
      </c>
      <c r="L7" s="285">
        <f>I7/J7</f>
        <v>8.150176988048926</v>
      </c>
      <c r="M7" s="286">
        <f>470908.5+232549</f>
        <v>703457.5</v>
      </c>
      <c r="N7" s="287">
        <f>56842+28533</f>
        <v>85375</v>
      </c>
      <c r="O7" s="288">
        <f>+M7/N7</f>
        <v>8.239619326500732</v>
      </c>
    </row>
    <row r="8" spans="1:15" s="3" customFormat="1" ht="15">
      <c r="A8" s="142">
        <v>4</v>
      </c>
      <c r="B8" s="265" t="s">
        <v>267</v>
      </c>
      <c r="C8" s="266">
        <v>38961</v>
      </c>
      <c r="D8" s="267" t="s">
        <v>24</v>
      </c>
      <c r="E8" s="146" t="s">
        <v>34</v>
      </c>
      <c r="F8" s="147">
        <v>125</v>
      </c>
      <c r="G8" s="268">
        <v>119</v>
      </c>
      <c r="H8" s="268">
        <v>3</v>
      </c>
      <c r="I8" s="269">
        <v>175658</v>
      </c>
      <c r="J8" s="270">
        <v>21091</v>
      </c>
      <c r="K8" s="271">
        <f>IF(I8&lt;&gt;0,J8/G8,"")</f>
        <v>177.23529411764707</v>
      </c>
      <c r="L8" s="272">
        <f>IF(I8&lt;&gt;0,I8/J8,"")</f>
        <v>8.328576169930303</v>
      </c>
      <c r="M8" s="273">
        <v>1039888</v>
      </c>
      <c r="N8" s="274">
        <v>123564</v>
      </c>
      <c r="O8" s="275">
        <f>IF(M8&lt;&gt;0,M8/N8,"")</f>
        <v>8.415784532711793</v>
      </c>
    </row>
    <row r="9" spans="1:15" s="7" customFormat="1" ht="15">
      <c r="A9" s="115">
        <v>5</v>
      </c>
      <c r="B9" s="109" t="s">
        <v>314</v>
      </c>
      <c r="C9" s="75">
        <v>38982</v>
      </c>
      <c r="D9" s="76" t="s">
        <v>23</v>
      </c>
      <c r="E9" s="74" t="s">
        <v>48</v>
      </c>
      <c r="F9" s="77">
        <v>39</v>
      </c>
      <c r="G9" s="77">
        <v>40</v>
      </c>
      <c r="H9" s="77">
        <v>1</v>
      </c>
      <c r="I9" s="253">
        <v>109921</v>
      </c>
      <c r="J9" s="254">
        <v>13346</v>
      </c>
      <c r="K9" s="80">
        <f>J9/G9</f>
        <v>333.65</v>
      </c>
      <c r="L9" s="81">
        <f>I9/J9</f>
        <v>8.236250561966132</v>
      </c>
      <c r="M9" s="78">
        <v>109921</v>
      </c>
      <c r="N9" s="79">
        <v>13346</v>
      </c>
      <c r="O9" s="95">
        <f>+M9/N9</f>
        <v>8.236250561966132</v>
      </c>
    </row>
    <row r="10" spans="1:15" s="7" customFormat="1" ht="15">
      <c r="A10" s="115">
        <v>6</v>
      </c>
      <c r="B10" s="108" t="s">
        <v>220</v>
      </c>
      <c r="C10" s="83">
        <v>38947</v>
      </c>
      <c r="D10" s="74" t="s">
        <v>26</v>
      </c>
      <c r="E10" s="82" t="s">
        <v>27</v>
      </c>
      <c r="F10" s="77">
        <v>106</v>
      </c>
      <c r="G10" s="84">
        <v>95</v>
      </c>
      <c r="H10" s="84">
        <v>6</v>
      </c>
      <c r="I10" s="251">
        <v>88721.5</v>
      </c>
      <c r="J10" s="252">
        <v>17621</v>
      </c>
      <c r="K10" s="80">
        <f>J10/G10</f>
        <v>185.4842105263158</v>
      </c>
      <c r="L10" s="81">
        <f>I10/J10</f>
        <v>5.034986663639975</v>
      </c>
      <c r="M10" s="85">
        <f>851045+613251.5+405140+216081+124391+88721.5</f>
        <v>2298630</v>
      </c>
      <c r="N10" s="86">
        <f>116878+84823+56865+31359+21609+17621</f>
        <v>329155</v>
      </c>
      <c r="O10" s="95">
        <f>+M10/N10</f>
        <v>6.983427260713038</v>
      </c>
    </row>
    <row r="11" spans="1:15" s="7" customFormat="1" ht="15">
      <c r="A11" s="115">
        <v>7</v>
      </c>
      <c r="B11" s="109" t="s">
        <v>268</v>
      </c>
      <c r="C11" s="75">
        <v>38968</v>
      </c>
      <c r="D11" s="74" t="s">
        <v>7</v>
      </c>
      <c r="E11" s="74" t="s">
        <v>46</v>
      </c>
      <c r="F11" s="77">
        <v>56</v>
      </c>
      <c r="G11" s="77">
        <v>53</v>
      </c>
      <c r="H11" s="77">
        <v>3</v>
      </c>
      <c r="I11" s="255">
        <v>84335</v>
      </c>
      <c r="J11" s="256">
        <v>12316</v>
      </c>
      <c r="K11" s="87">
        <f>IF(I11&lt;&gt;0,J11/G11,"")</f>
        <v>232.37735849056602</v>
      </c>
      <c r="L11" s="88">
        <f>IF(I11&lt;&gt;0,I11/J11,"")</f>
        <v>6.847596622279961</v>
      </c>
      <c r="M11" s="89">
        <f>236461+163486+84335</f>
        <v>484282</v>
      </c>
      <c r="N11" s="86">
        <f>31427+22450+12316</f>
        <v>66193</v>
      </c>
      <c r="O11" s="94">
        <f>IF(M11&lt;&gt;0,M11/N11,"")</f>
        <v>7.316211684014926</v>
      </c>
    </row>
    <row r="12" spans="1:15" s="7" customFormat="1" ht="15">
      <c r="A12" s="115">
        <v>8</v>
      </c>
      <c r="B12" s="108" t="s">
        <v>269</v>
      </c>
      <c r="C12" s="83">
        <v>38968</v>
      </c>
      <c r="D12" s="74" t="s">
        <v>26</v>
      </c>
      <c r="E12" s="82" t="s">
        <v>27</v>
      </c>
      <c r="F12" s="77">
        <v>40</v>
      </c>
      <c r="G12" s="84">
        <v>39</v>
      </c>
      <c r="H12" s="84">
        <v>3</v>
      </c>
      <c r="I12" s="251">
        <v>76218</v>
      </c>
      <c r="J12" s="252">
        <v>55279</v>
      </c>
      <c r="K12" s="80">
        <f>J12/G12</f>
        <v>1417.4102564102564</v>
      </c>
      <c r="L12" s="81">
        <f>I12/J12</f>
        <v>1.3787876046961776</v>
      </c>
      <c r="M12" s="85">
        <v>461828.5</v>
      </c>
      <c r="N12" s="86">
        <f>27238+18865+9176</f>
        <v>55279</v>
      </c>
      <c r="O12" s="95">
        <f>+M12/N12</f>
        <v>8.35450170950994</v>
      </c>
    </row>
    <row r="13" spans="1:15" s="7" customFormat="1" ht="15">
      <c r="A13" s="115">
        <v>9</v>
      </c>
      <c r="B13" s="109" t="s">
        <v>221</v>
      </c>
      <c r="C13" s="75">
        <v>38947</v>
      </c>
      <c r="D13" s="76" t="s">
        <v>23</v>
      </c>
      <c r="E13" s="74" t="s">
        <v>48</v>
      </c>
      <c r="F13" s="77">
        <v>50</v>
      </c>
      <c r="G13" s="77">
        <v>40</v>
      </c>
      <c r="H13" s="77">
        <v>6</v>
      </c>
      <c r="I13" s="253">
        <v>75536</v>
      </c>
      <c r="J13" s="254">
        <v>9535</v>
      </c>
      <c r="K13" s="80">
        <f>J13/G13</f>
        <v>238.375</v>
      </c>
      <c r="L13" s="81">
        <f>I13/J13</f>
        <v>7.921971683272155</v>
      </c>
      <c r="M13" s="78">
        <f>406988+393530+256319+151102.5+125263+75536</f>
        <v>1408738.5</v>
      </c>
      <c r="N13" s="79">
        <f>47196+45633+29898+18037+15404+9535</f>
        <v>165703</v>
      </c>
      <c r="O13" s="95">
        <f>+M13/N13</f>
        <v>8.501587177057749</v>
      </c>
    </row>
    <row r="14" spans="1:15" s="7" customFormat="1" ht="15">
      <c r="A14" s="115">
        <v>10</v>
      </c>
      <c r="B14" s="108" t="s">
        <v>315</v>
      </c>
      <c r="C14" s="83">
        <v>38982</v>
      </c>
      <c r="D14" s="74" t="s">
        <v>26</v>
      </c>
      <c r="E14" s="82" t="s">
        <v>38</v>
      </c>
      <c r="F14" s="77">
        <v>12</v>
      </c>
      <c r="G14" s="84">
        <v>12</v>
      </c>
      <c r="H14" s="84">
        <v>1</v>
      </c>
      <c r="I14" s="251">
        <v>55507.5</v>
      </c>
      <c r="J14" s="252">
        <v>5804</v>
      </c>
      <c r="K14" s="80">
        <f>J14/G14</f>
        <v>483.6666666666667</v>
      </c>
      <c r="L14" s="81">
        <f>I14/J14</f>
        <v>9.563662991040662</v>
      </c>
      <c r="M14" s="85">
        <v>55507.5</v>
      </c>
      <c r="N14" s="86">
        <f>5804</f>
        <v>5804</v>
      </c>
      <c r="O14" s="95">
        <f>+M14/N14</f>
        <v>9.563662991040662</v>
      </c>
    </row>
    <row r="15" spans="1:15" s="7" customFormat="1" ht="15">
      <c r="A15" s="115">
        <v>11</v>
      </c>
      <c r="B15" s="109" t="s">
        <v>238</v>
      </c>
      <c r="C15" s="75">
        <v>38961</v>
      </c>
      <c r="D15" s="76" t="s">
        <v>23</v>
      </c>
      <c r="E15" s="74" t="s">
        <v>48</v>
      </c>
      <c r="F15" s="77">
        <v>55</v>
      </c>
      <c r="G15" s="77">
        <v>36</v>
      </c>
      <c r="H15" s="77">
        <v>4</v>
      </c>
      <c r="I15" s="253">
        <v>51795</v>
      </c>
      <c r="J15" s="254">
        <v>7802</v>
      </c>
      <c r="K15" s="80">
        <f>J15/G15</f>
        <v>216.72222222222223</v>
      </c>
      <c r="L15" s="81">
        <f>I15/J15</f>
        <v>6.638682389130992</v>
      </c>
      <c r="M15" s="78">
        <f>350490.5+214970.5+120637.5+51795</f>
        <v>737893.5</v>
      </c>
      <c r="N15" s="79">
        <f>43078+26636+15215+7802</f>
        <v>92731</v>
      </c>
      <c r="O15" s="95">
        <f>+M15/N15</f>
        <v>7.957355145528464</v>
      </c>
    </row>
    <row r="16" spans="1:15" s="7" customFormat="1" ht="15">
      <c r="A16" s="115">
        <v>12</v>
      </c>
      <c r="B16" s="108" t="s">
        <v>338</v>
      </c>
      <c r="C16" s="83">
        <v>38982</v>
      </c>
      <c r="D16" s="82" t="s">
        <v>35</v>
      </c>
      <c r="E16" s="90" t="s">
        <v>224</v>
      </c>
      <c r="F16" s="84">
        <v>18</v>
      </c>
      <c r="G16" s="84">
        <v>18</v>
      </c>
      <c r="H16" s="84">
        <v>1</v>
      </c>
      <c r="I16" s="251">
        <v>45878</v>
      </c>
      <c r="J16" s="252">
        <v>4538</v>
      </c>
      <c r="K16" s="80">
        <f>J16/G16</f>
        <v>252.11111111111111</v>
      </c>
      <c r="L16" s="81">
        <f>I16/J16</f>
        <v>10.109739973556632</v>
      </c>
      <c r="M16" s="78">
        <f>I16</f>
        <v>45878</v>
      </c>
      <c r="N16" s="79">
        <f>J16</f>
        <v>4538</v>
      </c>
      <c r="O16" s="95">
        <f>+M16/N16</f>
        <v>10.109739973556632</v>
      </c>
    </row>
    <row r="17" spans="1:15" s="7" customFormat="1" ht="15">
      <c r="A17" s="115">
        <v>13</v>
      </c>
      <c r="B17" s="109" t="s">
        <v>270</v>
      </c>
      <c r="C17" s="75">
        <v>38968</v>
      </c>
      <c r="D17" s="76" t="s">
        <v>23</v>
      </c>
      <c r="E17" s="74" t="s">
        <v>205</v>
      </c>
      <c r="F17" s="77">
        <v>58</v>
      </c>
      <c r="G17" s="77">
        <v>55</v>
      </c>
      <c r="H17" s="77">
        <v>3</v>
      </c>
      <c r="I17" s="253">
        <v>41772</v>
      </c>
      <c r="J17" s="254">
        <v>5468</v>
      </c>
      <c r="K17" s="80">
        <f>J17/G17</f>
        <v>99.41818181818182</v>
      </c>
      <c r="L17" s="81">
        <f>I17/J17</f>
        <v>7.639356254572055</v>
      </c>
      <c r="M17" s="78">
        <f>195080.5+67383.5+41772</f>
        <v>304236</v>
      </c>
      <c r="N17" s="79">
        <f>24293+8594+5468</f>
        <v>38355</v>
      </c>
      <c r="O17" s="95">
        <f>+M17/N17</f>
        <v>7.932107938991005</v>
      </c>
    </row>
    <row r="18" spans="1:15" s="7" customFormat="1" ht="15">
      <c r="A18" s="115">
        <v>14</v>
      </c>
      <c r="B18" s="108" t="s">
        <v>316</v>
      </c>
      <c r="C18" s="83">
        <v>38982</v>
      </c>
      <c r="D18" s="82" t="s">
        <v>57</v>
      </c>
      <c r="E18" s="82" t="s">
        <v>148</v>
      </c>
      <c r="F18" s="84">
        <v>12</v>
      </c>
      <c r="G18" s="84">
        <v>12</v>
      </c>
      <c r="H18" s="84">
        <v>1</v>
      </c>
      <c r="I18" s="251">
        <v>41672</v>
      </c>
      <c r="J18" s="252">
        <v>4685</v>
      </c>
      <c r="K18" s="87">
        <f>+J18/G18</f>
        <v>390.4166666666667</v>
      </c>
      <c r="L18" s="88">
        <f>+I18/J18</f>
        <v>8.894770544290289</v>
      </c>
      <c r="M18" s="85">
        <v>41672</v>
      </c>
      <c r="N18" s="86">
        <v>4685</v>
      </c>
      <c r="O18" s="94">
        <f>+M18/N18</f>
        <v>8.894770544290289</v>
      </c>
    </row>
    <row r="19" spans="1:15" s="7" customFormat="1" ht="15">
      <c r="A19" s="115">
        <v>15</v>
      </c>
      <c r="B19" s="108" t="s">
        <v>229</v>
      </c>
      <c r="C19" s="83">
        <v>38954</v>
      </c>
      <c r="D19" s="74" t="s">
        <v>26</v>
      </c>
      <c r="E19" s="82" t="s">
        <v>65</v>
      </c>
      <c r="F19" s="77">
        <v>45</v>
      </c>
      <c r="G19" s="84">
        <v>42</v>
      </c>
      <c r="H19" s="84">
        <v>5</v>
      </c>
      <c r="I19" s="251">
        <v>30932.5</v>
      </c>
      <c r="J19" s="252">
        <v>5067</v>
      </c>
      <c r="K19" s="80">
        <f>J19/G19</f>
        <v>120.64285714285714</v>
      </c>
      <c r="L19" s="81">
        <f>I19/J19</f>
        <v>6.104697059403986</v>
      </c>
      <c r="M19" s="85">
        <f>186098+123538.5+27154+22745+30932.5</f>
        <v>390468</v>
      </c>
      <c r="N19" s="86">
        <f>22214+15409+4114+3875+5067</f>
        <v>50679</v>
      </c>
      <c r="O19" s="95">
        <f>+M19/N19</f>
        <v>7.7047297697271055</v>
      </c>
    </row>
    <row r="20" spans="1:15" s="7" customFormat="1" ht="15">
      <c r="A20" s="115">
        <v>16</v>
      </c>
      <c r="B20" s="109" t="s">
        <v>176</v>
      </c>
      <c r="C20" s="75">
        <v>38933</v>
      </c>
      <c r="D20" s="76" t="s">
        <v>23</v>
      </c>
      <c r="E20" s="74" t="s">
        <v>205</v>
      </c>
      <c r="F20" s="77">
        <v>55</v>
      </c>
      <c r="G20" s="77">
        <v>21</v>
      </c>
      <c r="H20" s="77">
        <v>8</v>
      </c>
      <c r="I20" s="253">
        <v>24632</v>
      </c>
      <c r="J20" s="254">
        <v>4063</v>
      </c>
      <c r="K20" s="80">
        <f>J20/G20</f>
        <v>193.47619047619048</v>
      </c>
      <c r="L20" s="81">
        <f>I20/J20</f>
        <v>6.062515382722126</v>
      </c>
      <c r="M20" s="78">
        <f>561160.5+368980.5+233734.5+154031+131267.5+122+86655+51837+8.5+24632</f>
        <v>1612428.5</v>
      </c>
      <c r="N20" s="79">
        <f>65355+44972+28905+21259+18678+12+13773+7814+1+4063</f>
        <v>204832</v>
      </c>
      <c r="O20" s="95">
        <f>+M20/N20</f>
        <v>7.871956042024683</v>
      </c>
    </row>
    <row r="21" spans="1:15" s="7" customFormat="1" ht="15">
      <c r="A21" s="115">
        <v>17</v>
      </c>
      <c r="B21" s="108" t="s">
        <v>240</v>
      </c>
      <c r="C21" s="83">
        <v>38961</v>
      </c>
      <c r="D21" s="82" t="s">
        <v>24</v>
      </c>
      <c r="E21" s="74" t="s">
        <v>34</v>
      </c>
      <c r="F21" s="77">
        <v>51</v>
      </c>
      <c r="G21" s="84">
        <v>51</v>
      </c>
      <c r="H21" s="84">
        <v>4</v>
      </c>
      <c r="I21" s="251">
        <v>22753</v>
      </c>
      <c r="J21" s="252">
        <v>3980</v>
      </c>
      <c r="K21" s="87">
        <f>IF(I21&lt;&gt;0,J21/G21,"")</f>
        <v>78.03921568627452</v>
      </c>
      <c r="L21" s="88">
        <f>IF(I21&lt;&gt;0,I21/J21,"")</f>
        <v>5.716834170854272</v>
      </c>
      <c r="M21" s="85">
        <v>334422</v>
      </c>
      <c r="N21" s="86">
        <v>39108</v>
      </c>
      <c r="O21" s="94">
        <f>IF(M21&lt;&gt;0,M21/N21,"")</f>
        <v>8.551242712488493</v>
      </c>
    </row>
    <row r="22" spans="1:15" s="7" customFormat="1" ht="15">
      <c r="A22" s="115">
        <v>18</v>
      </c>
      <c r="B22" s="108" t="s">
        <v>231</v>
      </c>
      <c r="C22" s="83">
        <v>38954</v>
      </c>
      <c r="D22" s="74" t="s">
        <v>26</v>
      </c>
      <c r="E22" s="82" t="s">
        <v>128</v>
      </c>
      <c r="F22" s="77">
        <v>50</v>
      </c>
      <c r="G22" s="84">
        <v>25</v>
      </c>
      <c r="H22" s="84">
        <v>5</v>
      </c>
      <c r="I22" s="251">
        <v>22403.5</v>
      </c>
      <c r="J22" s="252">
        <v>4374</v>
      </c>
      <c r="K22" s="80">
        <f>J22/G22</f>
        <v>174.96</v>
      </c>
      <c r="L22" s="81">
        <f>I22/J22</f>
        <v>5.121970736168267</v>
      </c>
      <c r="M22" s="85">
        <f>140746.5+77695.5+23472.5+10266.5+22403.5</f>
        <v>274584.5</v>
      </c>
      <c r="N22" s="86">
        <f>17188+9720+3496+1771+4374</f>
        <v>36549</v>
      </c>
      <c r="O22" s="95">
        <f>+M22/N22</f>
        <v>7.512777367369832</v>
      </c>
    </row>
    <row r="23" spans="1:15" s="7" customFormat="1" ht="15">
      <c r="A23" s="115">
        <v>19</v>
      </c>
      <c r="B23" s="108" t="s">
        <v>272</v>
      </c>
      <c r="C23" s="83">
        <v>38961</v>
      </c>
      <c r="D23" s="74" t="s">
        <v>26</v>
      </c>
      <c r="E23" s="82" t="s">
        <v>27</v>
      </c>
      <c r="F23" s="77">
        <v>60</v>
      </c>
      <c r="G23" s="84">
        <v>27</v>
      </c>
      <c r="H23" s="84">
        <v>4</v>
      </c>
      <c r="I23" s="251">
        <v>21512</v>
      </c>
      <c r="J23" s="252">
        <v>3309</v>
      </c>
      <c r="K23" s="80">
        <f>J23/G23</f>
        <v>122.55555555555556</v>
      </c>
      <c r="L23" s="81">
        <f>I23/J23</f>
        <v>6.501057721365972</v>
      </c>
      <c r="M23" s="85">
        <f>244504+117391.5+65855+21512</f>
        <v>449262.5</v>
      </c>
      <c r="N23" s="86">
        <f>29629+13126+7509+3309</f>
        <v>53573</v>
      </c>
      <c r="O23" s="95">
        <f>+M23/N23</f>
        <v>8.385987344371232</v>
      </c>
    </row>
    <row r="24" spans="1:15" s="7" customFormat="1" ht="15">
      <c r="A24" s="115">
        <v>20</v>
      </c>
      <c r="B24" s="108" t="s">
        <v>271</v>
      </c>
      <c r="C24" s="83">
        <v>38954</v>
      </c>
      <c r="D24" s="82" t="s">
        <v>24</v>
      </c>
      <c r="E24" s="74" t="s">
        <v>239</v>
      </c>
      <c r="F24" s="77">
        <v>108</v>
      </c>
      <c r="G24" s="84">
        <v>43</v>
      </c>
      <c r="H24" s="84">
        <v>5</v>
      </c>
      <c r="I24" s="251">
        <v>17924</v>
      </c>
      <c r="J24" s="252">
        <v>3608</v>
      </c>
      <c r="K24" s="87">
        <f>IF(I24&lt;&gt;0,J24/G24,"")</f>
        <v>83.90697674418605</v>
      </c>
      <c r="L24" s="88">
        <f>IF(I24&lt;&gt;0,I24/J24,"")</f>
        <v>4.967849223946785</v>
      </c>
      <c r="M24" s="85">
        <v>884174</v>
      </c>
      <c r="N24" s="86">
        <v>120326</v>
      </c>
      <c r="O24" s="94">
        <f>IF(M24&lt;&gt;0,M24/N24,"")</f>
        <v>7.348154181141233</v>
      </c>
    </row>
    <row r="25" spans="1:15" s="7" customFormat="1" ht="15">
      <c r="A25" s="115">
        <v>21</v>
      </c>
      <c r="B25" s="108" t="s">
        <v>241</v>
      </c>
      <c r="C25" s="83">
        <v>38961</v>
      </c>
      <c r="D25" s="82" t="s">
        <v>57</v>
      </c>
      <c r="E25" s="82" t="s">
        <v>148</v>
      </c>
      <c r="F25" s="84">
        <v>25</v>
      </c>
      <c r="G25" s="84">
        <v>25</v>
      </c>
      <c r="H25" s="84">
        <v>4</v>
      </c>
      <c r="I25" s="251">
        <v>15079</v>
      </c>
      <c r="J25" s="252">
        <v>2569</v>
      </c>
      <c r="K25" s="87">
        <f>+J25/G25</f>
        <v>102.76</v>
      </c>
      <c r="L25" s="88">
        <f>+I25/J25</f>
        <v>5.869599065784352</v>
      </c>
      <c r="M25" s="85">
        <v>212546</v>
      </c>
      <c r="N25" s="86">
        <v>27757</v>
      </c>
      <c r="O25" s="94">
        <f>+M25/N25</f>
        <v>7.6573837230248225</v>
      </c>
    </row>
    <row r="26" spans="1:15" s="7" customFormat="1" ht="15">
      <c r="A26" s="115">
        <v>22</v>
      </c>
      <c r="B26" s="109" t="s">
        <v>317</v>
      </c>
      <c r="C26" s="83">
        <v>38912</v>
      </c>
      <c r="D26" s="82" t="s">
        <v>24</v>
      </c>
      <c r="E26" s="74" t="s">
        <v>29</v>
      </c>
      <c r="F26" s="77">
        <v>162</v>
      </c>
      <c r="G26" s="84">
        <v>23</v>
      </c>
      <c r="H26" s="84">
        <v>11</v>
      </c>
      <c r="I26" s="251">
        <v>14985</v>
      </c>
      <c r="J26" s="252">
        <v>5137</v>
      </c>
      <c r="K26" s="87">
        <f>IF(I26&lt;&gt;0,J26/G26,"")</f>
        <v>223.34782608695653</v>
      </c>
      <c r="L26" s="88">
        <f>IF(I26&lt;&gt;0,I26/J26,"")</f>
        <v>2.9170722211407436</v>
      </c>
      <c r="M26" s="85">
        <v>7149628</v>
      </c>
      <c r="N26" s="86">
        <v>994445</v>
      </c>
      <c r="O26" s="94">
        <f>IF(M26&lt;&gt;0,M26/N26,"")</f>
        <v>7.189566039348581</v>
      </c>
    </row>
    <row r="27" spans="1:15" s="7" customFormat="1" ht="15">
      <c r="A27" s="115">
        <v>23</v>
      </c>
      <c r="B27" s="110" t="s">
        <v>222</v>
      </c>
      <c r="C27" s="75">
        <v>38947</v>
      </c>
      <c r="D27" s="82" t="s">
        <v>20</v>
      </c>
      <c r="E27" s="90" t="s">
        <v>243</v>
      </c>
      <c r="F27" s="91" t="s">
        <v>223</v>
      </c>
      <c r="G27" s="91" t="s">
        <v>318</v>
      </c>
      <c r="H27" s="91" t="s">
        <v>246</v>
      </c>
      <c r="I27" s="253">
        <v>9161</v>
      </c>
      <c r="J27" s="254">
        <v>1624</v>
      </c>
      <c r="K27" s="80">
        <f>J27/G27</f>
        <v>90.22222222222223</v>
      </c>
      <c r="L27" s="81">
        <f>I27/J27</f>
        <v>5.641009852216749</v>
      </c>
      <c r="M27" s="78">
        <v>200344</v>
      </c>
      <c r="N27" s="79">
        <v>26866</v>
      </c>
      <c r="O27" s="95">
        <f>+M27/N27</f>
        <v>7.457157745849773</v>
      </c>
    </row>
    <row r="28" spans="1:15" s="7" customFormat="1" ht="15">
      <c r="A28" s="115">
        <v>24</v>
      </c>
      <c r="B28" s="109" t="s">
        <v>72</v>
      </c>
      <c r="C28" s="75">
        <v>38856</v>
      </c>
      <c r="D28" s="76" t="s">
        <v>23</v>
      </c>
      <c r="E28" s="74" t="s">
        <v>30</v>
      </c>
      <c r="F28" s="77">
        <v>195</v>
      </c>
      <c r="G28" s="77">
        <v>2</v>
      </c>
      <c r="H28" s="77">
        <v>19</v>
      </c>
      <c r="I28" s="253">
        <v>8455</v>
      </c>
      <c r="J28" s="254">
        <v>1584</v>
      </c>
      <c r="K28" s="80">
        <f>J28/G28</f>
        <v>792</v>
      </c>
      <c r="L28" s="81">
        <f>I28/J28</f>
        <v>5.337752525252525</v>
      </c>
      <c r="M28" s="78">
        <f>3570701+1526862+890553+1110.5+642057+1962.5+391828+1004+177766+104472.5+6467-1313+62244.5-2884+30403.5+13087+6337.5-594+13475.5+1246+2073+648+6824+3735+1442+8455</f>
        <v>7459963.5</v>
      </c>
      <c r="N28" s="79">
        <f>473308+203407+120258+125+93991+244+58773+32636+18970+1209-234+9432-459+4807+2508+1212-237+2153+230+354+112+1205+627+309+1584</f>
        <v>1026524</v>
      </c>
      <c r="O28" s="95">
        <f>+M28/N28</f>
        <v>7.267208073069894</v>
      </c>
    </row>
    <row r="29" spans="1:15" s="7" customFormat="1" ht="15">
      <c r="A29" s="115">
        <v>25</v>
      </c>
      <c r="B29" s="109" t="s">
        <v>163</v>
      </c>
      <c r="C29" s="75">
        <v>38919</v>
      </c>
      <c r="D29" s="76" t="s">
        <v>23</v>
      </c>
      <c r="E29" s="74" t="s">
        <v>205</v>
      </c>
      <c r="F29" s="77">
        <v>149</v>
      </c>
      <c r="G29" s="77">
        <v>4</v>
      </c>
      <c r="H29" s="77">
        <v>10</v>
      </c>
      <c r="I29" s="253">
        <v>7479</v>
      </c>
      <c r="J29" s="254">
        <v>1178</v>
      </c>
      <c r="K29" s="80">
        <f>J29/G29</f>
        <v>294.5</v>
      </c>
      <c r="L29" s="81">
        <f>I29/J29</f>
        <v>6.348896434634974</v>
      </c>
      <c r="M29" s="78">
        <f>897376+408049.5+50+255208.5+136337.5+71282-709+23040.5+14537.5+5314.5+2373.5+7479</f>
        <v>1820339.5</v>
      </c>
      <c r="N29" s="79">
        <f>113870+54028+2+35562+20586+13943-129+4903+3216+1273+810+1178</f>
        <v>249242</v>
      </c>
      <c r="O29" s="95">
        <f>+M29/N29</f>
        <v>7.303502218727181</v>
      </c>
    </row>
    <row r="30" spans="1:15" s="7" customFormat="1" ht="15">
      <c r="A30" s="115">
        <v>26</v>
      </c>
      <c r="B30" s="111" t="s">
        <v>319</v>
      </c>
      <c r="C30" s="83">
        <v>38982</v>
      </c>
      <c r="D30" s="74" t="s">
        <v>77</v>
      </c>
      <c r="E30" s="92" t="s">
        <v>320</v>
      </c>
      <c r="F30" s="93">
        <v>10</v>
      </c>
      <c r="G30" s="93">
        <v>11</v>
      </c>
      <c r="H30" s="93">
        <v>1</v>
      </c>
      <c r="I30" s="251">
        <v>6868.5</v>
      </c>
      <c r="J30" s="252">
        <v>870</v>
      </c>
      <c r="K30" s="87">
        <f>IF(I30&lt;&gt;0,J30/G30,"")</f>
        <v>79.0909090909091</v>
      </c>
      <c r="L30" s="88">
        <f>IF(I30&lt;&gt;0,I30/J30,"")</f>
        <v>7.894827586206897</v>
      </c>
      <c r="M30" s="85">
        <f>6868.5</f>
        <v>6868.5</v>
      </c>
      <c r="N30" s="86">
        <f>870</f>
        <v>870</v>
      </c>
      <c r="O30" s="94">
        <f>IF(M30&lt;&gt;0,M30/N30,"")</f>
        <v>7.894827586206897</v>
      </c>
    </row>
    <row r="31" spans="1:15" s="7" customFormat="1" ht="15">
      <c r="A31" s="115">
        <v>27</v>
      </c>
      <c r="B31" s="108" t="s">
        <v>215</v>
      </c>
      <c r="C31" s="83">
        <v>38940</v>
      </c>
      <c r="D31" s="74" t="s">
        <v>26</v>
      </c>
      <c r="E31" s="82" t="s">
        <v>38</v>
      </c>
      <c r="F31" s="77">
        <v>40</v>
      </c>
      <c r="G31" s="84">
        <v>12</v>
      </c>
      <c r="H31" s="84">
        <v>7</v>
      </c>
      <c r="I31" s="251">
        <v>6435.5</v>
      </c>
      <c r="J31" s="252">
        <v>1312</v>
      </c>
      <c r="K31" s="80">
        <f>J31/G31</f>
        <v>109.33333333333333</v>
      </c>
      <c r="L31" s="81">
        <f>I31/J31</f>
        <v>4.905106707317073</v>
      </c>
      <c r="M31" s="85">
        <f>116284+76650+44745.5+25964+20033+19011+6435.5</f>
        <v>309123</v>
      </c>
      <c r="N31" s="86">
        <f>15000+10104+6159+4430+4047+3756+1312</f>
        <v>44808</v>
      </c>
      <c r="O31" s="95">
        <f>+M31/N31</f>
        <v>6.8988350294590255</v>
      </c>
    </row>
    <row r="32" spans="1:15" s="7" customFormat="1" ht="15">
      <c r="A32" s="115">
        <v>28</v>
      </c>
      <c r="B32" s="109" t="s">
        <v>216</v>
      </c>
      <c r="C32" s="75">
        <v>38940</v>
      </c>
      <c r="D32" s="76" t="s">
        <v>23</v>
      </c>
      <c r="E32" s="74" t="s">
        <v>48</v>
      </c>
      <c r="F32" s="77">
        <v>31</v>
      </c>
      <c r="G32" s="77">
        <v>7</v>
      </c>
      <c r="H32" s="77">
        <v>7</v>
      </c>
      <c r="I32" s="253">
        <v>5994</v>
      </c>
      <c r="J32" s="254">
        <v>1220</v>
      </c>
      <c r="K32" s="80">
        <f>J32/G32</f>
        <v>174.28571428571428</v>
      </c>
      <c r="L32" s="81">
        <f>I32/J32</f>
        <v>4.913114754098361</v>
      </c>
      <c r="M32" s="78">
        <f>102634+63922.5+11827+16890.5+17776.5+11407.5+5994</f>
        <v>230452</v>
      </c>
      <c r="N32" s="79">
        <f>12828+8256+2045+3441+3346+2564+1220</f>
        <v>33700</v>
      </c>
      <c r="O32" s="95">
        <f>+M32/N32</f>
        <v>6.838338278931751</v>
      </c>
    </row>
    <row r="33" spans="1:15" s="7" customFormat="1" ht="15">
      <c r="A33" s="115">
        <v>29</v>
      </c>
      <c r="B33" s="108" t="s">
        <v>242</v>
      </c>
      <c r="C33" s="83">
        <v>38933</v>
      </c>
      <c r="D33" s="82" t="s">
        <v>24</v>
      </c>
      <c r="E33" s="74" t="s">
        <v>29</v>
      </c>
      <c r="F33" s="77">
        <v>103</v>
      </c>
      <c r="G33" s="84">
        <v>10</v>
      </c>
      <c r="H33" s="84">
        <v>8</v>
      </c>
      <c r="I33" s="251">
        <v>5070</v>
      </c>
      <c r="J33" s="252">
        <v>1195</v>
      </c>
      <c r="K33" s="87">
        <f>IF(I33&lt;&gt;0,J33/G33,"")</f>
        <v>119.5</v>
      </c>
      <c r="L33" s="88">
        <f>IF(I33&lt;&gt;0,I33/J33,"")</f>
        <v>4.2426778242677825</v>
      </c>
      <c r="M33" s="85">
        <v>1179686</v>
      </c>
      <c r="N33" s="86">
        <v>173184</v>
      </c>
      <c r="O33" s="94">
        <f>IF(M33&lt;&gt;0,M33/N33,"")</f>
        <v>6.811749353288987</v>
      </c>
    </row>
    <row r="34" spans="1:15" s="7" customFormat="1" ht="15">
      <c r="A34" s="115">
        <v>30</v>
      </c>
      <c r="B34" s="108" t="s">
        <v>339</v>
      </c>
      <c r="C34" s="83">
        <v>38926</v>
      </c>
      <c r="D34" s="82" t="s">
        <v>24</v>
      </c>
      <c r="E34" s="74" t="s">
        <v>34</v>
      </c>
      <c r="F34" s="77">
        <v>84</v>
      </c>
      <c r="G34" s="84">
        <v>10</v>
      </c>
      <c r="H34" s="84">
        <v>9</v>
      </c>
      <c r="I34" s="251">
        <v>4588</v>
      </c>
      <c r="J34" s="252">
        <v>809</v>
      </c>
      <c r="K34" s="87">
        <f>IF(I34&lt;&gt;0,J34/G34,"")</f>
        <v>80.9</v>
      </c>
      <c r="L34" s="88">
        <f>IF(I34&lt;&gt;0,I34/J34,"")</f>
        <v>5.671199011124846</v>
      </c>
      <c r="M34" s="85">
        <v>1596507</v>
      </c>
      <c r="N34" s="86">
        <v>229755</v>
      </c>
      <c r="O34" s="94">
        <f>IF(M34&lt;&gt;0,M34/N34,"")</f>
        <v>6.948736697786773</v>
      </c>
    </row>
    <row r="35" spans="1:15" s="7" customFormat="1" ht="15">
      <c r="A35" s="115">
        <v>31</v>
      </c>
      <c r="B35" s="110" t="s">
        <v>263</v>
      </c>
      <c r="C35" s="83">
        <v>38947</v>
      </c>
      <c r="D35" s="82" t="s">
        <v>35</v>
      </c>
      <c r="E35" s="90" t="s">
        <v>34</v>
      </c>
      <c r="F35" s="84">
        <v>10</v>
      </c>
      <c r="G35" s="84">
        <v>5</v>
      </c>
      <c r="H35" s="84">
        <v>6</v>
      </c>
      <c r="I35" s="251">
        <v>4273</v>
      </c>
      <c r="J35" s="252">
        <v>629</v>
      </c>
      <c r="K35" s="80">
        <f>J35/G35</f>
        <v>125.8</v>
      </c>
      <c r="L35" s="81">
        <f>I35/J35</f>
        <v>6.793322734499205</v>
      </c>
      <c r="M35" s="78">
        <v>53430</v>
      </c>
      <c r="N35" s="79">
        <v>7625</v>
      </c>
      <c r="O35" s="95">
        <f>+M35/N35</f>
        <v>7.007213114754099</v>
      </c>
    </row>
    <row r="36" spans="1:15" s="7" customFormat="1" ht="15">
      <c r="A36" s="115">
        <v>32</v>
      </c>
      <c r="B36" s="109" t="s">
        <v>92</v>
      </c>
      <c r="C36" s="75">
        <v>38793</v>
      </c>
      <c r="D36" s="74" t="s">
        <v>7</v>
      </c>
      <c r="E36" s="74" t="s">
        <v>93</v>
      </c>
      <c r="F36" s="77">
        <v>2</v>
      </c>
      <c r="G36" s="77">
        <v>1</v>
      </c>
      <c r="H36" s="77">
        <v>15</v>
      </c>
      <c r="I36" s="255">
        <v>3682</v>
      </c>
      <c r="J36" s="256">
        <v>920</v>
      </c>
      <c r="K36" s="87">
        <f>IF(I36&lt;&gt;0,J36/G36,"")</f>
        <v>920</v>
      </c>
      <c r="L36" s="88">
        <f>IF(I36&lt;&gt;0,I36/J36,"")</f>
        <v>4.002173913043478</v>
      </c>
      <c r="M36" s="89">
        <f>34394.5+636+91+134+3682</f>
        <v>38937.5</v>
      </c>
      <c r="N36" s="86">
        <f>4287+79+17+25+920</f>
        <v>5328</v>
      </c>
      <c r="O36" s="94">
        <f>IF(M36&lt;&gt;0,M36/N36,"")</f>
        <v>7.30808933933934</v>
      </c>
    </row>
    <row r="37" spans="1:15" s="7" customFormat="1" ht="15">
      <c r="A37" s="115">
        <v>33</v>
      </c>
      <c r="B37" s="109" t="s">
        <v>230</v>
      </c>
      <c r="C37" s="75">
        <v>38954</v>
      </c>
      <c r="D37" s="76" t="s">
        <v>23</v>
      </c>
      <c r="E37" s="74" t="s">
        <v>30</v>
      </c>
      <c r="F37" s="77">
        <v>45</v>
      </c>
      <c r="G37" s="77">
        <v>9</v>
      </c>
      <c r="H37" s="77">
        <v>5</v>
      </c>
      <c r="I37" s="253">
        <v>3563</v>
      </c>
      <c r="J37" s="254">
        <v>638</v>
      </c>
      <c r="K37" s="80">
        <f>J37/G37</f>
        <v>70.88888888888889</v>
      </c>
      <c r="L37" s="81">
        <f>I37/J37</f>
        <v>5.584639498432602</v>
      </c>
      <c r="M37" s="78">
        <f>145292+74732+14642+17609.5+3563</f>
        <v>255838.5</v>
      </c>
      <c r="N37" s="79">
        <f>17609+9254+2383+3714+638</f>
        <v>33598</v>
      </c>
      <c r="O37" s="95">
        <f>+M37/N37</f>
        <v>7.614694327043276</v>
      </c>
    </row>
    <row r="38" spans="1:15" s="7" customFormat="1" ht="15">
      <c r="A38" s="115">
        <v>34</v>
      </c>
      <c r="B38" s="108" t="s">
        <v>321</v>
      </c>
      <c r="C38" s="83">
        <v>38982</v>
      </c>
      <c r="D38" s="74" t="s">
        <v>26</v>
      </c>
      <c r="E38" s="82" t="s">
        <v>322</v>
      </c>
      <c r="F38" s="77">
        <v>1</v>
      </c>
      <c r="G38" s="84">
        <v>1</v>
      </c>
      <c r="H38" s="84">
        <v>0</v>
      </c>
      <c r="I38" s="251">
        <v>3328</v>
      </c>
      <c r="J38" s="252">
        <v>378</v>
      </c>
      <c r="K38" s="80">
        <f>J38/G38</f>
        <v>378</v>
      </c>
      <c r="L38" s="81">
        <f>I38/J38</f>
        <v>8.804232804232804</v>
      </c>
      <c r="M38" s="85">
        <f>3328</f>
        <v>3328</v>
      </c>
      <c r="N38" s="86">
        <f>378</f>
        <v>378</v>
      </c>
      <c r="O38" s="95">
        <f>+M38/N38</f>
        <v>8.804232804232804</v>
      </c>
    </row>
    <row r="39" spans="1:15" s="7" customFormat="1" ht="15">
      <c r="A39" s="115">
        <v>35</v>
      </c>
      <c r="B39" s="108" t="s">
        <v>167</v>
      </c>
      <c r="C39" s="83">
        <v>38926</v>
      </c>
      <c r="D39" s="82" t="s">
        <v>35</v>
      </c>
      <c r="E39" s="90" t="s">
        <v>323</v>
      </c>
      <c r="F39" s="84">
        <v>21</v>
      </c>
      <c r="G39" s="84">
        <v>2</v>
      </c>
      <c r="H39" s="84">
        <v>9</v>
      </c>
      <c r="I39" s="253">
        <v>3101</v>
      </c>
      <c r="J39" s="254">
        <v>819</v>
      </c>
      <c r="K39" s="80">
        <f>J39/G39</f>
        <v>409.5</v>
      </c>
      <c r="L39" s="81">
        <f>I39/J39</f>
        <v>3.786324786324786</v>
      </c>
      <c r="M39" s="78">
        <v>122526</v>
      </c>
      <c r="N39" s="79">
        <v>17869</v>
      </c>
      <c r="O39" s="95">
        <f>+M39/N39</f>
        <v>6.856903016397112</v>
      </c>
    </row>
    <row r="40" spans="1:15" s="7" customFormat="1" ht="15">
      <c r="A40" s="115">
        <v>36</v>
      </c>
      <c r="B40" s="112" t="s">
        <v>233</v>
      </c>
      <c r="C40" s="75">
        <v>38954</v>
      </c>
      <c r="D40" s="82" t="s">
        <v>57</v>
      </c>
      <c r="E40" s="90" t="s">
        <v>148</v>
      </c>
      <c r="F40" s="91" t="s">
        <v>234</v>
      </c>
      <c r="G40" s="91" t="s">
        <v>246</v>
      </c>
      <c r="H40" s="91" t="s">
        <v>246</v>
      </c>
      <c r="I40" s="253">
        <v>2591</v>
      </c>
      <c r="J40" s="254">
        <v>344</v>
      </c>
      <c r="K40" s="80">
        <f>J40/G40</f>
        <v>57.333333333333336</v>
      </c>
      <c r="L40" s="81">
        <f>I40/J40</f>
        <v>7.531976744186046</v>
      </c>
      <c r="M40" s="78">
        <v>46082.5</v>
      </c>
      <c r="N40" s="79">
        <v>5013</v>
      </c>
      <c r="O40" s="95">
        <f>+M40/N40</f>
        <v>9.192599241970875</v>
      </c>
    </row>
    <row r="41" spans="1:15" s="7" customFormat="1" ht="15">
      <c r="A41" s="115">
        <v>37</v>
      </c>
      <c r="B41" s="109" t="s">
        <v>210</v>
      </c>
      <c r="C41" s="75">
        <v>38933</v>
      </c>
      <c r="D41" s="76" t="s">
        <v>23</v>
      </c>
      <c r="E41" s="74" t="s">
        <v>30</v>
      </c>
      <c r="F41" s="77">
        <v>47</v>
      </c>
      <c r="G41" s="77">
        <v>6</v>
      </c>
      <c r="H41" s="77">
        <v>8</v>
      </c>
      <c r="I41" s="253">
        <v>2570</v>
      </c>
      <c r="J41" s="254">
        <v>558</v>
      </c>
      <c r="K41" s="80">
        <f>J41/G41</f>
        <v>93</v>
      </c>
      <c r="L41" s="81">
        <f>I41/J41</f>
        <v>4.60573476702509</v>
      </c>
      <c r="M41" s="78">
        <f>168234.5+110534.5+32226+10239.5+17746+8318+3528+2570</f>
        <v>353396.5</v>
      </c>
      <c r="N41" s="79">
        <f>21398+14457+4314+1793+3372+1583+715+558</f>
        <v>48190</v>
      </c>
      <c r="O41" s="95">
        <f>+M41/N41</f>
        <v>7.3333990454451135</v>
      </c>
    </row>
    <row r="42" spans="1:15" s="7" customFormat="1" ht="15">
      <c r="A42" s="115">
        <v>38</v>
      </c>
      <c r="B42" s="112" t="s">
        <v>217</v>
      </c>
      <c r="C42" s="75">
        <v>38940</v>
      </c>
      <c r="D42" s="82" t="s">
        <v>57</v>
      </c>
      <c r="E42" s="90" t="s">
        <v>148</v>
      </c>
      <c r="F42" s="91" t="s">
        <v>121</v>
      </c>
      <c r="G42" s="91" t="s">
        <v>90</v>
      </c>
      <c r="H42" s="91" t="s">
        <v>246</v>
      </c>
      <c r="I42" s="253">
        <v>2089</v>
      </c>
      <c r="J42" s="254">
        <v>321</v>
      </c>
      <c r="K42" s="80">
        <f>J42/G42</f>
        <v>107</v>
      </c>
      <c r="L42" s="81">
        <f>I42/J42</f>
        <v>6.507788161993769</v>
      </c>
      <c r="M42" s="78">
        <v>47432</v>
      </c>
      <c r="N42" s="79">
        <v>6164</v>
      </c>
      <c r="O42" s="95">
        <f>+M42/N42</f>
        <v>7.695003244646333</v>
      </c>
    </row>
    <row r="43" spans="1:15" s="7" customFormat="1" ht="15">
      <c r="A43" s="115">
        <v>39</v>
      </c>
      <c r="B43" s="112" t="s">
        <v>273</v>
      </c>
      <c r="C43" s="75">
        <v>38968</v>
      </c>
      <c r="D43" s="82" t="s">
        <v>57</v>
      </c>
      <c r="E43" s="90" t="s">
        <v>310</v>
      </c>
      <c r="F43" s="91" t="s">
        <v>245</v>
      </c>
      <c r="G43" s="91" t="s">
        <v>245</v>
      </c>
      <c r="H43" s="91" t="s">
        <v>90</v>
      </c>
      <c r="I43" s="253">
        <v>1808</v>
      </c>
      <c r="J43" s="254">
        <v>254</v>
      </c>
      <c r="K43" s="80">
        <f>J43/G43</f>
        <v>63.5</v>
      </c>
      <c r="L43" s="81">
        <f>I43/J43</f>
        <v>7.118110236220472</v>
      </c>
      <c r="M43" s="78">
        <v>11405</v>
      </c>
      <c r="N43" s="79">
        <v>1525</v>
      </c>
      <c r="O43" s="95">
        <f>+M43/N43</f>
        <v>7.478688524590164</v>
      </c>
    </row>
    <row r="44" spans="1:15" s="7" customFormat="1" ht="15">
      <c r="A44" s="115">
        <v>40</v>
      </c>
      <c r="B44" s="108" t="s">
        <v>122</v>
      </c>
      <c r="C44" s="83">
        <v>38877</v>
      </c>
      <c r="D44" s="82" t="s">
        <v>24</v>
      </c>
      <c r="E44" s="74" t="s">
        <v>29</v>
      </c>
      <c r="F44" s="77">
        <v>60</v>
      </c>
      <c r="G44" s="84">
        <v>1</v>
      </c>
      <c r="H44" s="84">
        <v>16</v>
      </c>
      <c r="I44" s="251">
        <v>1750</v>
      </c>
      <c r="J44" s="252">
        <v>525</v>
      </c>
      <c r="K44" s="87">
        <f>IF(I44&lt;&gt;0,J44/G44,"")</f>
        <v>525</v>
      </c>
      <c r="L44" s="88">
        <f>IF(I44&lt;&gt;0,I44/J44,"")</f>
        <v>3.3333333333333335</v>
      </c>
      <c r="M44" s="85">
        <v>649321</v>
      </c>
      <c r="N44" s="86">
        <v>82981</v>
      </c>
      <c r="O44" s="94">
        <f>IF(M44&lt;&gt;0,M44/N44,"")</f>
        <v>7.8249358286836745</v>
      </c>
    </row>
    <row r="45" spans="1:15" s="7" customFormat="1" ht="15">
      <c r="A45" s="115">
        <v>41</v>
      </c>
      <c r="B45" s="112" t="s">
        <v>225</v>
      </c>
      <c r="C45" s="75">
        <v>38947</v>
      </c>
      <c r="D45" s="82" t="s">
        <v>57</v>
      </c>
      <c r="E45" s="90" t="s">
        <v>118</v>
      </c>
      <c r="F45" s="91" t="s">
        <v>226</v>
      </c>
      <c r="G45" s="91" t="s">
        <v>89</v>
      </c>
      <c r="H45" s="91" t="s">
        <v>246</v>
      </c>
      <c r="I45" s="253">
        <v>1661</v>
      </c>
      <c r="J45" s="254">
        <v>280</v>
      </c>
      <c r="K45" s="80">
        <f>J45/G45</f>
        <v>140</v>
      </c>
      <c r="L45" s="81">
        <f>I45/J45</f>
        <v>5.932142857142857</v>
      </c>
      <c r="M45" s="78">
        <v>23932.5</v>
      </c>
      <c r="N45" s="79">
        <v>3139</v>
      </c>
      <c r="O45" s="95">
        <f>+M45/N45</f>
        <v>7.624243389614527</v>
      </c>
    </row>
    <row r="46" spans="1:15" s="7" customFormat="1" ht="15">
      <c r="A46" s="115">
        <v>42</v>
      </c>
      <c r="B46" s="108" t="s">
        <v>244</v>
      </c>
      <c r="C46" s="83">
        <v>38961</v>
      </c>
      <c r="D46" s="74" t="s">
        <v>26</v>
      </c>
      <c r="E46" s="82" t="s">
        <v>65</v>
      </c>
      <c r="F46" s="77">
        <v>10</v>
      </c>
      <c r="G46" s="84">
        <v>8</v>
      </c>
      <c r="H46" s="84">
        <v>4</v>
      </c>
      <c r="I46" s="251">
        <v>1608</v>
      </c>
      <c r="J46" s="252">
        <v>249</v>
      </c>
      <c r="K46" s="80">
        <f>J46/G46</f>
        <v>31.125</v>
      </c>
      <c r="L46" s="81">
        <f>I46/J46</f>
        <v>6.457831325301205</v>
      </c>
      <c r="M46" s="85">
        <f>13391.5+6244+2472+1608</f>
        <v>23715.5</v>
      </c>
      <c r="N46" s="86">
        <f>1429+677+335+249</f>
        <v>2690</v>
      </c>
      <c r="O46" s="95">
        <f>+M46/N46</f>
        <v>8.816171003717471</v>
      </c>
    </row>
    <row r="47" spans="1:15" s="7" customFormat="1" ht="15">
      <c r="A47" s="115">
        <v>43</v>
      </c>
      <c r="B47" s="111" t="s">
        <v>136</v>
      </c>
      <c r="C47" s="83">
        <v>38891</v>
      </c>
      <c r="D47" s="74" t="s">
        <v>77</v>
      </c>
      <c r="E47" s="92" t="s">
        <v>236</v>
      </c>
      <c r="F47" s="93">
        <v>45</v>
      </c>
      <c r="G47" s="93">
        <v>3</v>
      </c>
      <c r="H47" s="93">
        <v>14</v>
      </c>
      <c r="I47" s="251">
        <v>1406.5</v>
      </c>
      <c r="J47" s="252">
        <v>364</v>
      </c>
      <c r="K47" s="87">
        <f>IF(I47&lt;&gt;0,J47/G47,"")</f>
        <v>121.33333333333333</v>
      </c>
      <c r="L47" s="88">
        <f>IF(I47&lt;&gt;0,I47/J47,"")</f>
        <v>3.864010989010989</v>
      </c>
      <c r="M47" s="85">
        <f>154658.5+107804+83531.5+43902+30665+24700+11888+9449+6526+2252.5+1787+2024+2034.5+1406.5</f>
        <v>482628.5</v>
      </c>
      <c r="N47" s="86">
        <f>20153+14417+13506+7951+5799+4754+2261+1861+1328+521+366+427+432+364</f>
        <v>74140</v>
      </c>
      <c r="O47" s="94">
        <f>IF(M47&lt;&gt;0,M47/N47,"")</f>
        <v>6.50969112489884</v>
      </c>
    </row>
    <row r="48" spans="1:15" s="7" customFormat="1" ht="15">
      <c r="A48" s="115">
        <v>44</v>
      </c>
      <c r="B48" s="108" t="s">
        <v>147</v>
      </c>
      <c r="C48" s="83">
        <v>38898</v>
      </c>
      <c r="D48" s="82" t="s">
        <v>57</v>
      </c>
      <c r="E48" s="82" t="s">
        <v>148</v>
      </c>
      <c r="F48" s="84">
        <v>7</v>
      </c>
      <c r="G48" s="84">
        <v>2</v>
      </c>
      <c r="H48" s="84">
        <v>13</v>
      </c>
      <c r="I48" s="251">
        <v>1253</v>
      </c>
      <c r="J48" s="252">
        <v>232</v>
      </c>
      <c r="K48" s="87">
        <f>+J48/G48</f>
        <v>116</v>
      </c>
      <c r="L48" s="88">
        <f>+I48/J48</f>
        <v>5.400862068965517</v>
      </c>
      <c r="M48" s="85">
        <v>120305</v>
      </c>
      <c r="N48" s="86">
        <v>16662</v>
      </c>
      <c r="O48" s="94">
        <f>+M48/N48</f>
        <v>7.22032169007322</v>
      </c>
    </row>
    <row r="49" spans="1:15" s="7" customFormat="1" ht="15">
      <c r="A49" s="115">
        <v>45</v>
      </c>
      <c r="B49" s="109" t="s">
        <v>211</v>
      </c>
      <c r="C49" s="75">
        <v>38933</v>
      </c>
      <c r="D49" s="74" t="s">
        <v>7</v>
      </c>
      <c r="E49" s="74" t="s">
        <v>32</v>
      </c>
      <c r="F49" s="77">
        <v>47</v>
      </c>
      <c r="G49" s="77">
        <v>4</v>
      </c>
      <c r="H49" s="77">
        <v>8</v>
      </c>
      <c r="I49" s="255">
        <v>1218.5</v>
      </c>
      <c r="J49" s="256">
        <v>227</v>
      </c>
      <c r="K49" s="87">
        <f>IF(I49&lt;&gt;0,J49/G49,"")</f>
        <v>56.75</v>
      </c>
      <c r="L49" s="88">
        <f>IF(I49&lt;&gt;0,I49/J49,"")</f>
        <v>5.36784140969163</v>
      </c>
      <c r="M49" s="89">
        <f>152478+98850+41976.55+30958.5+16630.5+7592+3008+1218.5</f>
        <v>352712.05</v>
      </c>
      <c r="N49" s="86">
        <f>19117+12766+5988+5647+3375+1591+593+227</f>
        <v>49304</v>
      </c>
      <c r="O49" s="94">
        <f>IF(M49&lt;&gt;0,M49/N49,"")</f>
        <v>7.153822205094921</v>
      </c>
    </row>
    <row r="50" spans="1:15" s="7" customFormat="1" ht="15">
      <c r="A50" s="115">
        <v>46</v>
      </c>
      <c r="B50" s="111" t="s">
        <v>119</v>
      </c>
      <c r="C50" s="83">
        <v>38870</v>
      </c>
      <c r="D50" s="74" t="s">
        <v>77</v>
      </c>
      <c r="E50" s="92" t="s">
        <v>282</v>
      </c>
      <c r="F50" s="93">
        <v>5</v>
      </c>
      <c r="G50" s="93">
        <v>2</v>
      </c>
      <c r="H50" s="93">
        <v>16</v>
      </c>
      <c r="I50" s="251">
        <v>1212</v>
      </c>
      <c r="J50" s="252">
        <v>402</v>
      </c>
      <c r="K50" s="87">
        <f>IF(I50&lt;&gt;0,J50/G50,"")</f>
        <v>201</v>
      </c>
      <c r="L50" s="88">
        <f>IF(I50&lt;&gt;0,I50/J50,"")</f>
        <v>3.014925373134328</v>
      </c>
      <c r="M50" s="85">
        <f>20882.25+8209.5+3896+2400+1136+1611+7379.5+2057+1578+454+596+242+607+80+357.5+2184+1212</f>
        <v>54881.75</v>
      </c>
      <c r="N50" s="86">
        <f>2709+885+473+442+218+235+996+335+288+86+108+45+118+20+53+550+402</f>
        <v>7963</v>
      </c>
      <c r="O50" s="94">
        <f>IF(M50&lt;&gt;0,M50/N50,"")</f>
        <v>6.892094687931684</v>
      </c>
    </row>
    <row r="51" spans="1:15" s="7" customFormat="1" ht="15">
      <c r="A51" s="115">
        <v>47</v>
      </c>
      <c r="B51" s="111" t="s">
        <v>228</v>
      </c>
      <c r="C51" s="83">
        <v>38905</v>
      </c>
      <c r="D51" s="74" t="s">
        <v>77</v>
      </c>
      <c r="E51" s="92" t="s">
        <v>155</v>
      </c>
      <c r="F51" s="93">
        <v>10</v>
      </c>
      <c r="G51" s="93">
        <v>2</v>
      </c>
      <c r="H51" s="93">
        <v>11</v>
      </c>
      <c r="I51" s="251">
        <v>1196</v>
      </c>
      <c r="J51" s="252">
        <v>388</v>
      </c>
      <c r="K51" s="87">
        <f>IF(I51&lt;&gt;0,J51/G51,"")</f>
        <v>194</v>
      </c>
      <c r="L51" s="88">
        <f>IF(I51&lt;&gt;0,I51/J51,"")</f>
        <v>3.082474226804124</v>
      </c>
      <c r="M51" s="85">
        <f>13259+2856.5+4926+4327+1719+1667.5+386+326+213+271+1196</f>
        <v>31147</v>
      </c>
      <c r="N51" s="86">
        <f>1361+397+710+656+352+358+85+53+51+67+388</f>
        <v>4478</v>
      </c>
      <c r="O51" s="94">
        <f>IF(M51&lt;&gt;0,M51/N51,"")</f>
        <v>6.955560518088432</v>
      </c>
    </row>
    <row r="52" spans="1:15" s="7" customFormat="1" ht="15">
      <c r="A52" s="115">
        <v>48</v>
      </c>
      <c r="B52" s="109" t="s">
        <v>135</v>
      </c>
      <c r="C52" s="75">
        <v>38891</v>
      </c>
      <c r="D52" s="76" t="s">
        <v>23</v>
      </c>
      <c r="E52" s="74" t="s">
        <v>205</v>
      </c>
      <c r="F52" s="77">
        <v>134</v>
      </c>
      <c r="G52" s="77">
        <v>3</v>
      </c>
      <c r="H52" s="77">
        <v>14</v>
      </c>
      <c r="I52" s="253">
        <v>879</v>
      </c>
      <c r="J52" s="254">
        <v>142</v>
      </c>
      <c r="K52" s="80">
        <f>J52/G52</f>
        <v>47.333333333333336</v>
      </c>
      <c r="L52" s="81">
        <f>I52/J52</f>
        <v>6.190140845070423</v>
      </c>
      <c r="M52" s="78">
        <f>694435+438090+738+386149+151227+222+83617+45498.5+9253.5+24202+17725.5+1491+1259+14683+1059+2274+879</f>
        <v>1872802.5</v>
      </c>
      <c r="N52" s="79">
        <f>90541+58080+141+50942+21691+24+14951+8904+1541+5005+3068+257+230+2034+180+440+142</f>
        <v>258171</v>
      </c>
      <c r="O52" s="95">
        <f>+M52/N52</f>
        <v>7.254116457696643</v>
      </c>
    </row>
    <row r="53" spans="1:15" s="7" customFormat="1" ht="15">
      <c r="A53" s="115">
        <v>49</v>
      </c>
      <c r="B53" s="108" t="s">
        <v>214</v>
      </c>
      <c r="C53" s="83">
        <v>38940</v>
      </c>
      <c r="D53" s="82" t="s">
        <v>24</v>
      </c>
      <c r="E53" s="74" t="s">
        <v>34</v>
      </c>
      <c r="F53" s="77">
        <v>80</v>
      </c>
      <c r="G53" s="84">
        <v>1</v>
      </c>
      <c r="H53" s="84">
        <v>7</v>
      </c>
      <c r="I53" s="251">
        <v>734</v>
      </c>
      <c r="J53" s="252">
        <v>124</v>
      </c>
      <c r="K53" s="87">
        <f>IF(I53&lt;&gt;0,J53/G53,"")</f>
        <v>124</v>
      </c>
      <c r="L53" s="88">
        <f>IF(I53&lt;&gt;0,I53/J53,"")</f>
        <v>5.919354838709677</v>
      </c>
      <c r="M53" s="85">
        <v>790862</v>
      </c>
      <c r="N53" s="86">
        <v>93636</v>
      </c>
      <c r="O53" s="94">
        <f>IF(M53&lt;&gt;0,M53/N53,"")</f>
        <v>8.446131829638173</v>
      </c>
    </row>
    <row r="54" spans="1:15" s="7" customFormat="1" ht="15">
      <c r="A54" s="115">
        <v>50</v>
      </c>
      <c r="B54" s="108" t="s">
        <v>151</v>
      </c>
      <c r="C54" s="83">
        <v>38807</v>
      </c>
      <c r="D54" s="74" t="s">
        <v>26</v>
      </c>
      <c r="E54" s="82" t="s">
        <v>27</v>
      </c>
      <c r="F54" s="77">
        <v>20</v>
      </c>
      <c r="G54" s="84">
        <v>1</v>
      </c>
      <c r="H54" s="84">
        <v>13</v>
      </c>
      <c r="I54" s="251">
        <v>649</v>
      </c>
      <c r="J54" s="252">
        <v>116</v>
      </c>
      <c r="K54" s="80">
        <f>J54/G54</f>
        <v>116</v>
      </c>
      <c r="L54" s="81">
        <f>I54/J54</f>
        <v>5.594827586206897</v>
      </c>
      <c r="M54" s="85">
        <f>79858.5+57561+16625.5+10101+9488+11377.5+5276.5+160.5+942+420+1482+36+649</f>
        <v>193977.5</v>
      </c>
      <c r="N54" s="86">
        <f>9494+7131+2064+2030+1770+2617+1051+31+161+83+398+9+116</f>
        <v>26955</v>
      </c>
      <c r="O54" s="95">
        <f>+M54/N54</f>
        <v>7.196345761454276</v>
      </c>
    </row>
    <row r="55" spans="1:15" s="7" customFormat="1" ht="15">
      <c r="A55" s="115">
        <v>51</v>
      </c>
      <c r="B55" s="109" t="s">
        <v>14</v>
      </c>
      <c r="C55" s="75">
        <v>38800</v>
      </c>
      <c r="D55" s="74" t="s">
        <v>7</v>
      </c>
      <c r="E55" s="74" t="s">
        <v>46</v>
      </c>
      <c r="F55" s="77">
        <v>58</v>
      </c>
      <c r="G55" s="77">
        <v>1</v>
      </c>
      <c r="H55" s="77">
        <v>23</v>
      </c>
      <c r="I55" s="255">
        <v>389</v>
      </c>
      <c r="J55" s="256">
        <v>88</v>
      </c>
      <c r="K55" s="87">
        <f>IF(I55&lt;&gt;0,J55/G55,"")</f>
        <v>88</v>
      </c>
      <c r="L55" s="88">
        <f>IF(I55&lt;&gt;0,I55/J55,"")</f>
        <v>4.420454545454546</v>
      </c>
      <c r="M55" s="89">
        <f>350945.5+222517.5+139156.5+40897.5+38142.5+25481.5+16036.5+2540+5715.5+4760+5176+3952+1523+1314+3068+3142.5+1229.5+841.5+1265+1460.5+204+135+389</f>
        <v>869893</v>
      </c>
      <c r="N55" s="86">
        <f>46256+31606+20219+8293+8608+6050+3760+524+1828+885+1287+758+233+204+640+566+226+133+179+273+34+45+88</f>
        <v>132695</v>
      </c>
      <c r="O55" s="94">
        <f>IF(M55&lt;&gt;0,M55/N55,"")</f>
        <v>6.555582350503033</v>
      </c>
    </row>
    <row r="56" spans="1:15" s="7" customFormat="1" ht="15">
      <c r="A56" s="115">
        <v>52</v>
      </c>
      <c r="B56" s="111" t="s">
        <v>144</v>
      </c>
      <c r="C56" s="83">
        <v>38898</v>
      </c>
      <c r="D56" s="74" t="s">
        <v>77</v>
      </c>
      <c r="E56" s="92" t="s">
        <v>324</v>
      </c>
      <c r="F56" s="93">
        <v>47</v>
      </c>
      <c r="G56" s="93">
        <v>1</v>
      </c>
      <c r="H56" s="93">
        <v>13</v>
      </c>
      <c r="I56" s="251">
        <v>304</v>
      </c>
      <c r="J56" s="252">
        <v>72</v>
      </c>
      <c r="K56" s="87">
        <f>IF(I56&lt;&gt;0,J56/G56,"")</f>
        <v>72</v>
      </c>
      <c r="L56" s="88">
        <f>IF(I56&lt;&gt;0,I56/J56,"")</f>
        <v>4.222222222222222</v>
      </c>
      <c r="M56" s="85">
        <f>88058+66057+19237+18780.5+15348+7714+11101+6810.5+1696+4186+2284+175+304</f>
        <v>241751</v>
      </c>
      <c r="N56" s="86">
        <f>11470+9021+3194+3443+2936+1679+2151+1195+483+727+432+42+72</f>
        <v>36845</v>
      </c>
      <c r="O56" s="94">
        <f>IF(M56&lt;&gt;0,M56/N56,"")</f>
        <v>6.561297326638622</v>
      </c>
    </row>
    <row r="57" spans="1:15" s="7" customFormat="1" ht="15">
      <c r="A57" s="115">
        <v>53</v>
      </c>
      <c r="B57" s="111" t="s">
        <v>114</v>
      </c>
      <c r="C57" s="83">
        <v>38863</v>
      </c>
      <c r="D57" s="74" t="s">
        <v>77</v>
      </c>
      <c r="E57" s="92" t="s">
        <v>236</v>
      </c>
      <c r="F57" s="93">
        <v>35</v>
      </c>
      <c r="G57" s="93">
        <v>1</v>
      </c>
      <c r="H57" s="93">
        <v>18</v>
      </c>
      <c r="I57" s="251">
        <v>291</v>
      </c>
      <c r="J57" s="252">
        <v>49</v>
      </c>
      <c r="K57" s="87">
        <f>IF(I57&lt;&gt;0,J57/G57,"")</f>
        <v>49</v>
      </c>
      <c r="L57" s="88">
        <f>IF(I57&lt;&gt;0,I57/J57,"")</f>
        <v>5.938775510204081</v>
      </c>
      <c r="M57" s="85">
        <f>149883.5+135641.5+82301.5+72589.5+39819+39540+36570.5+16522+7667.5+7505+3512+4803+1880+716+4840+2288+337.5+291</f>
        <v>606707.5</v>
      </c>
      <c r="N57" s="86">
        <f>19608+17668+11309+10378+6088+6513+6684+3212+1345+1482+722+1193+358+130+881+616+56+49</f>
        <v>88292</v>
      </c>
      <c r="O57" s="94">
        <f>IF(M57&lt;&gt;0,M57/N57,"")</f>
        <v>6.871602183663299</v>
      </c>
    </row>
    <row r="58" spans="1:15" s="7" customFormat="1" ht="15">
      <c r="A58" s="115">
        <v>54</v>
      </c>
      <c r="B58" s="111" t="s">
        <v>156</v>
      </c>
      <c r="C58" s="83">
        <v>38912</v>
      </c>
      <c r="D58" s="74" t="s">
        <v>77</v>
      </c>
      <c r="E58" s="92" t="s">
        <v>157</v>
      </c>
      <c r="F58" s="93">
        <v>1</v>
      </c>
      <c r="G58" s="93">
        <v>1</v>
      </c>
      <c r="H58" s="93">
        <v>10</v>
      </c>
      <c r="I58" s="251">
        <v>278</v>
      </c>
      <c r="J58" s="252">
        <v>41</v>
      </c>
      <c r="K58" s="87">
        <f>IF(I58&lt;&gt;0,J58/G58,"")</f>
        <v>41</v>
      </c>
      <c r="L58" s="88">
        <f>IF(I58&lt;&gt;0,I58/J58,"")</f>
        <v>6.780487804878049</v>
      </c>
      <c r="M58" s="85">
        <f>3860+2691+2385+1350+1075+444+48+1571+1739+1606+278</f>
        <v>17047</v>
      </c>
      <c r="N58" s="86">
        <f>509+453+477+230+215+74+6+267+256+239+41</f>
        <v>2767</v>
      </c>
      <c r="O58" s="94">
        <f>IF(M58&lt;&gt;0,M58/N58,"")</f>
        <v>6.160823997108782</v>
      </c>
    </row>
    <row r="59" spans="1:15" s="7" customFormat="1" ht="15">
      <c r="A59" s="115">
        <v>55</v>
      </c>
      <c r="B59" s="111" t="s">
        <v>174</v>
      </c>
      <c r="C59" s="83">
        <v>38919</v>
      </c>
      <c r="D59" s="74" t="s">
        <v>77</v>
      </c>
      <c r="E59" s="92" t="s">
        <v>96</v>
      </c>
      <c r="F59" s="93">
        <v>4</v>
      </c>
      <c r="G59" s="93">
        <v>1</v>
      </c>
      <c r="H59" s="93">
        <v>9</v>
      </c>
      <c r="I59" s="251">
        <v>166</v>
      </c>
      <c r="J59" s="252">
        <v>25</v>
      </c>
      <c r="K59" s="87">
        <f>IF(I59&lt;&gt;0,J59/G59,"")</f>
        <v>25</v>
      </c>
      <c r="L59" s="88">
        <f>IF(I59&lt;&gt;0,I59/J59,"")</f>
        <v>6.64</v>
      </c>
      <c r="M59" s="85">
        <f>3116.25+6870.5+2836+1054+450+770+2580.5+1191+2755.5+166</f>
        <v>21789.75</v>
      </c>
      <c r="N59" s="86">
        <f>523+774+396+145+61+139+385+176+597+25</f>
        <v>3221</v>
      </c>
      <c r="O59" s="94">
        <f>IF(M59&lt;&gt;0,M59/N59,"")</f>
        <v>6.764902204284383</v>
      </c>
    </row>
    <row r="60" spans="1:15" s="7" customFormat="1" ht="15">
      <c r="A60" s="115">
        <v>56</v>
      </c>
      <c r="B60" s="108" t="s">
        <v>325</v>
      </c>
      <c r="C60" s="83">
        <v>38674</v>
      </c>
      <c r="D60" s="74" t="s">
        <v>26</v>
      </c>
      <c r="E60" s="82" t="s">
        <v>65</v>
      </c>
      <c r="F60" s="77">
        <v>138</v>
      </c>
      <c r="G60" s="84">
        <v>1</v>
      </c>
      <c r="H60" s="84">
        <v>44</v>
      </c>
      <c r="I60" s="251">
        <v>149</v>
      </c>
      <c r="J60" s="252">
        <v>37</v>
      </c>
      <c r="K60" s="80">
        <f>J60/G60</f>
        <v>37</v>
      </c>
      <c r="L60" s="81">
        <f>I60/J60</f>
        <v>4.027027027027027</v>
      </c>
      <c r="M60" s="85">
        <f>574568+1404261+2751877+3258896.5+2619095+1721177.5+1470030+1888546+1731654+1414026+1497050.5+996634+787201+777126+643480+509219.5+398974.5+275448+165366.5+73833.5+34414.5+18373+9776.5+10959.5+18948+5394+25647+638+416+7529+65562+23630+27062+8047+12612+19334+5461+21448+6611+467+80543+28795+5328+149</f>
        <v>25395609</v>
      </c>
      <c r="N60" s="86">
        <f>74406+182802+367017+453161+369242+239307+216443+244832+235512+212084+230729+167361+134787+155924+132040+97910+71996+60438+31787+16691+9973+5959+2986+3569+5752+1319+6383+116+74+2435+21718+7677+8998+2322+3842+5954+1789+5799+2025+141+20137+7199+1304</f>
        <v>3821940</v>
      </c>
      <c r="O60" s="95">
        <f>+M60/N60</f>
        <v>6.644690654484372</v>
      </c>
    </row>
    <row r="61" spans="1:15" s="7" customFormat="1" ht="15">
      <c r="A61" s="115">
        <v>57</v>
      </c>
      <c r="B61" s="108" t="s">
        <v>274</v>
      </c>
      <c r="C61" s="83">
        <v>38821</v>
      </c>
      <c r="D61" s="74" t="s">
        <v>26</v>
      </c>
      <c r="E61" s="82" t="s">
        <v>27</v>
      </c>
      <c r="F61" s="77">
        <v>118</v>
      </c>
      <c r="G61" s="84">
        <v>1</v>
      </c>
      <c r="H61" s="84">
        <v>24</v>
      </c>
      <c r="I61" s="251">
        <v>90</v>
      </c>
      <c r="J61" s="252">
        <v>15</v>
      </c>
      <c r="K61" s="80">
        <f>J61/G61</f>
        <v>15</v>
      </c>
      <c r="L61" s="81">
        <f>I61/J61</f>
        <v>6</v>
      </c>
      <c r="M61" s="85">
        <f>1908861+1583540+976953.5+606582.5+358386.5+257458.5+154619+107195+70567+37968.5+18157.5+11925.5+12529.5+11442+10137.5+11279.5+11047+23092+6089.5+13588+1331+1245+48+90</f>
        <v>6194133.5</v>
      </c>
      <c r="N61" s="86">
        <f>267837+226672+141343+93283+56706+48660+34140+24736+15604+6640+3341+2116+2223+1865+2002+2375+2554+5432+1329+3323+245+218+8+15</f>
        <v>942667</v>
      </c>
      <c r="O61" s="95">
        <f>+M61/N61</f>
        <v>6.570860653868227</v>
      </c>
    </row>
    <row r="62" spans="1:15" s="7" customFormat="1" ht="15">
      <c r="A62" s="115">
        <v>58</v>
      </c>
      <c r="B62" s="111" t="s">
        <v>125</v>
      </c>
      <c r="C62" s="83">
        <v>38877</v>
      </c>
      <c r="D62" s="74" t="s">
        <v>77</v>
      </c>
      <c r="E62" s="92" t="s">
        <v>96</v>
      </c>
      <c r="F62" s="93">
        <v>64</v>
      </c>
      <c r="G62" s="93">
        <v>1</v>
      </c>
      <c r="H62" s="93">
        <v>16</v>
      </c>
      <c r="I62" s="251">
        <v>83</v>
      </c>
      <c r="J62" s="252">
        <v>20</v>
      </c>
      <c r="K62" s="87">
        <f>IF(I62&lt;&gt;0,J62/G62,"")</f>
        <v>20</v>
      </c>
      <c r="L62" s="88">
        <f>IF(I62&lt;&gt;0,I62/J62,"")</f>
        <v>4.15</v>
      </c>
      <c r="M62" s="85">
        <f>94169.5+63426.5+19841+16453.5+12618.5+9991+4741+3516+3356+2065.5+678+1792.5+320+299+194+83</f>
        <v>233545</v>
      </c>
      <c r="N62" s="86">
        <f>14426+9567+3182+3017+2315+1729+923+616+640+472+129+528+43+81+47+20</f>
        <v>37735</v>
      </c>
      <c r="O62" s="94">
        <f>IF(M62&lt;&gt;0,M62/N62,"")</f>
        <v>6.1890817543394725</v>
      </c>
    </row>
    <row r="63" spans="1:15" s="7" customFormat="1" ht="15">
      <c r="A63" s="115">
        <v>59</v>
      </c>
      <c r="B63" s="113" t="s">
        <v>326</v>
      </c>
      <c r="C63" s="83">
        <v>38625</v>
      </c>
      <c r="D63" s="82" t="s">
        <v>35</v>
      </c>
      <c r="E63" s="90" t="s">
        <v>327</v>
      </c>
      <c r="F63" s="84">
        <v>29</v>
      </c>
      <c r="G63" s="84">
        <v>1</v>
      </c>
      <c r="H63" s="84">
        <v>21</v>
      </c>
      <c r="I63" s="253">
        <v>80</v>
      </c>
      <c r="J63" s="254">
        <v>16</v>
      </c>
      <c r="K63" s="80">
        <f>J63/G63</f>
        <v>16</v>
      </c>
      <c r="L63" s="81">
        <f>I63/J63</f>
        <v>5</v>
      </c>
      <c r="M63" s="78">
        <v>286080</v>
      </c>
      <c r="N63" s="79">
        <v>35937</v>
      </c>
      <c r="O63" s="95">
        <f>+M63/N63</f>
        <v>7.960597712663828</v>
      </c>
    </row>
    <row r="64" spans="1:15" s="7" customFormat="1" ht="15.75" thickBot="1">
      <c r="A64" s="116">
        <v>60</v>
      </c>
      <c r="B64" s="114" t="s">
        <v>200</v>
      </c>
      <c r="C64" s="97">
        <v>38758</v>
      </c>
      <c r="D64" s="98" t="s">
        <v>26</v>
      </c>
      <c r="E64" s="96" t="s">
        <v>175</v>
      </c>
      <c r="F64" s="99">
        <v>80</v>
      </c>
      <c r="G64" s="100">
        <v>1</v>
      </c>
      <c r="H64" s="100">
        <v>28</v>
      </c>
      <c r="I64" s="257">
        <v>40</v>
      </c>
      <c r="J64" s="258">
        <v>5</v>
      </c>
      <c r="K64" s="103">
        <f>J64/G64</f>
        <v>5</v>
      </c>
      <c r="L64" s="104">
        <f>I64/J64</f>
        <v>8</v>
      </c>
      <c r="M64" s="101">
        <f>1046144.5+776147+471268+342390+240709.5+167344+96416.5+41350+35967.5+31795.5+14506+10028+6242+3523+4463+5109+150+198+3146.5+3199+1091+252+107+70+3321+3020+40</f>
        <v>3307998</v>
      </c>
      <c r="N64" s="102">
        <f>153560+115584+70079+59336+46681+34549+19625+8318+8035+8705+3661+2044+1179+753+1488+1703+50+66+1049+812+246+33+15+10+973+755+5</f>
        <v>539314</v>
      </c>
      <c r="O64" s="105">
        <f>+M64/N64</f>
        <v>6.133714311143415</v>
      </c>
    </row>
    <row r="65" spans="1:15" s="14" customFormat="1" ht="15">
      <c r="A65" s="129" t="s">
        <v>9</v>
      </c>
      <c r="B65" s="106"/>
      <c r="C65" s="130"/>
      <c r="D65" s="131" t="s">
        <v>328</v>
      </c>
      <c r="E65" s="132"/>
      <c r="F65" s="131"/>
      <c r="G65" s="133">
        <f>SUM(G5:G64)</f>
        <v>1183</v>
      </c>
      <c r="H65" s="131"/>
      <c r="I65" s="134">
        <f>SUM(I5:I64)</f>
        <v>2545144.5</v>
      </c>
      <c r="J65" s="259">
        <f>SUM(J5:J64)</f>
        <v>384316</v>
      </c>
      <c r="K65" s="135">
        <f>J65/G65</f>
        <v>324.865595942519</v>
      </c>
      <c r="L65" s="136">
        <f>I65/J65</f>
        <v>6.622530677879661</v>
      </c>
      <c r="M65" s="137"/>
      <c r="N65" s="135"/>
      <c r="O65" s="138"/>
    </row>
    <row r="66" spans="1:15" s="14" customFormat="1" ht="15">
      <c r="A66" s="139" t="s">
        <v>8</v>
      </c>
      <c r="B66" s="107"/>
      <c r="C66" s="31"/>
      <c r="D66" s="32" t="s">
        <v>297</v>
      </c>
      <c r="E66" s="30"/>
      <c r="F66" s="32"/>
      <c r="G66" s="33">
        <v>1170</v>
      </c>
      <c r="H66" s="32"/>
      <c r="I66" s="59">
        <v>2824339.5</v>
      </c>
      <c r="J66" s="260">
        <v>382163</v>
      </c>
      <c r="K66" s="38">
        <f>J66/G66</f>
        <v>326.63504273504276</v>
      </c>
      <c r="L66" s="34">
        <f>I66/J66</f>
        <v>7.390405402930163</v>
      </c>
      <c r="M66" s="50"/>
      <c r="N66" s="38"/>
      <c r="O66" s="54"/>
    </row>
    <row r="67" spans="1:15" s="14" customFormat="1" ht="15.75" thickBot="1">
      <c r="A67" s="140" t="s">
        <v>40</v>
      </c>
      <c r="B67" s="141"/>
      <c r="C67" s="42"/>
      <c r="D67" s="43" t="s">
        <v>328</v>
      </c>
      <c r="E67" s="41"/>
      <c r="F67" s="43"/>
      <c r="G67" s="44">
        <v>998</v>
      </c>
      <c r="H67" s="43"/>
      <c r="I67" s="49">
        <v>1723163</v>
      </c>
      <c r="J67" s="261">
        <v>253430</v>
      </c>
      <c r="K67" s="45">
        <f>J67/G67</f>
        <v>253.93787575150301</v>
      </c>
      <c r="L67" s="46">
        <f>I67/J67</f>
        <v>6.799364716095174</v>
      </c>
      <c r="M67" s="51"/>
      <c r="N67" s="45"/>
      <c r="O67" s="55"/>
    </row>
    <row r="68" spans="1:16" s="7" customFormat="1" ht="14.25" thickBot="1">
      <c r="A68" s="73"/>
      <c r="C68" s="12"/>
      <c r="D68" s="16"/>
      <c r="E68" s="16"/>
      <c r="F68" s="8"/>
      <c r="G68" s="8"/>
      <c r="H68" s="8"/>
      <c r="I68" s="60"/>
      <c r="J68" s="35"/>
      <c r="K68" s="36"/>
      <c r="L68" s="22"/>
      <c r="M68" s="52"/>
      <c r="N68" s="36"/>
      <c r="O68" s="56"/>
      <c r="P68" s="9"/>
    </row>
    <row r="69" spans="1:16" s="7" customFormat="1" ht="15">
      <c r="A69" s="73"/>
      <c r="B69" s="153" t="s">
        <v>11</v>
      </c>
      <c r="C69" s="154"/>
      <c r="D69" s="155" t="s">
        <v>181</v>
      </c>
      <c r="E69" s="156"/>
      <c r="F69" s="157"/>
      <c r="G69" s="23"/>
      <c r="H69" s="8"/>
      <c r="I69" s="60"/>
      <c r="J69" s="35"/>
      <c r="K69" s="247" t="s">
        <v>4</v>
      </c>
      <c r="L69" s="65"/>
      <c r="M69" s="65"/>
      <c r="N69" s="65"/>
      <c r="O69" s="65"/>
      <c r="P69" s="24"/>
    </row>
    <row r="70" spans="1:15" s="7" customFormat="1" ht="15">
      <c r="A70" s="73"/>
      <c r="B70" s="158"/>
      <c r="C70" s="159"/>
      <c r="D70" s="160" t="s">
        <v>312</v>
      </c>
      <c r="E70" s="161" t="s">
        <v>182</v>
      </c>
      <c r="F70" s="162" t="s">
        <v>183</v>
      </c>
      <c r="G70" s="8"/>
      <c r="H70" s="25"/>
      <c r="I70" s="60"/>
      <c r="J70" s="35"/>
      <c r="K70" s="65"/>
      <c r="L70" s="65"/>
      <c r="M70" s="65"/>
      <c r="N70" s="65"/>
      <c r="O70" s="65"/>
    </row>
    <row r="71" spans="1:15" s="7" customFormat="1" ht="15">
      <c r="A71" s="73"/>
      <c r="B71" s="163" t="s">
        <v>203</v>
      </c>
      <c r="C71" s="164" t="s">
        <v>246</v>
      </c>
      <c r="D71" s="165" t="s">
        <v>185</v>
      </c>
      <c r="E71" s="166" t="s">
        <v>329</v>
      </c>
      <c r="F71" s="167" t="s">
        <v>330</v>
      </c>
      <c r="G71" s="8"/>
      <c r="H71" s="25"/>
      <c r="I71" s="60"/>
      <c r="J71" s="35"/>
      <c r="K71" s="65"/>
      <c r="L71" s="65"/>
      <c r="M71" s="65"/>
      <c r="N71" s="65"/>
      <c r="O71" s="65"/>
    </row>
    <row r="72" spans="1:15" s="7" customFormat="1" ht="15">
      <c r="A72" s="73"/>
      <c r="B72" s="168" t="s">
        <v>204</v>
      </c>
      <c r="C72" s="169">
        <f>J5+J9+J14+J16+J18+J30</f>
        <v>109731</v>
      </c>
      <c r="D72" s="170" t="s">
        <v>186</v>
      </c>
      <c r="E72" s="171" t="s">
        <v>331</v>
      </c>
      <c r="F72" s="172" t="s">
        <v>332</v>
      </c>
      <c r="G72" s="8"/>
      <c r="H72" s="25"/>
      <c r="I72" s="60"/>
      <c r="J72" s="35"/>
      <c r="K72" s="66" t="s">
        <v>337</v>
      </c>
      <c r="L72" s="66"/>
      <c r="M72" s="66"/>
      <c r="N72" s="66"/>
      <c r="O72" s="66"/>
    </row>
    <row r="73" spans="1:15" s="7" customFormat="1" ht="15">
      <c r="A73" s="73"/>
      <c r="B73" s="168"/>
      <c r="C73" s="173"/>
      <c r="D73" s="170" t="s">
        <v>187</v>
      </c>
      <c r="E73" s="171" t="s">
        <v>333</v>
      </c>
      <c r="F73" s="172" t="s">
        <v>334</v>
      </c>
      <c r="G73" s="8"/>
      <c r="H73" s="25"/>
      <c r="I73" s="60"/>
      <c r="J73" s="35"/>
      <c r="K73" s="66"/>
      <c r="L73" s="66"/>
      <c r="M73" s="66"/>
      <c r="N73" s="66"/>
      <c r="O73" s="66"/>
    </row>
    <row r="74" spans="1:15" s="7" customFormat="1" ht="15.75" thickBot="1">
      <c r="A74" s="73"/>
      <c r="B74" s="174"/>
      <c r="C74" s="175"/>
      <c r="D74" s="176" t="s">
        <v>188</v>
      </c>
      <c r="E74" s="177" t="s">
        <v>335</v>
      </c>
      <c r="F74" s="178" t="s">
        <v>336</v>
      </c>
      <c r="G74" s="8"/>
      <c r="H74" s="25"/>
      <c r="I74" s="60"/>
      <c r="J74" s="35"/>
      <c r="K74" s="66"/>
      <c r="L74" s="66"/>
      <c r="M74" s="66"/>
      <c r="N74" s="66"/>
      <c r="O74" s="66"/>
    </row>
    <row r="75" spans="1:15" s="7" customFormat="1" ht="13.5">
      <c r="A75" s="73"/>
      <c r="B75" s="67"/>
      <c r="C75" s="12"/>
      <c r="D75" s="68"/>
      <c r="E75" s="8"/>
      <c r="F75" s="8"/>
      <c r="G75" s="8"/>
      <c r="H75" s="25"/>
      <c r="I75" s="60"/>
      <c r="J75" s="35"/>
      <c r="K75" s="36"/>
      <c r="L75" s="22"/>
      <c r="M75" s="19"/>
      <c r="N75" s="36"/>
      <c r="O75" s="56"/>
    </row>
    <row r="76" spans="1:15" s="7" customFormat="1" ht="14.25" thickBot="1">
      <c r="A76" s="73"/>
      <c r="C76" s="12"/>
      <c r="D76" s="16"/>
      <c r="E76" s="16"/>
      <c r="F76" s="8"/>
      <c r="G76" s="8"/>
      <c r="H76" s="210" t="s">
        <v>340</v>
      </c>
      <c r="I76" s="207"/>
      <c r="J76" s="207"/>
      <c r="K76" s="207"/>
      <c r="L76" s="207"/>
      <c r="M76" s="207"/>
      <c r="N76" s="207"/>
      <c r="O76" s="207"/>
    </row>
    <row r="77" spans="1:15" s="29" customFormat="1" ht="15">
      <c r="A77" s="193"/>
      <c r="B77" s="190" t="s">
        <v>10</v>
      </c>
      <c r="C77" s="182" t="s">
        <v>178</v>
      </c>
      <c r="D77" s="183"/>
      <c r="E77" s="183"/>
      <c r="F77" s="184"/>
      <c r="G77" s="69"/>
      <c r="H77" s="207"/>
      <c r="I77" s="207"/>
      <c r="J77" s="207"/>
      <c r="K77" s="207"/>
      <c r="L77" s="207"/>
      <c r="M77" s="207"/>
      <c r="N77" s="207"/>
      <c r="O77" s="207"/>
    </row>
    <row r="78" spans="1:15" s="29" customFormat="1" ht="15">
      <c r="A78" s="202"/>
      <c r="B78" s="203"/>
      <c r="C78" s="204" t="s">
        <v>179</v>
      </c>
      <c r="D78" s="205" t="s">
        <v>194</v>
      </c>
      <c r="E78" s="205" t="s">
        <v>180</v>
      </c>
      <c r="F78" s="206" t="s">
        <v>184</v>
      </c>
      <c r="G78" s="28"/>
      <c r="H78" s="207"/>
      <c r="I78" s="207"/>
      <c r="J78" s="207"/>
      <c r="K78" s="207"/>
      <c r="L78" s="207"/>
      <c r="M78" s="207"/>
      <c r="N78" s="207"/>
      <c r="O78" s="207"/>
    </row>
    <row r="79" spans="1:15" s="29" customFormat="1" ht="15">
      <c r="A79" s="196">
        <v>1</v>
      </c>
      <c r="B79" s="197" t="s">
        <v>205</v>
      </c>
      <c r="C79" s="198">
        <v>13</v>
      </c>
      <c r="D79" s="199">
        <v>1244607.5</v>
      </c>
      <c r="E79" s="200">
        <v>154555</v>
      </c>
      <c r="F79" s="201">
        <f>D79/E79</f>
        <v>8.052845265439487</v>
      </c>
      <c r="G79" s="28"/>
      <c r="H79" s="207"/>
      <c r="I79" s="207"/>
      <c r="J79" s="207"/>
      <c r="K79" s="207"/>
      <c r="L79" s="207"/>
      <c r="M79" s="207"/>
      <c r="N79" s="207"/>
      <c r="O79" s="207"/>
    </row>
    <row r="80" spans="1:15" s="29" customFormat="1" ht="15">
      <c r="A80" s="194">
        <v>2</v>
      </c>
      <c r="B80" s="191" t="s">
        <v>0</v>
      </c>
      <c r="C80" s="179">
        <v>9</v>
      </c>
      <c r="D80" s="180">
        <v>762867</v>
      </c>
      <c r="E80" s="181">
        <v>104102</v>
      </c>
      <c r="F80" s="185">
        <f>D80/E80</f>
        <v>7.328072467387754</v>
      </c>
      <c r="G80" s="28"/>
      <c r="H80" s="207"/>
      <c r="I80" s="207"/>
      <c r="J80" s="207"/>
      <c r="K80" s="207"/>
      <c r="L80" s="207"/>
      <c r="M80" s="207"/>
      <c r="N80" s="207"/>
      <c r="O80" s="207"/>
    </row>
    <row r="81" spans="1:15" s="29" customFormat="1" ht="15">
      <c r="A81" s="194">
        <v>3</v>
      </c>
      <c r="B81" s="191" t="s">
        <v>206</v>
      </c>
      <c r="C81" s="179">
        <v>13</v>
      </c>
      <c r="D81" s="180">
        <v>285191</v>
      </c>
      <c r="E81" s="181">
        <v>89192</v>
      </c>
      <c r="F81" s="185">
        <f>D81/E81</f>
        <v>3.197495291057494</v>
      </c>
      <c r="G81" s="28"/>
      <c r="H81" s="207"/>
      <c r="I81" s="207"/>
      <c r="J81" s="207"/>
      <c r="K81" s="207"/>
      <c r="L81" s="207"/>
      <c r="M81" s="207"/>
      <c r="N81" s="207"/>
      <c r="O81" s="207"/>
    </row>
    <row r="82" spans="1:15" s="29" customFormat="1" ht="15">
      <c r="A82" s="194">
        <v>4</v>
      </c>
      <c r="B82" s="191" t="s">
        <v>7</v>
      </c>
      <c r="C82" s="179">
        <v>4</v>
      </c>
      <c r="D82" s="180">
        <v>89624.5</v>
      </c>
      <c r="E82" s="181">
        <v>13551</v>
      </c>
      <c r="F82" s="185">
        <f>D82/E82</f>
        <v>6.613866135340565</v>
      </c>
      <c r="G82" s="28"/>
      <c r="H82" s="215" t="s">
        <v>342</v>
      </c>
      <c r="I82" s="207"/>
      <c r="J82" s="207"/>
      <c r="K82" s="207"/>
      <c r="L82" s="207"/>
      <c r="M82" s="207"/>
      <c r="N82" s="207"/>
      <c r="O82" s="207"/>
    </row>
    <row r="83" spans="1:15" s="29" customFormat="1" ht="15">
      <c r="A83" s="194">
        <v>5</v>
      </c>
      <c r="B83" s="191" t="s">
        <v>57</v>
      </c>
      <c r="C83" s="179">
        <v>7</v>
      </c>
      <c r="D83" s="180">
        <v>66153</v>
      </c>
      <c r="E83" s="181">
        <v>8685</v>
      </c>
      <c r="F83" s="185">
        <f>D83/E83</f>
        <v>7.616925734024179</v>
      </c>
      <c r="G83" s="28"/>
      <c r="H83" s="207"/>
      <c r="I83" s="207"/>
      <c r="J83" s="207"/>
      <c r="K83" s="207"/>
      <c r="L83" s="207"/>
      <c r="M83" s="207"/>
      <c r="N83" s="207"/>
      <c r="O83" s="207"/>
    </row>
    <row r="84" spans="1:15" s="29" customFormat="1" ht="15">
      <c r="A84" s="194">
        <v>6</v>
      </c>
      <c r="B84" s="191" t="s">
        <v>35</v>
      </c>
      <c r="C84" s="179">
        <v>4</v>
      </c>
      <c r="D84" s="180">
        <v>53332</v>
      </c>
      <c r="E84" s="181">
        <v>6002</v>
      </c>
      <c r="F84" s="185">
        <f>D84/E84</f>
        <v>8.885704765078307</v>
      </c>
      <c r="G84" s="28"/>
      <c r="H84" s="207"/>
      <c r="I84" s="207"/>
      <c r="J84" s="207"/>
      <c r="K84" s="207"/>
      <c r="L84" s="207"/>
      <c r="M84" s="207"/>
      <c r="N84" s="207"/>
      <c r="O84" s="207"/>
    </row>
    <row r="85" spans="1:15" s="29" customFormat="1" ht="15">
      <c r="A85" s="194">
        <v>7</v>
      </c>
      <c r="B85" s="191" t="s">
        <v>77</v>
      </c>
      <c r="C85" s="179">
        <v>9</v>
      </c>
      <c r="D85" s="180">
        <v>11805</v>
      </c>
      <c r="E85" s="181">
        <v>2231</v>
      </c>
      <c r="F85" s="185">
        <f>D85/E85</f>
        <v>5.291349170775437</v>
      </c>
      <c r="G85" s="28"/>
      <c r="H85" s="207"/>
      <c r="I85" s="207"/>
      <c r="J85" s="207"/>
      <c r="K85" s="207"/>
      <c r="L85" s="207"/>
      <c r="M85" s="207"/>
      <c r="N85" s="207"/>
      <c r="O85" s="207"/>
    </row>
    <row r="86" spans="1:15" s="29" customFormat="1" ht="15">
      <c r="A86" s="194">
        <v>8</v>
      </c>
      <c r="B86" s="191" t="s">
        <v>41</v>
      </c>
      <c r="C86" s="179">
        <v>1</v>
      </c>
      <c r="D86" s="180">
        <v>9161</v>
      </c>
      <c r="E86" s="181">
        <v>1624</v>
      </c>
      <c r="F86" s="185">
        <f>D86/E86</f>
        <v>5.641009852216749</v>
      </c>
      <c r="G86" s="28"/>
      <c r="H86" s="207"/>
      <c r="I86" s="207"/>
      <c r="J86" s="207"/>
      <c r="K86" s="207"/>
      <c r="L86" s="207"/>
      <c r="M86" s="207"/>
      <c r="N86" s="207"/>
      <c r="O86" s="207"/>
    </row>
    <row r="87" spans="1:15" s="29" customFormat="1" ht="15">
      <c r="A87" s="194">
        <v>9</v>
      </c>
      <c r="B87" s="191" t="s">
        <v>1</v>
      </c>
      <c r="C87" s="179" t="s">
        <v>142</v>
      </c>
      <c r="D87" s="180" t="s">
        <v>142</v>
      </c>
      <c r="E87" s="181" t="s">
        <v>142</v>
      </c>
      <c r="F87" s="185" t="s">
        <v>142</v>
      </c>
      <c r="G87" s="28"/>
      <c r="H87" s="207"/>
      <c r="I87" s="207"/>
      <c r="J87" s="207"/>
      <c r="K87" s="207"/>
      <c r="L87" s="207"/>
      <c r="M87" s="207"/>
      <c r="N87" s="207"/>
      <c r="O87" s="207"/>
    </row>
    <row r="88" spans="1:15" s="29" customFormat="1" ht="15">
      <c r="A88" s="194">
        <v>10</v>
      </c>
      <c r="B88" s="191" t="s">
        <v>2</v>
      </c>
      <c r="C88" s="179" t="s">
        <v>142</v>
      </c>
      <c r="D88" s="180" t="s">
        <v>142</v>
      </c>
      <c r="E88" s="181" t="s">
        <v>142</v>
      </c>
      <c r="F88" s="185" t="s">
        <v>142</v>
      </c>
      <c r="G88" s="28"/>
      <c r="H88" s="207"/>
      <c r="I88" s="207"/>
      <c r="J88" s="207"/>
      <c r="K88" s="207"/>
      <c r="L88" s="207"/>
      <c r="M88" s="207"/>
      <c r="N88" s="207"/>
      <c r="O88" s="207"/>
    </row>
    <row r="89" spans="1:15" s="29" customFormat="1" ht="15">
      <c r="A89" s="194">
        <v>11</v>
      </c>
      <c r="B89" s="191" t="s">
        <v>311</v>
      </c>
      <c r="C89" s="179" t="s">
        <v>142</v>
      </c>
      <c r="D89" s="180" t="s">
        <v>142</v>
      </c>
      <c r="E89" s="181" t="s">
        <v>142</v>
      </c>
      <c r="F89" s="185" t="s">
        <v>142</v>
      </c>
      <c r="G89" s="28"/>
      <c r="H89" s="209"/>
      <c r="I89" s="262"/>
      <c r="J89" s="262"/>
      <c r="K89" s="209"/>
      <c r="L89" s="209"/>
      <c r="M89" s="209"/>
      <c r="N89" s="209"/>
      <c r="O89" s="209"/>
    </row>
    <row r="90" spans="1:15" s="29" customFormat="1" ht="15.75" thickBot="1">
      <c r="A90" s="195">
        <v>12</v>
      </c>
      <c r="B90" s="192" t="s">
        <v>42</v>
      </c>
      <c r="C90" s="186" t="s">
        <v>142</v>
      </c>
      <c r="D90" s="187" t="s">
        <v>142</v>
      </c>
      <c r="E90" s="188" t="s">
        <v>142</v>
      </c>
      <c r="F90" s="189" t="s">
        <v>142</v>
      </c>
      <c r="G90" s="28"/>
      <c r="H90" s="209"/>
      <c r="I90" s="262"/>
      <c r="J90" s="262"/>
      <c r="K90" s="209"/>
      <c r="L90" s="209"/>
      <c r="M90" s="209"/>
      <c r="N90" s="209"/>
      <c r="O90" s="209"/>
    </row>
    <row r="93" spans="2:15" ht="18">
      <c r="B93" s="208"/>
      <c r="C93" s="208"/>
      <c r="D93" s="208"/>
      <c r="E93" s="208"/>
      <c r="F93" s="208"/>
      <c r="G93" s="208"/>
      <c r="H93" s="208"/>
      <c r="I93" s="263"/>
      <c r="J93" s="263"/>
      <c r="K93" s="208"/>
      <c r="L93" s="208"/>
      <c r="M93" s="208"/>
      <c r="N93" s="208"/>
      <c r="O93" s="208"/>
    </row>
    <row r="94" spans="2:15" ht="18">
      <c r="B94" s="208"/>
      <c r="C94" s="208"/>
      <c r="D94" s="208"/>
      <c r="E94" s="208"/>
      <c r="F94" s="208"/>
      <c r="G94" s="208"/>
      <c r="H94" s="208"/>
      <c r="I94" s="263"/>
      <c r="J94" s="263"/>
      <c r="K94" s="208"/>
      <c r="L94" s="208"/>
      <c r="M94" s="208"/>
      <c r="N94" s="208"/>
      <c r="O94" s="208"/>
    </row>
    <row r="95" spans="2:15" ht="18">
      <c r="B95" s="208"/>
      <c r="C95" s="208"/>
      <c r="D95" s="208"/>
      <c r="E95" s="208"/>
      <c r="F95" s="208"/>
      <c r="G95" s="208"/>
      <c r="H95" s="208"/>
      <c r="I95" s="263"/>
      <c r="J95" s="263"/>
      <c r="K95" s="208"/>
      <c r="L95" s="208"/>
      <c r="M95" s="208"/>
      <c r="N95" s="208"/>
      <c r="O95" s="208"/>
    </row>
    <row r="96" spans="2:15" ht="18">
      <c r="B96" s="208"/>
      <c r="C96" s="208"/>
      <c r="D96" s="208"/>
      <c r="E96" s="208"/>
      <c r="F96" s="208"/>
      <c r="G96" s="208"/>
      <c r="H96" s="208"/>
      <c r="I96" s="263"/>
      <c r="J96" s="263"/>
      <c r="K96" s="208"/>
      <c r="L96" s="208"/>
      <c r="M96" s="208"/>
      <c r="N96" s="208"/>
      <c r="O96" s="208"/>
    </row>
    <row r="97" spans="2:15" ht="18">
      <c r="B97" s="208"/>
      <c r="C97" s="208"/>
      <c r="D97" s="208"/>
      <c r="E97" s="208"/>
      <c r="F97" s="208"/>
      <c r="G97" s="208"/>
      <c r="H97" s="208"/>
      <c r="I97" s="263"/>
      <c r="J97" s="263"/>
      <c r="K97" s="208"/>
      <c r="L97" s="208"/>
      <c r="M97" s="208"/>
      <c r="N97" s="208"/>
      <c r="O97" s="208"/>
    </row>
    <row r="98" spans="2:15" ht="18">
      <c r="B98" s="208"/>
      <c r="C98" s="208"/>
      <c r="D98" s="208"/>
      <c r="E98" s="208"/>
      <c r="F98" s="208"/>
      <c r="G98" s="208"/>
      <c r="H98" s="208"/>
      <c r="I98" s="263"/>
      <c r="J98" s="263"/>
      <c r="K98" s="208"/>
      <c r="L98" s="208"/>
      <c r="M98" s="208"/>
      <c r="N98" s="208"/>
      <c r="O98" s="208"/>
    </row>
    <row r="99" spans="2:15" ht="18">
      <c r="B99" s="208"/>
      <c r="C99" s="208"/>
      <c r="D99" s="208"/>
      <c r="E99" s="208"/>
      <c r="F99" s="208"/>
      <c r="G99" s="208"/>
      <c r="H99" s="208"/>
      <c r="I99" s="263"/>
      <c r="J99" s="263"/>
      <c r="K99" s="208"/>
      <c r="L99" s="208"/>
      <c r="M99" s="208"/>
      <c r="N99" s="208"/>
      <c r="O99" s="208"/>
    </row>
    <row r="100" spans="2:15" ht="18">
      <c r="B100" s="208"/>
      <c r="C100" s="208"/>
      <c r="D100" s="208"/>
      <c r="E100" s="208"/>
      <c r="F100" s="208"/>
      <c r="G100" s="208"/>
      <c r="H100" s="208"/>
      <c r="I100" s="263"/>
      <c r="J100" s="263"/>
      <c r="K100" s="208"/>
      <c r="L100" s="208"/>
      <c r="M100" s="208"/>
      <c r="N100" s="208"/>
      <c r="O100" s="208"/>
    </row>
    <row r="101" spans="2:15" ht="18">
      <c r="B101" s="208"/>
      <c r="C101" s="208"/>
      <c r="D101" s="208"/>
      <c r="E101" s="208"/>
      <c r="F101" s="208"/>
      <c r="G101" s="208"/>
      <c r="H101" s="208"/>
      <c r="I101" s="263"/>
      <c r="J101" s="263"/>
      <c r="K101" s="208"/>
      <c r="L101" s="208"/>
      <c r="M101" s="208"/>
      <c r="N101" s="208"/>
      <c r="O101" s="208"/>
    </row>
    <row r="102" spans="2:15" ht="18">
      <c r="B102" s="208"/>
      <c r="C102" s="208"/>
      <c r="D102" s="208"/>
      <c r="E102" s="208"/>
      <c r="F102" s="208"/>
      <c r="G102" s="208"/>
      <c r="H102" s="208"/>
      <c r="I102" s="263"/>
      <c r="J102" s="263"/>
      <c r="K102" s="208"/>
      <c r="L102" s="208"/>
      <c r="M102" s="208"/>
      <c r="N102" s="208"/>
      <c r="O102" s="208"/>
    </row>
    <row r="103" spans="2:15" ht="18">
      <c r="B103" s="208"/>
      <c r="C103" s="208"/>
      <c r="D103" s="208"/>
      <c r="E103" s="208"/>
      <c r="F103" s="208"/>
      <c r="G103" s="208"/>
      <c r="H103" s="208"/>
      <c r="I103" s="263"/>
      <c r="J103" s="263"/>
      <c r="K103" s="208"/>
      <c r="L103" s="208"/>
      <c r="M103" s="208"/>
      <c r="N103" s="208"/>
      <c r="O103" s="208"/>
    </row>
    <row r="104" spans="2:15" ht="18">
      <c r="B104" s="208"/>
      <c r="C104" s="208"/>
      <c r="D104" s="208"/>
      <c r="E104" s="208"/>
      <c r="F104" s="208"/>
      <c r="G104" s="208"/>
      <c r="H104" s="208"/>
      <c r="I104" s="263"/>
      <c r="J104" s="263"/>
      <c r="K104" s="208"/>
      <c r="L104" s="208"/>
      <c r="M104" s="208"/>
      <c r="N104" s="208"/>
      <c r="O104" s="208"/>
    </row>
    <row r="105" spans="2:15" ht="18">
      <c r="B105" s="208"/>
      <c r="C105" s="208"/>
      <c r="D105" s="208"/>
      <c r="E105" s="208"/>
      <c r="F105" s="208"/>
      <c r="G105" s="208"/>
      <c r="H105" s="208"/>
      <c r="I105" s="263"/>
      <c r="J105" s="263"/>
      <c r="K105" s="208"/>
      <c r="L105" s="208"/>
      <c r="M105" s="208"/>
      <c r="N105" s="208"/>
      <c r="O105" s="208"/>
    </row>
    <row r="106" spans="2:15" ht="18">
      <c r="B106" s="208"/>
      <c r="C106" s="208"/>
      <c r="D106" s="208"/>
      <c r="E106" s="208"/>
      <c r="F106" s="208"/>
      <c r="G106" s="208"/>
      <c r="H106" s="208"/>
      <c r="I106" s="263"/>
      <c r="J106" s="263"/>
      <c r="K106" s="208"/>
      <c r="L106" s="208"/>
      <c r="M106" s="208"/>
      <c r="N106" s="208"/>
      <c r="O106" s="208"/>
    </row>
  </sheetData>
  <sheetProtection insertRows="0" deleteRows="0" sort="0"/>
  <mergeCells count="20">
    <mergeCell ref="H76:O81"/>
    <mergeCell ref="H82:O88"/>
    <mergeCell ref="A65:B65"/>
    <mergeCell ref="A66:B66"/>
    <mergeCell ref="A67:B67"/>
    <mergeCell ref="C77:F77"/>
    <mergeCell ref="A2:O2"/>
    <mergeCell ref="B69:C70"/>
    <mergeCell ref="K69:O71"/>
    <mergeCell ref="M3:O3"/>
    <mergeCell ref="G3:G4"/>
    <mergeCell ref="F3:F4"/>
    <mergeCell ref="B3:B4"/>
    <mergeCell ref="D3:D4"/>
    <mergeCell ref="K72:O74"/>
    <mergeCell ref="D69:F69"/>
    <mergeCell ref="H3:H4"/>
    <mergeCell ref="I3:L3"/>
    <mergeCell ref="C3:C4"/>
    <mergeCell ref="E3:E4"/>
  </mergeCells>
  <printOptions horizontalCentered="1" verticalCentered="1"/>
  <pageMargins left="0.53" right="0.19" top="0.5905511811023623" bottom="0.5" header="0.5118110236220472" footer="0.45"/>
  <pageSetup orientation="portrait" paperSize="9" scale="45" r:id="rId2"/>
  <ignoredErrors>
    <ignoredError sqref="N6:O6 M53:M62 M6 K6:L39 K51:L62" formula="1"/>
    <ignoredError sqref="N7:N52 N53:N62 M7:M52 O7:O62 K40:L50 C72" formula="1" unlockedFormula="1"/>
    <ignoredError sqref="F27:I27 E71:F74 C71 F40:G50 I40:J50 H40:H50" numberStoredAsText="1"/>
    <ignoredError sqref="K40:L50" numberStoredAsText="1" formula="1"/>
    <ignoredError sqref="C72" numberStoredAsText="1" unlockedFormula="1"/>
    <ignoredError sqref="F79:F86" unlockedFormula="1"/>
  </ignoredErrors>
  <drawing r:id="rId1"/>
</worksheet>
</file>

<file path=xl/worksheets/sheet2.xml><?xml version="1.0" encoding="utf-8"?>
<worksheet xmlns="http://schemas.openxmlformats.org/spreadsheetml/2006/main" xmlns:r="http://schemas.openxmlformats.org/officeDocument/2006/relationships">
  <dimension ref="A1:L200"/>
  <sheetViews>
    <sheetView zoomScale="60" zoomScaleNormal="60" workbookViewId="0" topLeftCell="A1">
      <selection activeCell="B2" sqref="B2:B3"/>
    </sheetView>
  </sheetViews>
  <sheetFormatPr defaultColWidth="9.140625" defaultRowHeight="12.75"/>
  <cols>
    <col min="1" max="1" width="4.00390625" style="244" bestFit="1" customWidth="1"/>
    <col min="2" max="2" width="45.28125" style="235" customWidth="1"/>
    <col min="3" max="3" width="11.28125" style="70" customWidth="1"/>
    <col min="4" max="4" width="14.8515625" style="70" customWidth="1"/>
    <col min="5" max="5" width="21.140625" style="70" customWidth="1"/>
    <col min="6" max="6" width="11.28125" style="70" bestFit="1" customWidth="1"/>
    <col min="7" max="7" width="11.57421875" style="70" customWidth="1"/>
    <col min="8" max="8" width="20.140625" style="372" customWidth="1"/>
    <col min="9" max="9" width="14.00390625" style="237" customWidth="1"/>
    <col min="10" max="10" width="11.28125" style="238" customWidth="1"/>
    <col min="11" max="11" width="11.421875" style="235" bestFit="1" customWidth="1"/>
    <col min="12" max="16384" width="9.140625" style="235" customWidth="1"/>
  </cols>
  <sheetData>
    <row r="1" spans="1:10" s="223" customFormat="1" ht="39" customHeight="1" thickBot="1">
      <c r="A1" s="245" t="s">
        <v>343</v>
      </c>
      <c r="B1" s="246"/>
      <c r="C1" s="246"/>
      <c r="D1" s="246"/>
      <c r="E1" s="246"/>
      <c r="F1" s="246"/>
      <c r="G1" s="246"/>
      <c r="H1" s="246"/>
      <c r="I1" s="246"/>
      <c r="J1" s="246"/>
    </row>
    <row r="2" spans="1:10" s="224" customFormat="1" ht="21.75" customHeight="1">
      <c r="A2" s="321"/>
      <c r="B2" s="216" t="s">
        <v>189</v>
      </c>
      <c r="C2" s="216" t="s">
        <v>285</v>
      </c>
      <c r="D2" s="216" t="s">
        <v>19</v>
      </c>
      <c r="E2" s="216" t="s">
        <v>18</v>
      </c>
      <c r="F2" s="127" t="s">
        <v>191</v>
      </c>
      <c r="G2" s="127" t="s">
        <v>286</v>
      </c>
      <c r="H2" s="127" t="s">
        <v>193</v>
      </c>
      <c r="I2" s="127"/>
      <c r="J2" s="217" t="s">
        <v>287</v>
      </c>
    </row>
    <row r="3" spans="1:10" s="224" customFormat="1" ht="21.75" customHeight="1" thickBot="1">
      <c r="A3" s="322"/>
      <c r="B3" s="323"/>
      <c r="C3" s="323"/>
      <c r="D3" s="323"/>
      <c r="E3" s="323"/>
      <c r="F3" s="324"/>
      <c r="G3" s="325"/>
      <c r="H3" s="326" t="s">
        <v>288</v>
      </c>
      <c r="I3" s="327" t="s">
        <v>180</v>
      </c>
      <c r="J3" s="328"/>
    </row>
    <row r="4" spans="1:10" s="225" customFormat="1" ht="15">
      <c r="A4" s="353">
        <v>1</v>
      </c>
      <c r="B4" s="344" t="s">
        <v>165</v>
      </c>
      <c r="C4" s="330">
        <v>38751</v>
      </c>
      <c r="D4" s="329" t="s">
        <v>1</v>
      </c>
      <c r="E4" s="329" t="s">
        <v>31</v>
      </c>
      <c r="F4" s="331">
        <v>277</v>
      </c>
      <c r="G4" s="331">
        <v>26</v>
      </c>
      <c r="H4" s="332">
        <v>27434893</v>
      </c>
      <c r="I4" s="333">
        <v>4256566.66666667</v>
      </c>
      <c r="J4" s="334">
        <v>6.445310304862291</v>
      </c>
    </row>
    <row r="5" spans="1:10" s="226" customFormat="1" ht="15">
      <c r="A5" s="354">
        <v>2</v>
      </c>
      <c r="B5" s="345" t="s">
        <v>162</v>
      </c>
      <c r="C5" s="290">
        <v>38723</v>
      </c>
      <c r="D5" s="289" t="s">
        <v>26</v>
      </c>
      <c r="E5" s="289" t="s">
        <v>289</v>
      </c>
      <c r="F5" s="291">
        <v>280</v>
      </c>
      <c r="G5" s="291">
        <v>23</v>
      </c>
      <c r="H5" s="292">
        <v>12950655.62</v>
      </c>
      <c r="I5" s="293">
        <v>2067661</v>
      </c>
      <c r="J5" s="335">
        <v>6.263432748405081</v>
      </c>
    </row>
    <row r="6" spans="1:11" s="226" customFormat="1" ht="15">
      <c r="A6" s="360">
        <v>3</v>
      </c>
      <c r="B6" s="361" t="s">
        <v>265</v>
      </c>
      <c r="C6" s="362">
        <v>38856</v>
      </c>
      <c r="D6" s="363" t="s">
        <v>23</v>
      </c>
      <c r="E6" s="364" t="s">
        <v>30</v>
      </c>
      <c r="F6" s="365">
        <v>195</v>
      </c>
      <c r="G6" s="365">
        <v>19</v>
      </c>
      <c r="H6" s="366">
        <f>3570701+1526862+890553+1110.5+642057+1962.5+391828+1004+177766+104472.5+6467-1313+62244.5-2884+30403.5+13087+6337.5-594+13475.5+1246+2073+648+6824+3735+1442+8455</f>
        <v>7459963.5</v>
      </c>
      <c r="I6" s="367">
        <f>473308+203407+120258+125+93991+244+58773+32636+18970+1209-234+9432-459+4807+2508+1212-237+2153+230+354+112+1205+627+309+1584</f>
        <v>1026524</v>
      </c>
      <c r="J6" s="368">
        <f>+H6/I6</f>
        <v>7.267208073069894</v>
      </c>
      <c r="K6" s="227"/>
    </row>
    <row r="7" spans="1:10" s="228" customFormat="1" ht="15">
      <c r="A7" s="354">
        <v>4</v>
      </c>
      <c r="B7" s="356" t="s">
        <v>88</v>
      </c>
      <c r="C7" s="317">
        <v>38912</v>
      </c>
      <c r="D7" s="316" t="s">
        <v>24</v>
      </c>
      <c r="E7" s="357" t="s">
        <v>29</v>
      </c>
      <c r="F7" s="358">
        <v>162</v>
      </c>
      <c r="G7" s="318">
        <v>11</v>
      </c>
      <c r="H7" s="319">
        <v>7149628</v>
      </c>
      <c r="I7" s="320">
        <v>994445</v>
      </c>
      <c r="J7" s="359">
        <f>IF(H7&lt;&gt;0,H7/I7,"")</f>
        <v>7.189566039348581</v>
      </c>
    </row>
    <row r="8" spans="1:10" s="228" customFormat="1" ht="15">
      <c r="A8" s="354">
        <v>5</v>
      </c>
      <c r="B8" s="347" t="s">
        <v>150</v>
      </c>
      <c r="C8" s="295">
        <v>38723</v>
      </c>
      <c r="D8" s="289" t="s">
        <v>1</v>
      </c>
      <c r="E8" s="300" t="s">
        <v>290</v>
      </c>
      <c r="F8" s="301">
        <v>199</v>
      </c>
      <c r="G8" s="301" t="s">
        <v>235</v>
      </c>
      <c r="H8" s="302">
        <v>6517326.1</v>
      </c>
      <c r="I8" s="303">
        <v>997238.4</v>
      </c>
      <c r="J8" s="335">
        <v>6.53537418936134</v>
      </c>
    </row>
    <row r="9" spans="1:10" s="228" customFormat="1" ht="15">
      <c r="A9" s="354">
        <v>6</v>
      </c>
      <c r="B9" s="345" t="s">
        <v>274</v>
      </c>
      <c r="C9" s="290">
        <v>38821</v>
      </c>
      <c r="D9" s="294" t="s">
        <v>26</v>
      </c>
      <c r="E9" s="289" t="s">
        <v>27</v>
      </c>
      <c r="F9" s="297">
        <v>118</v>
      </c>
      <c r="G9" s="291">
        <v>24</v>
      </c>
      <c r="H9" s="292">
        <f>1908861+1583540+976953.5+606582.5+358386.5+257458.5+154619+107195+70567+37968.5+18157.5+11925.5+12529.5+11442+10137.5+11279.5+11047+23092+6089.5+13588+1331+1245+48+90</f>
        <v>6194133.5</v>
      </c>
      <c r="I9" s="293">
        <f>267837+226672+141343+93283+56706+48660+34140+24736+15604+6640+3341+2116+2223+1865+2002+2375+2554+5432+1329+3323+245+218+8+15</f>
        <v>942667</v>
      </c>
      <c r="J9" s="336">
        <f>+H9/I9</f>
        <v>6.570860653868227</v>
      </c>
    </row>
    <row r="10" spans="1:10" s="228" customFormat="1" ht="15">
      <c r="A10" s="354">
        <v>7</v>
      </c>
      <c r="B10" s="345" t="s">
        <v>177</v>
      </c>
      <c r="C10" s="290">
        <v>38765</v>
      </c>
      <c r="D10" s="289" t="s">
        <v>1</v>
      </c>
      <c r="E10" s="289" t="s">
        <v>47</v>
      </c>
      <c r="F10" s="291">
        <v>164</v>
      </c>
      <c r="G10" s="291">
        <v>19</v>
      </c>
      <c r="H10" s="292">
        <v>4222687.5</v>
      </c>
      <c r="I10" s="293">
        <v>646274</v>
      </c>
      <c r="J10" s="335">
        <v>6.53389661351068</v>
      </c>
    </row>
    <row r="11" spans="1:10" s="228" customFormat="1" ht="15">
      <c r="A11" s="354">
        <v>8</v>
      </c>
      <c r="B11" s="345" t="s">
        <v>200</v>
      </c>
      <c r="C11" s="290">
        <v>38758</v>
      </c>
      <c r="D11" s="294" t="s">
        <v>26</v>
      </c>
      <c r="E11" s="289" t="s">
        <v>175</v>
      </c>
      <c r="F11" s="297">
        <v>80</v>
      </c>
      <c r="G11" s="291">
        <v>28</v>
      </c>
      <c r="H11" s="292">
        <f>1046144.5+776147+471268+342390+240709.5+167344+96416.5+41350+35967.5+31795.5+14506+10028+6242+3523+4463+5109+150+198+3146.5+3199+1091+252+107+70+3321+3020+40</f>
        <v>3307998</v>
      </c>
      <c r="I11" s="293">
        <f>153560+115584+70079+59336+46681+34549+19625+8318+8035+8705+3661+2044+1179+753+1488+1703+50+66+1049+812+246+33+15+10+973+755+5</f>
        <v>539314</v>
      </c>
      <c r="J11" s="336">
        <f>+H11/I11</f>
        <v>6.133714311143415</v>
      </c>
    </row>
    <row r="12" spans="1:10" s="228" customFormat="1" ht="15">
      <c r="A12" s="354">
        <v>9</v>
      </c>
      <c r="B12" s="345" t="s">
        <v>258</v>
      </c>
      <c r="C12" s="290">
        <v>38730</v>
      </c>
      <c r="D12" s="289" t="s">
        <v>24</v>
      </c>
      <c r="E12" s="289" t="s">
        <v>29</v>
      </c>
      <c r="F12" s="291">
        <v>116</v>
      </c>
      <c r="G12" s="291">
        <v>31</v>
      </c>
      <c r="H12" s="292">
        <v>3280736</v>
      </c>
      <c r="I12" s="293">
        <v>467181</v>
      </c>
      <c r="J12" s="335">
        <v>7.02240887364854</v>
      </c>
    </row>
    <row r="13" spans="1:10" s="228" customFormat="1" ht="15">
      <c r="A13" s="354">
        <v>10</v>
      </c>
      <c r="B13" s="345" t="s">
        <v>158</v>
      </c>
      <c r="C13" s="290">
        <v>38842</v>
      </c>
      <c r="D13" s="289" t="s">
        <v>24</v>
      </c>
      <c r="E13" s="294" t="s">
        <v>37</v>
      </c>
      <c r="F13" s="297">
        <v>173</v>
      </c>
      <c r="G13" s="291">
        <v>20</v>
      </c>
      <c r="H13" s="292">
        <v>2833454</v>
      </c>
      <c r="I13" s="293">
        <v>381678</v>
      </c>
      <c r="J13" s="335">
        <v>7.4236765021824676</v>
      </c>
    </row>
    <row r="14" spans="1:10" s="228" customFormat="1" ht="15">
      <c r="A14" s="354">
        <v>11</v>
      </c>
      <c r="B14" s="345" t="s">
        <v>262</v>
      </c>
      <c r="C14" s="290">
        <v>38947</v>
      </c>
      <c r="D14" s="294" t="s">
        <v>26</v>
      </c>
      <c r="E14" s="289" t="s">
        <v>27</v>
      </c>
      <c r="F14" s="297">
        <v>106</v>
      </c>
      <c r="G14" s="291">
        <v>6</v>
      </c>
      <c r="H14" s="292">
        <f>851045+613251.5+405140+216081+124391+88721.5</f>
        <v>2298630</v>
      </c>
      <c r="I14" s="293">
        <f>116878+84823+56865+31359+21609+17621</f>
        <v>329155</v>
      </c>
      <c r="J14" s="336">
        <f>+H14/I14</f>
        <v>6.983427260713038</v>
      </c>
    </row>
    <row r="15" spans="1:10" s="228" customFormat="1" ht="15">
      <c r="A15" s="354">
        <v>12</v>
      </c>
      <c r="B15" s="348" t="s">
        <v>259</v>
      </c>
      <c r="C15" s="290">
        <v>38807</v>
      </c>
      <c r="D15" s="304" t="s">
        <v>20</v>
      </c>
      <c r="E15" s="304" t="s">
        <v>21</v>
      </c>
      <c r="F15" s="305">
        <v>115</v>
      </c>
      <c r="G15" s="305" t="s">
        <v>129</v>
      </c>
      <c r="H15" s="292">
        <v>2090646</v>
      </c>
      <c r="I15" s="293">
        <v>291036</v>
      </c>
      <c r="J15" s="335">
        <v>7.183461839772399</v>
      </c>
    </row>
    <row r="16" spans="1:10" s="228" customFormat="1" ht="15">
      <c r="A16" s="354">
        <v>13</v>
      </c>
      <c r="B16" s="346" t="s">
        <v>135</v>
      </c>
      <c r="C16" s="295">
        <v>38891</v>
      </c>
      <c r="D16" s="296" t="s">
        <v>23</v>
      </c>
      <c r="E16" s="294" t="s">
        <v>205</v>
      </c>
      <c r="F16" s="297">
        <v>134</v>
      </c>
      <c r="G16" s="297">
        <v>14</v>
      </c>
      <c r="H16" s="298">
        <f>694435+438090+738+386149+151227+222+83617+45498.5+9253.5+24202+17725.5+1491+1259+14683+1059+2274+879</f>
        <v>1872802.5</v>
      </c>
      <c r="I16" s="299">
        <f>90541+58080+141+50942+21691+24+14951+8904+1541+5005+3068+257+230+2034+180+440+142</f>
        <v>258171</v>
      </c>
      <c r="J16" s="336">
        <f>+H16/I16</f>
        <v>7.254116457696643</v>
      </c>
    </row>
    <row r="17" spans="1:12" s="228" customFormat="1" ht="15">
      <c r="A17" s="354">
        <v>14</v>
      </c>
      <c r="B17" s="345" t="s">
        <v>291</v>
      </c>
      <c r="C17" s="290">
        <v>38744</v>
      </c>
      <c r="D17" s="289" t="s">
        <v>24</v>
      </c>
      <c r="E17" s="289" t="s">
        <v>39</v>
      </c>
      <c r="F17" s="291">
        <v>71</v>
      </c>
      <c r="G17" s="291">
        <v>22</v>
      </c>
      <c r="H17" s="292">
        <v>1846426</v>
      </c>
      <c r="I17" s="293">
        <v>229233</v>
      </c>
      <c r="J17" s="335">
        <v>8.054800137851007</v>
      </c>
      <c r="L17" s="229"/>
    </row>
    <row r="18" spans="1:10" s="228" customFormat="1" ht="15">
      <c r="A18" s="354">
        <v>15</v>
      </c>
      <c r="B18" s="346" t="s">
        <v>163</v>
      </c>
      <c r="C18" s="295">
        <v>38919</v>
      </c>
      <c r="D18" s="296" t="s">
        <v>23</v>
      </c>
      <c r="E18" s="294" t="s">
        <v>205</v>
      </c>
      <c r="F18" s="297">
        <v>149</v>
      </c>
      <c r="G18" s="297">
        <v>10</v>
      </c>
      <c r="H18" s="298">
        <f>897376+408049.5+50+255208.5+136337.5+71282-709+23040.5+14537.5+5314.5+2373.5+7479</f>
        <v>1820339.5</v>
      </c>
      <c r="I18" s="299">
        <f>113870+54028+2+35562+20586+13943-129+4903+3216+1273+810+1178</f>
        <v>249242</v>
      </c>
      <c r="J18" s="336">
        <f>+H18/I18</f>
        <v>7.303502218727181</v>
      </c>
    </row>
    <row r="19" spans="1:10" s="228" customFormat="1" ht="15">
      <c r="A19" s="354">
        <v>16</v>
      </c>
      <c r="B19" s="345" t="s">
        <v>6</v>
      </c>
      <c r="C19" s="290">
        <v>38793</v>
      </c>
      <c r="D19" s="289" t="s">
        <v>24</v>
      </c>
      <c r="E19" s="289" t="s">
        <v>25</v>
      </c>
      <c r="F19" s="291">
        <v>129</v>
      </c>
      <c r="G19" s="291">
        <v>17</v>
      </c>
      <c r="H19" s="292">
        <v>1788368</v>
      </c>
      <c r="I19" s="293">
        <v>272227</v>
      </c>
      <c r="J19" s="335">
        <v>6.569399802370816</v>
      </c>
    </row>
    <row r="20" spans="1:10" s="228" customFormat="1" ht="15">
      <c r="A20" s="354">
        <v>17</v>
      </c>
      <c r="B20" s="345" t="s">
        <v>115</v>
      </c>
      <c r="C20" s="290">
        <v>38863</v>
      </c>
      <c r="D20" s="289" t="s">
        <v>26</v>
      </c>
      <c r="E20" s="289" t="s">
        <v>27</v>
      </c>
      <c r="F20" s="291">
        <v>61</v>
      </c>
      <c r="G20" s="291">
        <v>15</v>
      </c>
      <c r="H20" s="292">
        <v>1659711.5</v>
      </c>
      <c r="I20" s="293">
        <v>226474</v>
      </c>
      <c r="J20" s="335">
        <v>7.32848583060307</v>
      </c>
    </row>
    <row r="21" spans="1:10" s="228" customFormat="1" ht="15">
      <c r="A21" s="354">
        <v>18</v>
      </c>
      <c r="B21" s="346" t="s">
        <v>176</v>
      </c>
      <c r="C21" s="295">
        <v>38933</v>
      </c>
      <c r="D21" s="296" t="s">
        <v>23</v>
      </c>
      <c r="E21" s="294" t="s">
        <v>205</v>
      </c>
      <c r="F21" s="297">
        <v>55</v>
      </c>
      <c r="G21" s="297">
        <v>8</v>
      </c>
      <c r="H21" s="298">
        <f>561160.5+368980.5+233734.5+154031+131267.5+122+86655+51837+8.5+24632</f>
        <v>1612428.5</v>
      </c>
      <c r="I21" s="299">
        <f>65355+44972+28905+21259+18678+12+13773+7814+1+4063</f>
        <v>204832</v>
      </c>
      <c r="J21" s="336">
        <f>+H21/I21</f>
        <v>7.871956042024683</v>
      </c>
    </row>
    <row r="22" spans="1:10" s="228" customFormat="1" ht="15">
      <c r="A22" s="354">
        <v>19</v>
      </c>
      <c r="B22" s="346" t="s">
        <v>198</v>
      </c>
      <c r="C22" s="295">
        <v>38786</v>
      </c>
      <c r="D22" s="296" t="s">
        <v>23</v>
      </c>
      <c r="E22" s="294" t="s">
        <v>30</v>
      </c>
      <c r="F22" s="297">
        <v>88</v>
      </c>
      <c r="G22" s="297">
        <v>13</v>
      </c>
      <c r="H22" s="302">
        <v>1611244.5</v>
      </c>
      <c r="I22" s="303">
        <v>231494</v>
      </c>
      <c r="J22" s="335">
        <v>6.960199832393065</v>
      </c>
    </row>
    <row r="23" spans="1:10" s="228" customFormat="1" ht="15">
      <c r="A23" s="354">
        <v>20</v>
      </c>
      <c r="B23" s="345" t="s">
        <v>261</v>
      </c>
      <c r="C23" s="290">
        <v>38926</v>
      </c>
      <c r="D23" s="289" t="s">
        <v>24</v>
      </c>
      <c r="E23" s="294" t="s">
        <v>34</v>
      </c>
      <c r="F23" s="297">
        <v>84</v>
      </c>
      <c r="G23" s="291">
        <v>9</v>
      </c>
      <c r="H23" s="292">
        <v>1596507</v>
      </c>
      <c r="I23" s="293">
        <v>229755</v>
      </c>
      <c r="J23" s="337">
        <f>IF(H23&lt;&gt;0,H23/I23,"")</f>
        <v>6.948736697786773</v>
      </c>
    </row>
    <row r="24" spans="1:10" s="228" customFormat="1" ht="15">
      <c r="A24" s="354">
        <v>21</v>
      </c>
      <c r="B24" s="345" t="s">
        <v>266</v>
      </c>
      <c r="C24" s="290">
        <v>38874</v>
      </c>
      <c r="D24" s="294" t="s">
        <v>26</v>
      </c>
      <c r="E24" s="289" t="s">
        <v>27</v>
      </c>
      <c r="F24" s="297">
        <v>66</v>
      </c>
      <c r="G24" s="291">
        <v>12</v>
      </c>
      <c r="H24" s="292">
        <v>1426119.5</v>
      </c>
      <c r="I24" s="293">
        <v>205835</v>
      </c>
      <c r="J24" s="335">
        <v>6.928459688585518</v>
      </c>
    </row>
    <row r="25" spans="1:10" s="228" customFormat="1" ht="15">
      <c r="A25" s="354">
        <v>22</v>
      </c>
      <c r="B25" s="346" t="s">
        <v>221</v>
      </c>
      <c r="C25" s="295">
        <v>38947</v>
      </c>
      <c r="D25" s="296" t="s">
        <v>23</v>
      </c>
      <c r="E25" s="294" t="s">
        <v>48</v>
      </c>
      <c r="F25" s="297">
        <v>50</v>
      </c>
      <c r="G25" s="297">
        <v>6</v>
      </c>
      <c r="H25" s="298">
        <f>406988+393530+256319+151102.5+125263+75536</f>
        <v>1408738.5</v>
      </c>
      <c r="I25" s="299">
        <f>47196+45633+29898+18037+15404+9535</f>
        <v>165703</v>
      </c>
      <c r="J25" s="336">
        <f>+H25/I25</f>
        <v>8.501587177057749</v>
      </c>
    </row>
    <row r="26" spans="1:10" s="228" customFormat="1" ht="15">
      <c r="A26" s="354">
        <v>23</v>
      </c>
      <c r="B26" s="345" t="s">
        <v>86</v>
      </c>
      <c r="C26" s="290">
        <v>38975</v>
      </c>
      <c r="D26" s="289" t="s">
        <v>24</v>
      </c>
      <c r="E26" s="294" t="s">
        <v>29</v>
      </c>
      <c r="F26" s="297">
        <v>129</v>
      </c>
      <c r="G26" s="291">
        <v>2</v>
      </c>
      <c r="H26" s="292">
        <v>1398519</v>
      </c>
      <c r="I26" s="293">
        <v>181045</v>
      </c>
      <c r="J26" s="337">
        <f>IF(H26&lt;&gt;0,H26/I26,"")</f>
        <v>7.724703802921925</v>
      </c>
    </row>
    <row r="27" spans="1:10" s="228" customFormat="1" ht="15">
      <c r="A27" s="354">
        <v>24</v>
      </c>
      <c r="B27" s="345" t="s">
        <v>70</v>
      </c>
      <c r="C27" s="290">
        <v>38751</v>
      </c>
      <c r="D27" s="289" t="s">
        <v>24</v>
      </c>
      <c r="E27" s="289" t="s">
        <v>34</v>
      </c>
      <c r="F27" s="291">
        <v>51</v>
      </c>
      <c r="G27" s="291">
        <v>27</v>
      </c>
      <c r="H27" s="292">
        <v>1342328</v>
      </c>
      <c r="I27" s="293">
        <v>176030</v>
      </c>
      <c r="J27" s="335">
        <v>7.625563824348123</v>
      </c>
    </row>
    <row r="28" spans="1:10" s="228" customFormat="1" ht="15">
      <c r="A28" s="354">
        <v>25</v>
      </c>
      <c r="B28" s="346" t="s">
        <v>292</v>
      </c>
      <c r="C28" s="295">
        <v>38758</v>
      </c>
      <c r="D28" s="296" t="s">
        <v>23</v>
      </c>
      <c r="E28" s="294" t="s">
        <v>30</v>
      </c>
      <c r="F28" s="297">
        <v>61</v>
      </c>
      <c r="G28" s="297">
        <v>18</v>
      </c>
      <c r="H28" s="302">
        <v>1297959.5</v>
      </c>
      <c r="I28" s="303">
        <v>159660</v>
      </c>
      <c r="J28" s="335">
        <v>8.12952210948265</v>
      </c>
    </row>
    <row r="29" spans="1:10" s="228" customFormat="1" ht="15">
      <c r="A29" s="354">
        <v>26</v>
      </c>
      <c r="B29" s="346" t="s">
        <v>199</v>
      </c>
      <c r="C29" s="295">
        <v>38730</v>
      </c>
      <c r="D29" s="296" t="s">
        <v>23</v>
      </c>
      <c r="E29" s="294" t="s">
        <v>205</v>
      </c>
      <c r="F29" s="297">
        <v>62</v>
      </c>
      <c r="G29" s="297">
        <v>19</v>
      </c>
      <c r="H29" s="302">
        <v>1185878.5</v>
      </c>
      <c r="I29" s="303">
        <v>139650</v>
      </c>
      <c r="J29" s="335">
        <v>8.491790189760115</v>
      </c>
    </row>
    <row r="30" spans="1:10" s="228" customFormat="1" ht="15">
      <c r="A30" s="354">
        <v>27</v>
      </c>
      <c r="B30" s="345" t="s">
        <v>242</v>
      </c>
      <c r="C30" s="290">
        <v>38933</v>
      </c>
      <c r="D30" s="289" t="s">
        <v>24</v>
      </c>
      <c r="E30" s="294" t="s">
        <v>29</v>
      </c>
      <c r="F30" s="297">
        <v>103</v>
      </c>
      <c r="G30" s="291">
        <v>8</v>
      </c>
      <c r="H30" s="292">
        <v>1179686</v>
      </c>
      <c r="I30" s="293">
        <v>173184</v>
      </c>
      <c r="J30" s="337">
        <f>IF(H30&lt;&gt;0,H30/I30,"")</f>
        <v>6.811749353288987</v>
      </c>
    </row>
    <row r="31" spans="1:10" s="228" customFormat="1" ht="15">
      <c r="A31" s="354">
        <v>28</v>
      </c>
      <c r="B31" s="345" t="s">
        <v>17</v>
      </c>
      <c r="C31" s="290">
        <v>38800</v>
      </c>
      <c r="D31" s="289" t="s">
        <v>26</v>
      </c>
      <c r="E31" s="289" t="s">
        <v>27</v>
      </c>
      <c r="F31" s="291">
        <v>92</v>
      </c>
      <c r="G31" s="291">
        <v>18</v>
      </c>
      <c r="H31" s="292">
        <v>1177824</v>
      </c>
      <c r="I31" s="293">
        <v>173046</v>
      </c>
      <c r="J31" s="335">
        <v>6.806421413959295</v>
      </c>
    </row>
    <row r="32" spans="1:10" s="228" customFormat="1" ht="15">
      <c r="A32" s="354">
        <v>29</v>
      </c>
      <c r="B32" s="346" t="s">
        <v>293</v>
      </c>
      <c r="C32" s="295">
        <v>38737</v>
      </c>
      <c r="D32" s="296" t="s">
        <v>23</v>
      </c>
      <c r="E32" s="294" t="s">
        <v>30</v>
      </c>
      <c r="F32" s="297">
        <v>59</v>
      </c>
      <c r="G32" s="297">
        <v>15</v>
      </c>
      <c r="H32" s="302">
        <v>1173567.5</v>
      </c>
      <c r="I32" s="303">
        <v>169926</v>
      </c>
      <c r="J32" s="335">
        <v>6.906344526440922</v>
      </c>
    </row>
    <row r="33" spans="1:10" s="228" customFormat="1" ht="15">
      <c r="A33" s="354">
        <v>30</v>
      </c>
      <c r="B33" s="345" t="s">
        <v>73</v>
      </c>
      <c r="C33" s="290">
        <v>38856</v>
      </c>
      <c r="D33" s="289" t="s">
        <v>24</v>
      </c>
      <c r="E33" s="289" t="s">
        <v>131</v>
      </c>
      <c r="F33" s="291">
        <v>160</v>
      </c>
      <c r="G33" s="291">
        <v>17</v>
      </c>
      <c r="H33" s="292">
        <v>1154498</v>
      </c>
      <c r="I33" s="293">
        <v>180320</v>
      </c>
      <c r="J33" s="335">
        <v>6.402495563442768</v>
      </c>
    </row>
    <row r="34" spans="1:10" s="228" customFormat="1" ht="15">
      <c r="A34" s="354">
        <v>31</v>
      </c>
      <c r="B34" s="346" t="s">
        <v>294</v>
      </c>
      <c r="C34" s="295">
        <v>38772</v>
      </c>
      <c r="D34" s="296" t="s">
        <v>23</v>
      </c>
      <c r="E34" s="294" t="s">
        <v>36</v>
      </c>
      <c r="F34" s="297">
        <v>83</v>
      </c>
      <c r="G34" s="297">
        <v>12</v>
      </c>
      <c r="H34" s="302">
        <v>1101700.5</v>
      </c>
      <c r="I34" s="303">
        <v>145473</v>
      </c>
      <c r="J34" s="335">
        <v>7.5732300839331</v>
      </c>
    </row>
    <row r="35" spans="1:10" s="228" customFormat="1" ht="15">
      <c r="A35" s="354">
        <v>32</v>
      </c>
      <c r="B35" s="349" t="s">
        <v>207</v>
      </c>
      <c r="C35" s="295">
        <v>38779</v>
      </c>
      <c r="D35" s="306" t="s">
        <v>23</v>
      </c>
      <c r="E35" s="306" t="s">
        <v>30</v>
      </c>
      <c r="F35" s="307">
        <v>96</v>
      </c>
      <c r="G35" s="307">
        <v>14</v>
      </c>
      <c r="H35" s="302">
        <v>1090131</v>
      </c>
      <c r="I35" s="303">
        <v>144526</v>
      </c>
      <c r="J35" s="335">
        <v>7.542801987185697</v>
      </c>
    </row>
    <row r="36" spans="1:10" s="228" customFormat="1" ht="15">
      <c r="A36" s="354">
        <v>33</v>
      </c>
      <c r="B36" s="346" t="s">
        <v>43</v>
      </c>
      <c r="C36" s="295">
        <v>38814</v>
      </c>
      <c r="D36" s="294" t="s">
        <v>23</v>
      </c>
      <c r="E36" s="294" t="s">
        <v>44</v>
      </c>
      <c r="F36" s="297">
        <v>124</v>
      </c>
      <c r="G36" s="297">
        <v>24</v>
      </c>
      <c r="H36" s="302">
        <v>1058130.5</v>
      </c>
      <c r="I36" s="303">
        <v>173112</v>
      </c>
      <c r="J36" s="335">
        <v>6.112404108322934</v>
      </c>
    </row>
    <row r="37" spans="1:10" s="228" customFormat="1" ht="15">
      <c r="A37" s="354">
        <v>34</v>
      </c>
      <c r="B37" s="345" t="s">
        <v>267</v>
      </c>
      <c r="C37" s="290">
        <v>38961</v>
      </c>
      <c r="D37" s="289" t="s">
        <v>24</v>
      </c>
      <c r="E37" s="294" t="s">
        <v>34</v>
      </c>
      <c r="F37" s="297">
        <v>125</v>
      </c>
      <c r="G37" s="291">
        <v>3</v>
      </c>
      <c r="H37" s="292">
        <v>1039888</v>
      </c>
      <c r="I37" s="293">
        <v>123564</v>
      </c>
      <c r="J37" s="337">
        <f>IF(H37&lt;&gt;0,H37/I37,"")</f>
        <v>8.415784532711793</v>
      </c>
    </row>
    <row r="38" spans="1:10" s="228" customFormat="1" ht="15">
      <c r="A38" s="354">
        <v>35</v>
      </c>
      <c r="B38" s="345" t="s">
        <v>212</v>
      </c>
      <c r="C38" s="290">
        <v>38821</v>
      </c>
      <c r="D38" s="289" t="s">
        <v>24</v>
      </c>
      <c r="E38" s="289" t="s">
        <v>232</v>
      </c>
      <c r="F38" s="291">
        <v>94</v>
      </c>
      <c r="G38" s="291">
        <v>21</v>
      </c>
      <c r="H38" s="292">
        <v>1011677</v>
      </c>
      <c r="I38" s="293">
        <v>149917</v>
      </c>
      <c r="J38" s="335">
        <v>6.748247363541159</v>
      </c>
    </row>
    <row r="39" spans="1:10" s="228" customFormat="1" ht="15">
      <c r="A39" s="354">
        <v>36</v>
      </c>
      <c r="B39" s="345" t="s">
        <v>58</v>
      </c>
      <c r="C39" s="290">
        <v>38835</v>
      </c>
      <c r="D39" s="289" t="s">
        <v>24</v>
      </c>
      <c r="E39" s="289" t="s">
        <v>34</v>
      </c>
      <c r="F39" s="291">
        <v>71</v>
      </c>
      <c r="G39" s="291">
        <v>20</v>
      </c>
      <c r="H39" s="292">
        <v>1010043</v>
      </c>
      <c r="I39" s="293">
        <v>125085</v>
      </c>
      <c r="J39" s="335">
        <v>8.07485309989207</v>
      </c>
    </row>
    <row r="40" spans="1:10" s="228" customFormat="1" ht="15">
      <c r="A40" s="354">
        <v>37</v>
      </c>
      <c r="B40" s="345" t="s">
        <v>3</v>
      </c>
      <c r="C40" s="290">
        <v>38779</v>
      </c>
      <c r="D40" s="289" t="s">
        <v>24</v>
      </c>
      <c r="E40" s="289" t="s">
        <v>29</v>
      </c>
      <c r="F40" s="291">
        <v>72</v>
      </c>
      <c r="G40" s="291">
        <v>25</v>
      </c>
      <c r="H40" s="292">
        <v>976039</v>
      </c>
      <c r="I40" s="293">
        <v>145485</v>
      </c>
      <c r="J40" s="335">
        <v>6.70886345671375</v>
      </c>
    </row>
    <row r="41" spans="1:10" s="228" customFormat="1" ht="15">
      <c r="A41" s="354">
        <v>38</v>
      </c>
      <c r="B41" s="345" t="s">
        <v>59</v>
      </c>
      <c r="C41" s="290">
        <v>38835</v>
      </c>
      <c r="D41" s="289" t="s">
        <v>26</v>
      </c>
      <c r="E41" s="289" t="s">
        <v>65</v>
      </c>
      <c r="F41" s="291">
        <v>65</v>
      </c>
      <c r="G41" s="291">
        <v>18</v>
      </c>
      <c r="H41" s="292">
        <v>955822</v>
      </c>
      <c r="I41" s="293">
        <v>141483</v>
      </c>
      <c r="J41" s="335">
        <v>6.755737438420163</v>
      </c>
    </row>
    <row r="42" spans="1:10" s="228" customFormat="1" ht="15">
      <c r="A42" s="354">
        <v>39</v>
      </c>
      <c r="B42" s="345" t="s">
        <v>295</v>
      </c>
      <c r="C42" s="290">
        <v>38737</v>
      </c>
      <c r="D42" s="289" t="s">
        <v>26</v>
      </c>
      <c r="E42" s="289" t="s">
        <v>38</v>
      </c>
      <c r="F42" s="291">
        <v>43</v>
      </c>
      <c r="G42" s="291">
        <v>20</v>
      </c>
      <c r="H42" s="292">
        <v>942248.5</v>
      </c>
      <c r="I42" s="293">
        <v>125959</v>
      </c>
      <c r="J42" s="335">
        <v>7.4805968608833044</v>
      </c>
    </row>
    <row r="43" spans="1:10" s="228" customFormat="1" ht="15">
      <c r="A43" s="354">
        <v>40</v>
      </c>
      <c r="B43" s="346" t="s">
        <v>22</v>
      </c>
      <c r="C43" s="295">
        <v>38807</v>
      </c>
      <c r="D43" s="296" t="s">
        <v>23</v>
      </c>
      <c r="E43" s="294" t="s">
        <v>205</v>
      </c>
      <c r="F43" s="297">
        <v>77</v>
      </c>
      <c r="G43" s="297">
        <v>14</v>
      </c>
      <c r="H43" s="302">
        <v>890343</v>
      </c>
      <c r="I43" s="303">
        <v>122901</v>
      </c>
      <c r="J43" s="335">
        <v>7.24439182756853</v>
      </c>
    </row>
    <row r="44" spans="1:10" s="228" customFormat="1" ht="15">
      <c r="A44" s="354">
        <v>41</v>
      </c>
      <c r="B44" s="345" t="s">
        <v>271</v>
      </c>
      <c r="C44" s="290">
        <v>38954</v>
      </c>
      <c r="D44" s="289" t="s">
        <v>24</v>
      </c>
      <c r="E44" s="294" t="s">
        <v>239</v>
      </c>
      <c r="F44" s="297">
        <v>108</v>
      </c>
      <c r="G44" s="291">
        <v>5</v>
      </c>
      <c r="H44" s="292">
        <v>884174</v>
      </c>
      <c r="I44" s="293">
        <v>120326</v>
      </c>
      <c r="J44" s="337">
        <f>IF(H44&lt;&gt;0,H44/I44,"")</f>
        <v>7.348154181141233</v>
      </c>
    </row>
    <row r="45" spans="1:10" s="228" customFormat="1" ht="15">
      <c r="A45" s="354">
        <v>42</v>
      </c>
      <c r="B45" s="346" t="s">
        <v>14</v>
      </c>
      <c r="C45" s="295">
        <v>38800</v>
      </c>
      <c r="D45" s="294" t="s">
        <v>7</v>
      </c>
      <c r="E45" s="294" t="s">
        <v>46</v>
      </c>
      <c r="F45" s="297">
        <v>58</v>
      </c>
      <c r="G45" s="297">
        <v>23</v>
      </c>
      <c r="H45" s="308">
        <f>350945.5+222517.5+139156.5+40897.5+38142.5+25481.5+16036.5+2540+5715.5+4760+5176+3952+1523+1314+3068+3142.5+1229.5+841.5+1265+1460.5+204+135+389</f>
        <v>869893</v>
      </c>
      <c r="I45" s="293">
        <f>46256+31606+20219+8293+8608+6050+3760+524+1828+885+1287+758+233+204+640+566+226+133+179+273+34+45+88</f>
        <v>132695</v>
      </c>
      <c r="J45" s="337">
        <f>IF(H45&lt;&gt;0,H45/I45,"")</f>
        <v>6.555582350503033</v>
      </c>
    </row>
    <row r="46" spans="1:10" s="228" customFormat="1" ht="15">
      <c r="A46" s="354">
        <v>43</v>
      </c>
      <c r="B46" s="345" t="s">
        <v>71</v>
      </c>
      <c r="C46" s="290">
        <v>38772</v>
      </c>
      <c r="D46" s="289" t="s">
        <v>24</v>
      </c>
      <c r="E46" s="289" t="s">
        <v>34</v>
      </c>
      <c r="F46" s="291">
        <v>116</v>
      </c>
      <c r="G46" s="291">
        <v>28</v>
      </c>
      <c r="H46" s="292">
        <v>829714</v>
      </c>
      <c r="I46" s="293">
        <v>110187</v>
      </c>
      <c r="J46" s="335">
        <v>7.530053454581757</v>
      </c>
    </row>
    <row r="47" spans="1:10" s="228" customFormat="1" ht="15">
      <c r="A47" s="354">
        <v>44</v>
      </c>
      <c r="B47" s="345" t="s">
        <v>214</v>
      </c>
      <c r="C47" s="290">
        <v>38940</v>
      </c>
      <c r="D47" s="289" t="s">
        <v>24</v>
      </c>
      <c r="E47" s="294" t="s">
        <v>34</v>
      </c>
      <c r="F47" s="297">
        <v>80</v>
      </c>
      <c r="G47" s="291">
        <v>7</v>
      </c>
      <c r="H47" s="292">
        <v>790862</v>
      </c>
      <c r="I47" s="293">
        <v>93636</v>
      </c>
      <c r="J47" s="337">
        <f>IF(H47&lt;&gt;0,H47/I47,"")</f>
        <v>8.446131829638173</v>
      </c>
    </row>
    <row r="48" spans="1:10" s="228" customFormat="1" ht="15">
      <c r="A48" s="354">
        <v>45</v>
      </c>
      <c r="B48" s="346" t="s">
        <v>52</v>
      </c>
      <c r="C48" s="295">
        <v>38828</v>
      </c>
      <c r="D48" s="296" t="s">
        <v>23</v>
      </c>
      <c r="E48" s="294" t="s">
        <v>36</v>
      </c>
      <c r="F48" s="297">
        <v>59</v>
      </c>
      <c r="G48" s="297">
        <v>15</v>
      </c>
      <c r="H48" s="302">
        <v>772669.5</v>
      </c>
      <c r="I48" s="303">
        <v>99275</v>
      </c>
      <c r="J48" s="335">
        <v>7.78312263913372</v>
      </c>
    </row>
    <row r="49" spans="1:10" s="228" customFormat="1" ht="15">
      <c r="A49" s="354">
        <v>46</v>
      </c>
      <c r="B49" s="346" t="s">
        <v>296</v>
      </c>
      <c r="C49" s="295">
        <v>38793</v>
      </c>
      <c r="D49" s="296" t="s">
        <v>23</v>
      </c>
      <c r="E49" s="294" t="s">
        <v>205</v>
      </c>
      <c r="F49" s="297">
        <v>61</v>
      </c>
      <c r="G49" s="297">
        <v>14</v>
      </c>
      <c r="H49" s="302">
        <v>738169.25</v>
      </c>
      <c r="I49" s="303">
        <v>93206</v>
      </c>
      <c r="J49" s="335">
        <v>7.919761066884108</v>
      </c>
    </row>
    <row r="50" spans="1:10" s="228" customFormat="1" ht="15">
      <c r="A50" s="354">
        <v>47</v>
      </c>
      <c r="B50" s="346" t="s">
        <v>260</v>
      </c>
      <c r="C50" s="295">
        <v>38765</v>
      </c>
      <c r="D50" s="296" t="s">
        <v>23</v>
      </c>
      <c r="E50" s="294" t="s">
        <v>35</v>
      </c>
      <c r="F50" s="297">
        <v>23</v>
      </c>
      <c r="G50" s="297">
        <v>18</v>
      </c>
      <c r="H50" s="302">
        <v>737932.5</v>
      </c>
      <c r="I50" s="303">
        <v>84920</v>
      </c>
      <c r="J50" s="335">
        <v>8.689737399905791</v>
      </c>
    </row>
    <row r="51" spans="1:10" s="226" customFormat="1" ht="15">
      <c r="A51" s="354">
        <v>48</v>
      </c>
      <c r="B51" s="346" t="s">
        <v>238</v>
      </c>
      <c r="C51" s="295">
        <v>38961</v>
      </c>
      <c r="D51" s="296" t="s">
        <v>23</v>
      </c>
      <c r="E51" s="294" t="s">
        <v>48</v>
      </c>
      <c r="F51" s="297">
        <v>55</v>
      </c>
      <c r="G51" s="297">
        <v>4</v>
      </c>
      <c r="H51" s="298">
        <f>350490.5+214970.5+120637.5+51795</f>
        <v>737893.5</v>
      </c>
      <c r="I51" s="299">
        <f>43078+26636+15215+7802</f>
        <v>92731</v>
      </c>
      <c r="J51" s="336">
        <f>+H51/I51</f>
        <v>7.957355145528464</v>
      </c>
    </row>
    <row r="52" spans="1:10" s="226" customFormat="1" ht="15">
      <c r="A52" s="354">
        <v>49</v>
      </c>
      <c r="B52" s="346" t="s">
        <v>87</v>
      </c>
      <c r="C52" s="295">
        <v>38975</v>
      </c>
      <c r="D52" s="296" t="s">
        <v>23</v>
      </c>
      <c r="E52" s="294" t="s">
        <v>205</v>
      </c>
      <c r="F52" s="297">
        <v>83</v>
      </c>
      <c r="G52" s="297">
        <v>2</v>
      </c>
      <c r="H52" s="298">
        <f>470908.5+232549</f>
        <v>703457.5</v>
      </c>
      <c r="I52" s="299">
        <f>56842+28533</f>
        <v>85375</v>
      </c>
      <c r="J52" s="336">
        <f>+H52/I52</f>
        <v>8.239619326500732</v>
      </c>
    </row>
    <row r="53" spans="1:10" s="226" customFormat="1" ht="15">
      <c r="A53" s="354">
        <v>50</v>
      </c>
      <c r="B53" s="346" t="s">
        <v>313</v>
      </c>
      <c r="C53" s="295">
        <v>38982</v>
      </c>
      <c r="D53" s="296" t="s">
        <v>23</v>
      </c>
      <c r="E53" s="294" t="s">
        <v>30</v>
      </c>
      <c r="F53" s="297">
        <v>76</v>
      </c>
      <c r="G53" s="297">
        <v>1</v>
      </c>
      <c r="H53" s="298">
        <v>679462.5</v>
      </c>
      <c r="I53" s="299">
        <v>80488</v>
      </c>
      <c r="J53" s="336">
        <f>+H53/I53</f>
        <v>8.441786353245204</v>
      </c>
    </row>
    <row r="54" spans="1:10" s="226" customFormat="1" ht="15">
      <c r="A54" s="354">
        <v>51</v>
      </c>
      <c r="B54" s="345" t="s">
        <v>122</v>
      </c>
      <c r="C54" s="290">
        <v>38877</v>
      </c>
      <c r="D54" s="289" t="s">
        <v>24</v>
      </c>
      <c r="E54" s="294" t="s">
        <v>29</v>
      </c>
      <c r="F54" s="297">
        <v>60</v>
      </c>
      <c r="G54" s="291">
        <v>16</v>
      </c>
      <c r="H54" s="292">
        <v>649321</v>
      </c>
      <c r="I54" s="293">
        <v>82981</v>
      </c>
      <c r="J54" s="337">
        <f>IF(H54&lt;&gt;0,H54/I54,"")</f>
        <v>7.8249358286836745</v>
      </c>
    </row>
    <row r="55" spans="1:10" s="226" customFormat="1" ht="15">
      <c r="A55" s="354">
        <v>52</v>
      </c>
      <c r="B55" s="345" t="s">
        <v>53</v>
      </c>
      <c r="C55" s="290">
        <v>38828</v>
      </c>
      <c r="D55" s="289" t="s">
        <v>26</v>
      </c>
      <c r="E55" s="289" t="s">
        <v>38</v>
      </c>
      <c r="F55" s="291">
        <v>43</v>
      </c>
      <c r="G55" s="291">
        <v>20</v>
      </c>
      <c r="H55" s="292">
        <v>629792</v>
      </c>
      <c r="I55" s="293">
        <v>99002</v>
      </c>
      <c r="J55" s="335">
        <v>6.3614068402658495</v>
      </c>
    </row>
    <row r="56" spans="1:10" s="226" customFormat="1" ht="15">
      <c r="A56" s="354">
        <v>53</v>
      </c>
      <c r="B56" s="348" t="s">
        <v>114</v>
      </c>
      <c r="C56" s="290">
        <v>38863</v>
      </c>
      <c r="D56" s="294" t="s">
        <v>77</v>
      </c>
      <c r="E56" s="304" t="s">
        <v>236</v>
      </c>
      <c r="F56" s="309">
        <v>35</v>
      </c>
      <c r="G56" s="309">
        <v>18</v>
      </c>
      <c r="H56" s="292">
        <f>149883.5+135641.5+82301.5+72589.5+39819+39540+36570.5+16522+7667.5+7505+3512+4803+1880+716+4840+2288+337.5+291</f>
        <v>606707.5</v>
      </c>
      <c r="I56" s="293">
        <f>19608+17668+11309+10378+6088+6513+6684+3212+1345+1482+722+1193+358+130+881+616+56+49</f>
        <v>88292</v>
      </c>
      <c r="J56" s="337">
        <f>IF(H56&lt;&gt;0,H56/I56,"")</f>
        <v>6.871602183663299</v>
      </c>
    </row>
    <row r="57" spans="1:10" s="228" customFormat="1" ht="15">
      <c r="A57" s="354">
        <v>54</v>
      </c>
      <c r="B57" s="346" t="s">
        <v>249</v>
      </c>
      <c r="C57" s="295">
        <v>38716</v>
      </c>
      <c r="D57" s="296" t="s">
        <v>23</v>
      </c>
      <c r="E57" s="294" t="s">
        <v>30</v>
      </c>
      <c r="F57" s="297">
        <v>60</v>
      </c>
      <c r="G57" s="297">
        <v>21</v>
      </c>
      <c r="H57" s="302">
        <v>589445.5</v>
      </c>
      <c r="I57" s="303">
        <v>84644</v>
      </c>
      <c r="J57" s="335">
        <v>6.963819053919947</v>
      </c>
    </row>
    <row r="58" spans="1:10" s="228" customFormat="1" ht="15">
      <c r="A58" s="354">
        <v>55</v>
      </c>
      <c r="B58" s="345" t="s">
        <v>28</v>
      </c>
      <c r="C58" s="290">
        <v>38807</v>
      </c>
      <c r="D58" s="289" t="s">
        <v>24</v>
      </c>
      <c r="E58" s="294" t="s">
        <v>29</v>
      </c>
      <c r="F58" s="297">
        <v>62</v>
      </c>
      <c r="G58" s="291">
        <v>25</v>
      </c>
      <c r="H58" s="292">
        <v>548579</v>
      </c>
      <c r="I58" s="293">
        <v>71991</v>
      </c>
      <c r="J58" s="335">
        <v>7.6201052909391445</v>
      </c>
    </row>
    <row r="59" spans="1:10" s="228" customFormat="1" ht="15">
      <c r="A59" s="354">
        <v>56</v>
      </c>
      <c r="B59" s="345" t="s">
        <v>75</v>
      </c>
      <c r="C59" s="290">
        <v>38786</v>
      </c>
      <c r="D59" s="289" t="s">
        <v>24</v>
      </c>
      <c r="E59" s="289" t="s">
        <v>37</v>
      </c>
      <c r="F59" s="291">
        <v>63</v>
      </c>
      <c r="G59" s="291">
        <v>11</v>
      </c>
      <c r="H59" s="292">
        <v>508013</v>
      </c>
      <c r="I59" s="293">
        <v>64201</v>
      </c>
      <c r="J59" s="335">
        <v>7.91285182473793</v>
      </c>
    </row>
    <row r="60" spans="1:10" s="228" customFormat="1" ht="15">
      <c r="A60" s="354">
        <v>57</v>
      </c>
      <c r="B60" s="346" t="s">
        <v>12</v>
      </c>
      <c r="C60" s="295">
        <v>38800</v>
      </c>
      <c r="D60" s="296" t="s">
        <v>23</v>
      </c>
      <c r="E60" s="294" t="s">
        <v>68</v>
      </c>
      <c r="F60" s="297">
        <v>42</v>
      </c>
      <c r="G60" s="297">
        <v>12</v>
      </c>
      <c r="H60" s="302">
        <v>507055</v>
      </c>
      <c r="I60" s="303">
        <v>60438</v>
      </c>
      <c r="J60" s="335">
        <v>8.38967206062411</v>
      </c>
    </row>
    <row r="61" spans="1:10" s="228" customFormat="1" ht="15">
      <c r="A61" s="354">
        <v>58</v>
      </c>
      <c r="B61" s="346" t="s">
        <v>268</v>
      </c>
      <c r="C61" s="295">
        <v>38968</v>
      </c>
      <c r="D61" s="294" t="s">
        <v>7</v>
      </c>
      <c r="E61" s="294" t="s">
        <v>46</v>
      </c>
      <c r="F61" s="297">
        <v>56</v>
      </c>
      <c r="G61" s="297">
        <v>3</v>
      </c>
      <c r="H61" s="308">
        <f>236461+163486+84335</f>
        <v>484282</v>
      </c>
      <c r="I61" s="293">
        <f>31427+22450+12316</f>
        <v>66193</v>
      </c>
      <c r="J61" s="337">
        <f>IF(H61&lt;&gt;0,H61/I61,"")</f>
        <v>7.316211684014926</v>
      </c>
    </row>
    <row r="62" spans="1:10" s="228" customFormat="1" ht="15">
      <c r="A62" s="354">
        <v>59</v>
      </c>
      <c r="B62" s="348" t="s">
        <v>136</v>
      </c>
      <c r="C62" s="290">
        <v>38891</v>
      </c>
      <c r="D62" s="294" t="s">
        <v>77</v>
      </c>
      <c r="E62" s="304" t="s">
        <v>236</v>
      </c>
      <c r="F62" s="309">
        <v>45</v>
      </c>
      <c r="G62" s="309">
        <v>14</v>
      </c>
      <c r="H62" s="292">
        <f>154658.5+107804+83531.5+43902+30665+24700+11888+9449+6526+2252.5+1787+2024+2034.5+1406.5</f>
        <v>482628.5</v>
      </c>
      <c r="I62" s="293">
        <f>20153+14417+13506+7951+5799+4754+2261+1861+1328+521+366+427+432+364</f>
        <v>74140</v>
      </c>
      <c r="J62" s="337">
        <f>IF(H62&lt;&gt;0,H62/I62,"")</f>
        <v>6.50969112489884</v>
      </c>
    </row>
    <row r="63" spans="1:10" s="228" customFormat="1" ht="15">
      <c r="A63" s="354">
        <v>60</v>
      </c>
      <c r="B63" s="345" t="s">
        <v>298</v>
      </c>
      <c r="C63" s="290">
        <v>38751</v>
      </c>
      <c r="D63" s="289" t="s">
        <v>24</v>
      </c>
      <c r="E63" s="289" t="s">
        <v>299</v>
      </c>
      <c r="F63" s="291">
        <v>27</v>
      </c>
      <c r="G63" s="291">
        <v>15</v>
      </c>
      <c r="H63" s="292">
        <v>479686</v>
      </c>
      <c r="I63" s="293">
        <v>55874</v>
      </c>
      <c r="J63" s="335">
        <v>8.585137989046787</v>
      </c>
    </row>
    <row r="64" spans="1:10" s="228" customFormat="1" ht="15">
      <c r="A64" s="354">
        <v>61</v>
      </c>
      <c r="B64" s="345" t="s">
        <v>269</v>
      </c>
      <c r="C64" s="290">
        <v>38968</v>
      </c>
      <c r="D64" s="294" t="s">
        <v>26</v>
      </c>
      <c r="E64" s="289" t="s">
        <v>27</v>
      </c>
      <c r="F64" s="297">
        <v>40</v>
      </c>
      <c r="G64" s="291">
        <v>3</v>
      </c>
      <c r="H64" s="292">
        <v>461828.5</v>
      </c>
      <c r="I64" s="293">
        <f>27238+18865+9176</f>
        <v>55279</v>
      </c>
      <c r="J64" s="336">
        <f>+H64/I64</f>
        <v>8.35450170950994</v>
      </c>
    </row>
    <row r="65" spans="1:10" s="228" customFormat="1" ht="15">
      <c r="A65" s="354">
        <v>62</v>
      </c>
      <c r="B65" s="345" t="s">
        <v>272</v>
      </c>
      <c r="C65" s="290">
        <v>38961</v>
      </c>
      <c r="D65" s="294" t="s">
        <v>26</v>
      </c>
      <c r="E65" s="289" t="s">
        <v>27</v>
      </c>
      <c r="F65" s="297">
        <v>60</v>
      </c>
      <c r="G65" s="291">
        <v>4</v>
      </c>
      <c r="H65" s="292">
        <f>244504+117391.5+65855+21512</f>
        <v>449262.5</v>
      </c>
      <c r="I65" s="293">
        <f>29629+13126+7509+3309</f>
        <v>53573</v>
      </c>
      <c r="J65" s="336">
        <f>+H65/I65</f>
        <v>8.385987344371232</v>
      </c>
    </row>
    <row r="66" spans="1:10" s="228" customFormat="1" ht="15">
      <c r="A66" s="354">
        <v>63</v>
      </c>
      <c r="B66" s="345" t="s">
        <v>16</v>
      </c>
      <c r="C66" s="290">
        <v>38793</v>
      </c>
      <c r="D66" s="289" t="s">
        <v>26</v>
      </c>
      <c r="E66" s="289" t="s">
        <v>74</v>
      </c>
      <c r="F66" s="291">
        <v>50</v>
      </c>
      <c r="G66" s="291">
        <v>12</v>
      </c>
      <c r="H66" s="292">
        <v>438011</v>
      </c>
      <c r="I66" s="293">
        <v>65490</v>
      </c>
      <c r="J66" s="335">
        <v>6.688211940754312</v>
      </c>
    </row>
    <row r="67" spans="1:10" s="228" customFormat="1" ht="15">
      <c r="A67" s="354">
        <v>64</v>
      </c>
      <c r="B67" s="346" t="s">
        <v>143</v>
      </c>
      <c r="C67" s="295">
        <v>38898</v>
      </c>
      <c r="D67" s="296" t="s">
        <v>23</v>
      </c>
      <c r="E67" s="294" t="s">
        <v>30</v>
      </c>
      <c r="F67" s="297">
        <v>52</v>
      </c>
      <c r="G67" s="297">
        <v>10</v>
      </c>
      <c r="H67" s="302">
        <v>431716.5</v>
      </c>
      <c r="I67" s="303">
        <v>59740</v>
      </c>
      <c r="J67" s="335">
        <v>7.226590224305323</v>
      </c>
    </row>
    <row r="68" spans="1:10" s="228" customFormat="1" ht="15">
      <c r="A68" s="354">
        <v>65</v>
      </c>
      <c r="B68" s="345" t="s">
        <v>256</v>
      </c>
      <c r="C68" s="290">
        <v>38870</v>
      </c>
      <c r="D68" s="289" t="s">
        <v>24</v>
      </c>
      <c r="E68" s="289" t="s">
        <v>29</v>
      </c>
      <c r="F68" s="291">
        <v>82</v>
      </c>
      <c r="G68" s="291">
        <v>12</v>
      </c>
      <c r="H68" s="292">
        <v>431295</v>
      </c>
      <c r="I68" s="293">
        <v>61794</v>
      </c>
      <c r="J68" s="335">
        <v>6.979561122439071</v>
      </c>
    </row>
    <row r="69" spans="1:10" s="228" customFormat="1" ht="15">
      <c r="A69" s="354">
        <v>66</v>
      </c>
      <c r="B69" s="345" t="s">
        <v>229</v>
      </c>
      <c r="C69" s="290">
        <v>38954</v>
      </c>
      <c r="D69" s="294" t="s">
        <v>26</v>
      </c>
      <c r="E69" s="289" t="s">
        <v>65</v>
      </c>
      <c r="F69" s="297">
        <v>45</v>
      </c>
      <c r="G69" s="291">
        <v>5</v>
      </c>
      <c r="H69" s="292">
        <f>186098+123538.5+27154+22745+30932.5</f>
        <v>390468</v>
      </c>
      <c r="I69" s="293">
        <f>22214+15409+4114+3875+5067</f>
        <v>50679</v>
      </c>
      <c r="J69" s="336">
        <f>+H69/I69</f>
        <v>7.7047297697271055</v>
      </c>
    </row>
    <row r="70" spans="1:10" s="228" customFormat="1" ht="15">
      <c r="A70" s="354">
        <v>67</v>
      </c>
      <c r="B70" s="346" t="s">
        <v>45</v>
      </c>
      <c r="C70" s="295">
        <v>38814</v>
      </c>
      <c r="D70" s="294" t="s">
        <v>7</v>
      </c>
      <c r="E70" s="294" t="s">
        <v>46</v>
      </c>
      <c r="F70" s="297">
        <v>56</v>
      </c>
      <c r="G70" s="297">
        <v>16</v>
      </c>
      <c r="H70" s="292">
        <v>388873.5</v>
      </c>
      <c r="I70" s="293">
        <v>59196</v>
      </c>
      <c r="J70" s="335">
        <v>6.569252990066897</v>
      </c>
    </row>
    <row r="71" spans="1:10" s="228" customFormat="1" ht="15">
      <c r="A71" s="354">
        <v>68</v>
      </c>
      <c r="B71" s="345" t="s">
        <v>66</v>
      </c>
      <c r="C71" s="290">
        <v>38849</v>
      </c>
      <c r="D71" s="289" t="s">
        <v>26</v>
      </c>
      <c r="E71" s="289" t="s">
        <v>27</v>
      </c>
      <c r="F71" s="291">
        <v>51</v>
      </c>
      <c r="G71" s="291">
        <v>12</v>
      </c>
      <c r="H71" s="292">
        <v>383849</v>
      </c>
      <c r="I71" s="293">
        <v>60400</v>
      </c>
      <c r="J71" s="335">
        <v>6.355115894039733</v>
      </c>
    </row>
    <row r="72" spans="1:10" s="228" customFormat="1" ht="15">
      <c r="A72" s="354">
        <v>69</v>
      </c>
      <c r="B72" s="345" t="s">
        <v>50</v>
      </c>
      <c r="C72" s="290">
        <v>38814</v>
      </c>
      <c r="D72" s="289" t="s">
        <v>26</v>
      </c>
      <c r="E72" s="289" t="s">
        <v>171</v>
      </c>
      <c r="F72" s="291">
        <v>50</v>
      </c>
      <c r="G72" s="291">
        <v>11</v>
      </c>
      <c r="H72" s="292">
        <v>376328</v>
      </c>
      <c r="I72" s="293">
        <v>49441</v>
      </c>
      <c r="J72" s="335">
        <v>7.6116583402439275</v>
      </c>
    </row>
    <row r="73" spans="1:10" s="228" customFormat="1" ht="15">
      <c r="A73" s="354">
        <v>70</v>
      </c>
      <c r="B73" s="345" t="s">
        <v>113</v>
      </c>
      <c r="C73" s="290">
        <v>38863</v>
      </c>
      <c r="D73" s="289" t="s">
        <v>24</v>
      </c>
      <c r="E73" s="289" t="s">
        <v>29</v>
      </c>
      <c r="F73" s="291">
        <v>15</v>
      </c>
      <c r="G73" s="291">
        <v>15</v>
      </c>
      <c r="H73" s="292">
        <v>374506</v>
      </c>
      <c r="I73" s="293">
        <v>49404</v>
      </c>
      <c r="J73" s="335">
        <v>7.580479313415918</v>
      </c>
    </row>
    <row r="74" spans="1:10" s="228" customFormat="1" ht="15">
      <c r="A74" s="354">
        <v>71</v>
      </c>
      <c r="B74" s="346" t="s">
        <v>210</v>
      </c>
      <c r="C74" s="295">
        <v>38933</v>
      </c>
      <c r="D74" s="296" t="s">
        <v>23</v>
      </c>
      <c r="E74" s="294" t="s">
        <v>30</v>
      </c>
      <c r="F74" s="297">
        <v>47</v>
      </c>
      <c r="G74" s="297">
        <v>8</v>
      </c>
      <c r="H74" s="298">
        <f>168234.5+110534.5+32226+10239.5+17746+8318+3528+2570</f>
        <v>353396.5</v>
      </c>
      <c r="I74" s="299">
        <f>21398+14457+4314+1793+3372+1583+715+558</f>
        <v>48190</v>
      </c>
      <c r="J74" s="336">
        <f>+H74/I74</f>
        <v>7.3333990454451135</v>
      </c>
    </row>
    <row r="75" spans="1:10" s="228" customFormat="1" ht="15">
      <c r="A75" s="354">
        <v>72</v>
      </c>
      <c r="B75" s="346" t="s">
        <v>211</v>
      </c>
      <c r="C75" s="295">
        <v>38933</v>
      </c>
      <c r="D75" s="294" t="s">
        <v>7</v>
      </c>
      <c r="E75" s="294" t="s">
        <v>32</v>
      </c>
      <c r="F75" s="297">
        <v>47</v>
      </c>
      <c r="G75" s="297">
        <v>8</v>
      </c>
      <c r="H75" s="308">
        <f>152478+98850+41976.55+30958.5+16630.5+7592+3008+1218.5</f>
        <v>352712.05</v>
      </c>
      <c r="I75" s="293">
        <f>19117+12766+5988+5647+3375+1591+593+227</f>
        <v>49304</v>
      </c>
      <c r="J75" s="337">
        <f>IF(H75&lt;&gt;0,H75/I75,"")</f>
        <v>7.153822205094921</v>
      </c>
    </row>
    <row r="76" spans="1:10" s="226" customFormat="1" ht="15">
      <c r="A76" s="354">
        <v>73</v>
      </c>
      <c r="B76" s="345" t="s">
        <v>300</v>
      </c>
      <c r="C76" s="290">
        <v>38765</v>
      </c>
      <c r="D76" s="289" t="s">
        <v>24</v>
      </c>
      <c r="E76" s="289" t="s">
        <v>37</v>
      </c>
      <c r="F76" s="291">
        <v>41</v>
      </c>
      <c r="G76" s="291">
        <v>22</v>
      </c>
      <c r="H76" s="292">
        <v>338013</v>
      </c>
      <c r="I76" s="293">
        <v>46266</v>
      </c>
      <c r="J76" s="335">
        <v>7.3058617559330825</v>
      </c>
    </row>
    <row r="77" spans="1:10" s="226" customFormat="1" ht="15">
      <c r="A77" s="354">
        <v>74</v>
      </c>
      <c r="B77" s="346" t="s">
        <v>123</v>
      </c>
      <c r="C77" s="295">
        <v>38877</v>
      </c>
      <c r="D77" s="296" t="s">
        <v>23</v>
      </c>
      <c r="E77" s="294" t="s">
        <v>205</v>
      </c>
      <c r="F77" s="297">
        <v>55</v>
      </c>
      <c r="G77" s="297">
        <v>11</v>
      </c>
      <c r="H77" s="302">
        <v>337412.5</v>
      </c>
      <c r="I77" s="303">
        <v>46488</v>
      </c>
      <c r="J77" s="335">
        <v>7.258055842367921</v>
      </c>
    </row>
    <row r="78" spans="1:10" s="226" customFormat="1" ht="15">
      <c r="A78" s="354">
        <v>75</v>
      </c>
      <c r="B78" s="345" t="s">
        <v>240</v>
      </c>
      <c r="C78" s="290">
        <v>38961</v>
      </c>
      <c r="D78" s="289" t="s">
        <v>24</v>
      </c>
      <c r="E78" s="294" t="s">
        <v>34</v>
      </c>
      <c r="F78" s="297">
        <v>51</v>
      </c>
      <c r="G78" s="291">
        <v>4</v>
      </c>
      <c r="H78" s="292">
        <v>334422</v>
      </c>
      <c r="I78" s="293">
        <v>39108</v>
      </c>
      <c r="J78" s="337">
        <f>IF(H78&lt;&gt;0,H78/I78,"")</f>
        <v>8.551242712488493</v>
      </c>
    </row>
    <row r="79" spans="1:10" s="226" customFormat="1" ht="15">
      <c r="A79" s="354">
        <v>76</v>
      </c>
      <c r="B79" s="346" t="s">
        <v>49</v>
      </c>
      <c r="C79" s="295">
        <v>38821</v>
      </c>
      <c r="D79" s="296" t="s">
        <v>23</v>
      </c>
      <c r="E79" s="294" t="s">
        <v>48</v>
      </c>
      <c r="F79" s="297">
        <v>32</v>
      </c>
      <c r="G79" s="297">
        <v>17</v>
      </c>
      <c r="H79" s="302">
        <v>323623</v>
      </c>
      <c r="I79" s="303">
        <v>40502</v>
      </c>
      <c r="J79" s="335">
        <v>7.99029677546788</v>
      </c>
    </row>
    <row r="80" spans="1:10" s="226" customFormat="1" ht="15">
      <c r="A80" s="354">
        <v>77</v>
      </c>
      <c r="B80" s="349" t="s">
        <v>55</v>
      </c>
      <c r="C80" s="295">
        <v>38821</v>
      </c>
      <c r="D80" s="306" t="s">
        <v>23</v>
      </c>
      <c r="E80" s="306" t="s">
        <v>30</v>
      </c>
      <c r="F80" s="307">
        <v>53</v>
      </c>
      <c r="G80" s="307">
        <v>12</v>
      </c>
      <c r="H80" s="302">
        <v>321206</v>
      </c>
      <c r="I80" s="303">
        <v>47892</v>
      </c>
      <c r="J80" s="335">
        <v>6.706882151507559</v>
      </c>
    </row>
    <row r="81" spans="1:10" s="226" customFormat="1" ht="15">
      <c r="A81" s="354">
        <v>78</v>
      </c>
      <c r="B81" s="345" t="s">
        <v>237</v>
      </c>
      <c r="C81" s="290">
        <v>38772</v>
      </c>
      <c r="D81" s="289" t="s">
        <v>26</v>
      </c>
      <c r="E81" s="289" t="s">
        <v>27</v>
      </c>
      <c r="F81" s="291">
        <v>49</v>
      </c>
      <c r="G81" s="291">
        <v>12</v>
      </c>
      <c r="H81" s="292">
        <v>320051</v>
      </c>
      <c r="I81" s="293">
        <v>49501</v>
      </c>
      <c r="J81" s="335">
        <v>6.465546150582816</v>
      </c>
    </row>
    <row r="82" spans="1:10" s="226" customFormat="1" ht="15">
      <c r="A82" s="354">
        <v>79</v>
      </c>
      <c r="B82" s="345" t="s">
        <v>215</v>
      </c>
      <c r="C82" s="290">
        <v>38940</v>
      </c>
      <c r="D82" s="294" t="s">
        <v>26</v>
      </c>
      <c r="E82" s="289" t="s">
        <v>38</v>
      </c>
      <c r="F82" s="297">
        <v>40</v>
      </c>
      <c r="G82" s="291">
        <v>7</v>
      </c>
      <c r="H82" s="292">
        <f>116284+76650+44745.5+25964+20033+19011+6435.5</f>
        <v>309123</v>
      </c>
      <c r="I82" s="293">
        <f>15000+10104+6159+4430+4047+3756+1312</f>
        <v>44808</v>
      </c>
      <c r="J82" s="336">
        <f>+H82/I82</f>
        <v>6.8988350294590255</v>
      </c>
    </row>
    <row r="83" spans="1:10" s="226" customFormat="1" ht="15">
      <c r="A83" s="354">
        <v>80</v>
      </c>
      <c r="B83" s="346" t="s">
        <v>270</v>
      </c>
      <c r="C83" s="295">
        <v>38968</v>
      </c>
      <c r="D83" s="296" t="s">
        <v>23</v>
      </c>
      <c r="E83" s="294" t="s">
        <v>205</v>
      </c>
      <c r="F83" s="297">
        <v>58</v>
      </c>
      <c r="G83" s="297">
        <v>3</v>
      </c>
      <c r="H83" s="298">
        <f>195080.5+67383.5+41772</f>
        <v>304236</v>
      </c>
      <c r="I83" s="299">
        <f>24293+8594+5468</f>
        <v>38355</v>
      </c>
      <c r="J83" s="336">
        <f>+H83/I83</f>
        <v>7.932107938991005</v>
      </c>
    </row>
    <row r="84" spans="1:10" s="226" customFormat="1" ht="15">
      <c r="A84" s="354">
        <v>81</v>
      </c>
      <c r="B84" s="346" t="s">
        <v>116</v>
      </c>
      <c r="C84" s="295">
        <v>38870</v>
      </c>
      <c r="D84" s="296" t="s">
        <v>23</v>
      </c>
      <c r="E84" s="294" t="s">
        <v>275</v>
      </c>
      <c r="F84" s="297">
        <v>40</v>
      </c>
      <c r="G84" s="297">
        <v>12</v>
      </c>
      <c r="H84" s="302">
        <v>298497</v>
      </c>
      <c r="I84" s="303">
        <v>37156</v>
      </c>
      <c r="J84" s="335">
        <v>8.033615028528367</v>
      </c>
    </row>
    <row r="85" spans="1:10" s="226" customFormat="1" ht="15">
      <c r="A85" s="354">
        <v>82</v>
      </c>
      <c r="B85" s="345" t="s">
        <v>54</v>
      </c>
      <c r="C85" s="290">
        <v>38828</v>
      </c>
      <c r="D85" s="289" t="s">
        <v>24</v>
      </c>
      <c r="E85" s="289" t="s">
        <v>29</v>
      </c>
      <c r="F85" s="291">
        <v>46</v>
      </c>
      <c r="G85" s="291">
        <v>16</v>
      </c>
      <c r="H85" s="292">
        <v>296037</v>
      </c>
      <c r="I85" s="293">
        <v>38457</v>
      </c>
      <c r="J85" s="335">
        <v>7.697870348701145</v>
      </c>
    </row>
    <row r="86" spans="1:10" s="226" customFormat="1" ht="15">
      <c r="A86" s="354">
        <v>83</v>
      </c>
      <c r="B86" s="346" t="s">
        <v>255</v>
      </c>
      <c r="C86" s="295">
        <v>38905</v>
      </c>
      <c r="D86" s="296" t="s">
        <v>23</v>
      </c>
      <c r="E86" s="294" t="s">
        <v>36</v>
      </c>
      <c r="F86" s="297">
        <v>41</v>
      </c>
      <c r="G86" s="297">
        <v>10</v>
      </c>
      <c r="H86" s="302">
        <v>279147</v>
      </c>
      <c r="I86" s="303">
        <v>33652</v>
      </c>
      <c r="J86" s="335">
        <v>8.29510876025199</v>
      </c>
    </row>
    <row r="87" spans="1:10" s="226" customFormat="1" ht="15">
      <c r="A87" s="354">
        <v>84</v>
      </c>
      <c r="B87" s="345" t="s">
        <v>159</v>
      </c>
      <c r="C87" s="290">
        <v>38751</v>
      </c>
      <c r="D87" s="289" t="s">
        <v>26</v>
      </c>
      <c r="E87" s="289" t="s">
        <v>27</v>
      </c>
      <c r="F87" s="291">
        <v>25</v>
      </c>
      <c r="G87" s="291">
        <v>12</v>
      </c>
      <c r="H87" s="292">
        <v>278875.5</v>
      </c>
      <c r="I87" s="293">
        <v>30623</v>
      </c>
      <c r="J87" s="335">
        <v>9.106733500963328</v>
      </c>
    </row>
    <row r="88" spans="1:10" s="226" customFormat="1" ht="15">
      <c r="A88" s="354">
        <v>85</v>
      </c>
      <c r="B88" s="345" t="s">
        <v>231</v>
      </c>
      <c r="C88" s="290">
        <v>38954</v>
      </c>
      <c r="D88" s="294" t="s">
        <v>26</v>
      </c>
      <c r="E88" s="289" t="s">
        <v>128</v>
      </c>
      <c r="F88" s="297">
        <v>50</v>
      </c>
      <c r="G88" s="291">
        <v>5</v>
      </c>
      <c r="H88" s="292">
        <f>140746.5+77695.5+23472.5+10266.5+22403.5</f>
        <v>274584.5</v>
      </c>
      <c r="I88" s="293">
        <f>17188+9720+3496+1771+4374</f>
        <v>36549</v>
      </c>
      <c r="J88" s="336">
        <f>+H88/I88</f>
        <v>7.512777367369832</v>
      </c>
    </row>
    <row r="89" spans="1:10" s="226" customFormat="1" ht="15">
      <c r="A89" s="354">
        <v>86</v>
      </c>
      <c r="B89" s="345" t="s">
        <v>124</v>
      </c>
      <c r="C89" s="290">
        <v>38877</v>
      </c>
      <c r="D89" s="294" t="s">
        <v>38</v>
      </c>
      <c r="E89" s="289" t="s">
        <v>38</v>
      </c>
      <c r="F89" s="297">
        <v>50</v>
      </c>
      <c r="G89" s="291">
        <v>13</v>
      </c>
      <c r="H89" s="292">
        <v>267530</v>
      </c>
      <c r="I89" s="293">
        <v>39697</v>
      </c>
      <c r="J89" s="335">
        <v>6.739300199007482</v>
      </c>
    </row>
    <row r="90" spans="1:10" s="226" customFormat="1" ht="15">
      <c r="A90" s="354">
        <v>87</v>
      </c>
      <c r="B90" s="346" t="s">
        <v>230</v>
      </c>
      <c r="C90" s="295">
        <v>38954</v>
      </c>
      <c r="D90" s="296" t="s">
        <v>23</v>
      </c>
      <c r="E90" s="294" t="s">
        <v>30</v>
      </c>
      <c r="F90" s="297">
        <v>45</v>
      </c>
      <c r="G90" s="297">
        <v>5</v>
      </c>
      <c r="H90" s="298">
        <f>145292+74732+14642+17609.5+3563</f>
        <v>255838.5</v>
      </c>
      <c r="I90" s="299">
        <f>17609+9254+2383+3714+638</f>
        <v>33598</v>
      </c>
      <c r="J90" s="336">
        <f>+H90/I90</f>
        <v>7.614694327043276</v>
      </c>
    </row>
    <row r="91" spans="1:10" s="226" customFormat="1" ht="15">
      <c r="A91" s="354">
        <v>88</v>
      </c>
      <c r="B91" s="346" t="s">
        <v>301</v>
      </c>
      <c r="C91" s="295">
        <v>38737</v>
      </c>
      <c r="D91" s="296" t="s">
        <v>24</v>
      </c>
      <c r="E91" s="294" t="s">
        <v>302</v>
      </c>
      <c r="F91" s="297">
        <v>28</v>
      </c>
      <c r="G91" s="297">
        <v>12</v>
      </c>
      <c r="H91" s="292">
        <v>246387</v>
      </c>
      <c r="I91" s="293">
        <v>30377</v>
      </c>
      <c r="J91" s="335">
        <v>8.110972117062252</v>
      </c>
    </row>
    <row r="92" spans="1:10" s="226" customFormat="1" ht="15">
      <c r="A92" s="354">
        <v>89</v>
      </c>
      <c r="B92" s="346" t="s">
        <v>60</v>
      </c>
      <c r="C92" s="295">
        <v>38835</v>
      </c>
      <c r="D92" s="296" t="s">
        <v>23</v>
      </c>
      <c r="E92" s="294" t="s">
        <v>68</v>
      </c>
      <c r="F92" s="297">
        <v>40</v>
      </c>
      <c r="G92" s="297">
        <v>13</v>
      </c>
      <c r="H92" s="302">
        <v>243472</v>
      </c>
      <c r="I92" s="303">
        <v>31412</v>
      </c>
      <c r="J92" s="335">
        <v>7.7509232140583215</v>
      </c>
    </row>
    <row r="93" spans="1:10" s="226" customFormat="1" ht="15">
      <c r="A93" s="354">
        <v>90</v>
      </c>
      <c r="B93" s="346" t="s">
        <v>15</v>
      </c>
      <c r="C93" s="295">
        <v>38793</v>
      </c>
      <c r="D93" s="294" t="s">
        <v>7</v>
      </c>
      <c r="E93" s="294" t="s">
        <v>32</v>
      </c>
      <c r="F93" s="297">
        <v>71</v>
      </c>
      <c r="G93" s="297">
        <v>19</v>
      </c>
      <c r="H93" s="292">
        <v>242287.5</v>
      </c>
      <c r="I93" s="293">
        <v>38160</v>
      </c>
      <c r="J93" s="335">
        <v>6.34925314465409</v>
      </c>
    </row>
    <row r="94" spans="1:10" s="226" customFormat="1" ht="15">
      <c r="A94" s="354">
        <v>91</v>
      </c>
      <c r="B94" s="348" t="s">
        <v>144</v>
      </c>
      <c r="C94" s="290">
        <v>38898</v>
      </c>
      <c r="D94" s="294" t="s">
        <v>77</v>
      </c>
      <c r="E94" s="304" t="s">
        <v>324</v>
      </c>
      <c r="F94" s="309">
        <v>47</v>
      </c>
      <c r="G94" s="309">
        <v>13</v>
      </c>
      <c r="H94" s="292">
        <f>88058+66057+19237+18780.5+15348+7714+11101+6810.5+1696+4186+2284+175+304</f>
        <v>241751</v>
      </c>
      <c r="I94" s="293">
        <f>11470+9021+3194+3443+2936+1679+2151+1195+483+727+432+42+72</f>
        <v>36845</v>
      </c>
      <c r="J94" s="337">
        <f>IF(H94&lt;&gt;0,H94/I94,"")</f>
        <v>6.561297326638622</v>
      </c>
    </row>
    <row r="95" spans="1:10" s="226" customFormat="1" ht="15">
      <c r="A95" s="354">
        <v>92</v>
      </c>
      <c r="B95" s="348" t="s">
        <v>125</v>
      </c>
      <c r="C95" s="290">
        <v>38877</v>
      </c>
      <c r="D95" s="294" t="s">
        <v>77</v>
      </c>
      <c r="E95" s="304" t="s">
        <v>96</v>
      </c>
      <c r="F95" s="309">
        <v>64</v>
      </c>
      <c r="G95" s="309">
        <v>16</v>
      </c>
      <c r="H95" s="292">
        <f>94169.5+63426.5+19841+16453.5+12618.5+9991+4741+3516+3356+2065.5+678+1792.5+320+299+194+83</f>
        <v>233545</v>
      </c>
      <c r="I95" s="293">
        <f>14426+9567+3182+3017+2315+1729+923+616+640+472+129+528+43+81+47+20</f>
        <v>37735</v>
      </c>
      <c r="J95" s="337">
        <f>IF(H95&lt;&gt;0,H95/I95,"")</f>
        <v>6.1890817543394725</v>
      </c>
    </row>
    <row r="96" spans="1:10" s="226" customFormat="1" ht="15">
      <c r="A96" s="354">
        <v>93</v>
      </c>
      <c r="B96" s="346" t="s">
        <v>216</v>
      </c>
      <c r="C96" s="295">
        <v>38940</v>
      </c>
      <c r="D96" s="296" t="s">
        <v>23</v>
      </c>
      <c r="E96" s="294" t="s">
        <v>48</v>
      </c>
      <c r="F96" s="297">
        <v>31</v>
      </c>
      <c r="G96" s="297">
        <v>7</v>
      </c>
      <c r="H96" s="298">
        <f>102634+63922.5+11827+16890.5+17776.5+11407.5+5994</f>
        <v>230452</v>
      </c>
      <c r="I96" s="299">
        <f>12828+8256+2045+3441+3346+2564+1220</f>
        <v>33700</v>
      </c>
      <c r="J96" s="336">
        <f>+H96/I96</f>
        <v>6.838338278931751</v>
      </c>
    </row>
    <row r="97" spans="1:10" s="226" customFormat="1" ht="15">
      <c r="A97" s="354">
        <v>94</v>
      </c>
      <c r="B97" s="347" t="s">
        <v>133</v>
      </c>
      <c r="C97" s="295">
        <v>38849</v>
      </c>
      <c r="D97" s="300" t="s">
        <v>209</v>
      </c>
      <c r="E97" s="300" t="s">
        <v>38</v>
      </c>
      <c r="F97" s="301" t="s">
        <v>168</v>
      </c>
      <c r="G97" s="301" t="s">
        <v>219</v>
      </c>
      <c r="H97" s="302">
        <v>229422.79</v>
      </c>
      <c r="I97" s="303">
        <v>29975</v>
      </c>
      <c r="J97" s="335">
        <v>7.65</v>
      </c>
    </row>
    <row r="98" spans="1:10" s="226" customFormat="1" ht="15">
      <c r="A98" s="354">
        <v>95</v>
      </c>
      <c r="B98" s="346" t="s">
        <v>254</v>
      </c>
      <c r="C98" s="295">
        <v>38849</v>
      </c>
      <c r="D98" s="296" t="s">
        <v>23</v>
      </c>
      <c r="E98" s="294" t="s">
        <v>67</v>
      </c>
      <c r="F98" s="297">
        <v>14</v>
      </c>
      <c r="G98" s="297">
        <v>13</v>
      </c>
      <c r="H98" s="302">
        <v>216248</v>
      </c>
      <c r="I98" s="303">
        <v>27941</v>
      </c>
      <c r="J98" s="335">
        <v>7.7394509860062275</v>
      </c>
    </row>
    <row r="99" spans="1:10" s="226" customFormat="1" ht="15">
      <c r="A99" s="354">
        <v>96</v>
      </c>
      <c r="B99" s="345" t="s">
        <v>241</v>
      </c>
      <c r="C99" s="290">
        <v>38961</v>
      </c>
      <c r="D99" s="289" t="s">
        <v>57</v>
      </c>
      <c r="E99" s="289" t="s">
        <v>148</v>
      </c>
      <c r="F99" s="291">
        <v>25</v>
      </c>
      <c r="G99" s="291">
        <v>4</v>
      </c>
      <c r="H99" s="292">
        <v>212546</v>
      </c>
      <c r="I99" s="293">
        <v>27757</v>
      </c>
      <c r="J99" s="337">
        <f>+H99/I99</f>
        <v>7.6573837230248225</v>
      </c>
    </row>
    <row r="100" spans="1:10" s="226" customFormat="1" ht="15">
      <c r="A100" s="354">
        <v>97</v>
      </c>
      <c r="B100" s="350" t="s">
        <v>222</v>
      </c>
      <c r="C100" s="295">
        <v>38947</v>
      </c>
      <c r="D100" s="289" t="s">
        <v>20</v>
      </c>
      <c r="E100" s="300" t="s">
        <v>243</v>
      </c>
      <c r="F100" s="301" t="s">
        <v>223</v>
      </c>
      <c r="G100" s="301" t="s">
        <v>246</v>
      </c>
      <c r="H100" s="298">
        <v>200344</v>
      </c>
      <c r="I100" s="299">
        <v>26866</v>
      </c>
      <c r="J100" s="336">
        <f>+H100/I100</f>
        <v>7.457157745849773</v>
      </c>
    </row>
    <row r="101" spans="1:10" s="228" customFormat="1" ht="15">
      <c r="A101" s="354">
        <v>98</v>
      </c>
      <c r="B101" s="345" t="s">
        <v>151</v>
      </c>
      <c r="C101" s="290">
        <v>38807</v>
      </c>
      <c r="D101" s="294" t="s">
        <v>26</v>
      </c>
      <c r="E101" s="289" t="s">
        <v>27</v>
      </c>
      <c r="F101" s="297">
        <v>20</v>
      </c>
      <c r="G101" s="291">
        <v>13</v>
      </c>
      <c r="H101" s="292">
        <f>79858.5+57561+16625.5+10101+9488+11377.5+5276.5+160.5+942+420+1482+36+649</f>
        <v>193977.5</v>
      </c>
      <c r="I101" s="293">
        <f>9494+7131+2064+2030+1770+2617+1051+31+161+83+398+9+116</f>
        <v>26955</v>
      </c>
      <c r="J101" s="336">
        <f>+H101/I101</f>
        <v>7.196345761454276</v>
      </c>
    </row>
    <row r="102" spans="1:10" s="228" customFormat="1" ht="15">
      <c r="A102" s="354">
        <v>99</v>
      </c>
      <c r="B102" s="345" t="s">
        <v>303</v>
      </c>
      <c r="C102" s="290">
        <v>38786</v>
      </c>
      <c r="D102" s="289" t="s">
        <v>26</v>
      </c>
      <c r="E102" s="289" t="s">
        <v>32</v>
      </c>
      <c r="F102" s="291">
        <v>30</v>
      </c>
      <c r="G102" s="291">
        <v>15</v>
      </c>
      <c r="H102" s="292">
        <v>193462</v>
      </c>
      <c r="I102" s="293">
        <v>29371</v>
      </c>
      <c r="J102" s="335">
        <v>6.586837356576213</v>
      </c>
    </row>
    <row r="103" spans="1:10" s="228" customFormat="1" ht="15">
      <c r="A103" s="354">
        <v>100</v>
      </c>
      <c r="B103" s="346" t="s">
        <v>304</v>
      </c>
      <c r="C103" s="295">
        <v>38758</v>
      </c>
      <c r="D103" s="296" t="s">
        <v>24</v>
      </c>
      <c r="E103" s="294" t="s">
        <v>34</v>
      </c>
      <c r="F103" s="297">
        <v>46</v>
      </c>
      <c r="G103" s="297">
        <v>12</v>
      </c>
      <c r="H103" s="292">
        <v>181942</v>
      </c>
      <c r="I103" s="293">
        <v>24046</v>
      </c>
      <c r="J103" s="335">
        <v>7.566414372452796</v>
      </c>
    </row>
    <row r="104" spans="1:10" s="228" customFormat="1" ht="15">
      <c r="A104" s="354">
        <v>101</v>
      </c>
      <c r="B104" s="345" t="s">
        <v>264</v>
      </c>
      <c r="C104" s="290">
        <v>38961</v>
      </c>
      <c r="D104" s="289" t="s">
        <v>57</v>
      </c>
      <c r="E104" s="289" t="s">
        <v>148</v>
      </c>
      <c r="F104" s="291">
        <v>25</v>
      </c>
      <c r="G104" s="291">
        <v>2</v>
      </c>
      <c r="H104" s="292">
        <v>174285.5</v>
      </c>
      <c r="I104" s="293">
        <v>21444</v>
      </c>
      <c r="J104" s="335">
        <v>8.127471553814583</v>
      </c>
    </row>
    <row r="105" spans="1:10" s="228" customFormat="1" ht="15">
      <c r="A105" s="354">
        <v>102</v>
      </c>
      <c r="B105" s="346" t="s">
        <v>13</v>
      </c>
      <c r="C105" s="295">
        <v>38800</v>
      </c>
      <c r="D105" s="296" t="s">
        <v>23</v>
      </c>
      <c r="E105" s="294" t="s">
        <v>30</v>
      </c>
      <c r="F105" s="297">
        <v>16</v>
      </c>
      <c r="G105" s="297">
        <v>12</v>
      </c>
      <c r="H105" s="302">
        <v>172217.5</v>
      </c>
      <c r="I105" s="303">
        <v>19641</v>
      </c>
      <c r="J105" s="335">
        <v>8.768265363270702</v>
      </c>
    </row>
    <row r="106" spans="1:10" s="228" customFormat="1" ht="15">
      <c r="A106" s="354">
        <v>103</v>
      </c>
      <c r="B106" s="347" t="s">
        <v>5</v>
      </c>
      <c r="C106" s="295">
        <v>38793</v>
      </c>
      <c r="D106" s="300" t="s">
        <v>1</v>
      </c>
      <c r="E106" s="300" t="s">
        <v>33</v>
      </c>
      <c r="F106" s="301">
        <v>33</v>
      </c>
      <c r="G106" s="301" t="s">
        <v>170</v>
      </c>
      <c r="H106" s="302">
        <v>166350.5</v>
      </c>
      <c r="I106" s="303">
        <v>34068.333333333336</v>
      </c>
      <c r="J106" s="335">
        <v>4.882848197250623</v>
      </c>
    </row>
    <row r="107" spans="1:10" s="228" customFormat="1" ht="15">
      <c r="A107" s="354">
        <v>104</v>
      </c>
      <c r="B107" s="346" t="s">
        <v>130</v>
      </c>
      <c r="C107" s="295">
        <v>38884</v>
      </c>
      <c r="D107" s="296" t="s">
        <v>23</v>
      </c>
      <c r="E107" s="294" t="s">
        <v>36</v>
      </c>
      <c r="F107" s="297">
        <v>24</v>
      </c>
      <c r="G107" s="297">
        <v>11</v>
      </c>
      <c r="H107" s="302">
        <v>162213.5</v>
      </c>
      <c r="I107" s="303">
        <v>20240</v>
      </c>
      <c r="J107" s="335">
        <v>8.014500988142297</v>
      </c>
    </row>
    <row r="108" spans="1:10" s="228" customFormat="1" ht="15">
      <c r="A108" s="354">
        <v>105</v>
      </c>
      <c r="B108" s="347" t="s">
        <v>145</v>
      </c>
      <c r="C108" s="295">
        <v>38898</v>
      </c>
      <c r="D108" s="300" t="s">
        <v>57</v>
      </c>
      <c r="E108" s="300" t="s">
        <v>311</v>
      </c>
      <c r="F108" s="301" t="s">
        <v>146</v>
      </c>
      <c r="G108" s="301" t="s">
        <v>121</v>
      </c>
      <c r="H108" s="302">
        <v>151188</v>
      </c>
      <c r="I108" s="303">
        <v>21834</v>
      </c>
      <c r="J108" s="335">
        <v>6.924429788403407</v>
      </c>
    </row>
    <row r="109" spans="1:10" s="228" customFormat="1" ht="15">
      <c r="A109" s="354">
        <v>106</v>
      </c>
      <c r="B109" s="346" t="s">
        <v>56</v>
      </c>
      <c r="C109" s="295">
        <v>38828</v>
      </c>
      <c r="D109" s="294" t="s">
        <v>20</v>
      </c>
      <c r="E109" s="294" t="s">
        <v>34</v>
      </c>
      <c r="F109" s="297">
        <v>46</v>
      </c>
      <c r="G109" s="297">
        <v>12</v>
      </c>
      <c r="H109" s="302">
        <v>149396</v>
      </c>
      <c r="I109" s="303">
        <v>21172</v>
      </c>
      <c r="J109" s="335">
        <v>7.056300774607973</v>
      </c>
    </row>
    <row r="110" spans="1:10" s="228" customFormat="1" ht="15">
      <c r="A110" s="354">
        <v>107</v>
      </c>
      <c r="B110" s="346" t="s">
        <v>166</v>
      </c>
      <c r="C110" s="295">
        <v>38926</v>
      </c>
      <c r="D110" s="296" t="s">
        <v>23</v>
      </c>
      <c r="E110" s="294" t="s">
        <v>44</v>
      </c>
      <c r="F110" s="297">
        <v>40</v>
      </c>
      <c r="G110" s="297">
        <v>7</v>
      </c>
      <c r="H110" s="302">
        <v>143001</v>
      </c>
      <c r="I110" s="303">
        <v>18788</v>
      </c>
      <c r="J110" s="335">
        <v>7.611294443261657</v>
      </c>
    </row>
    <row r="111" spans="1:10" s="228" customFormat="1" ht="15">
      <c r="A111" s="354">
        <v>108</v>
      </c>
      <c r="B111" s="346" t="s">
        <v>137</v>
      </c>
      <c r="C111" s="295">
        <v>38891</v>
      </c>
      <c r="D111" s="294" t="s">
        <v>7</v>
      </c>
      <c r="E111" s="294" t="s">
        <v>138</v>
      </c>
      <c r="F111" s="297">
        <v>55</v>
      </c>
      <c r="G111" s="297">
        <v>12</v>
      </c>
      <c r="H111" s="292">
        <v>137910.5</v>
      </c>
      <c r="I111" s="293">
        <v>19282</v>
      </c>
      <c r="J111" s="335">
        <v>7.152292293330568</v>
      </c>
    </row>
    <row r="112" spans="1:10" s="228" customFormat="1" ht="15">
      <c r="A112" s="354">
        <v>109</v>
      </c>
      <c r="B112" s="348" t="s">
        <v>257</v>
      </c>
      <c r="C112" s="290">
        <v>38716</v>
      </c>
      <c r="D112" s="304" t="s">
        <v>77</v>
      </c>
      <c r="E112" s="304" t="s">
        <v>308</v>
      </c>
      <c r="F112" s="309">
        <v>9</v>
      </c>
      <c r="G112" s="309">
        <v>33</v>
      </c>
      <c r="H112" s="292">
        <v>129760.5</v>
      </c>
      <c r="I112" s="293">
        <v>21442</v>
      </c>
      <c r="J112" s="335">
        <v>6.0516976028355565</v>
      </c>
    </row>
    <row r="113" spans="1:10" s="228" customFormat="1" ht="15">
      <c r="A113" s="354">
        <v>110</v>
      </c>
      <c r="B113" s="345" t="s">
        <v>305</v>
      </c>
      <c r="C113" s="290">
        <v>38765</v>
      </c>
      <c r="D113" s="289" t="s">
        <v>26</v>
      </c>
      <c r="E113" s="289" t="s">
        <v>306</v>
      </c>
      <c r="F113" s="291">
        <v>30</v>
      </c>
      <c r="G113" s="291">
        <v>12</v>
      </c>
      <c r="H113" s="292">
        <v>128270.5</v>
      </c>
      <c r="I113" s="293">
        <v>19448</v>
      </c>
      <c r="J113" s="335">
        <v>6.5955625257095845</v>
      </c>
    </row>
    <row r="114" spans="1:10" s="228" customFormat="1" ht="15">
      <c r="A114" s="354">
        <v>111</v>
      </c>
      <c r="B114" s="351" t="s">
        <v>153</v>
      </c>
      <c r="C114" s="290">
        <v>38912</v>
      </c>
      <c r="D114" s="294" t="s">
        <v>26</v>
      </c>
      <c r="E114" s="310" t="s">
        <v>27</v>
      </c>
      <c r="F114" s="297">
        <v>15</v>
      </c>
      <c r="G114" s="311">
        <v>10</v>
      </c>
      <c r="H114" s="312">
        <v>125614.5</v>
      </c>
      <c r="I114" s="313">
        <v>16469</v>
      </c>
      <c r="J114" s="335">
        <v>7.627330135405913</v>
      </c>
    </row>
    <row r="115" spans="1:10" s="228" customFormat="1" ht="15">
      <c r="A115" s="354">
        <v>112</v>
      </c>
      <c r="B115" s="346" t="s">
        <v>307</v>
      </c>
      <c r="C115" s="295">
        <v>38765</v>
      </c>
      <c r="D115" s="294" t="s">
        <v>24</v>
      </c>
      <c r="E115" s="294" t="s">
        <v>20</v>
      </c>
      <c r="F115" s="297">
        <v>20</v>
      </c>
      <c r="G115" s="297">
        <v>7</v>
      </c>
      <c r="H115" s="302">
        <v>125109</v>
      </c>
      <c r="I115" s="303">
        <v>13297</v>
      </c>
      <c r="J115" s="335">
        <v>9.408814018199594</v>
      </c>
    </row>
    <row r="116" spans="1:10" s="228" customFormat="1" ht="15">
      <c r="A116" s="354">
        <v>113</v>
      </c>
      <c r="B116" s="345" t="s">
        <v>167</v>
      </c>
      <c r="C116" s="290">
        <v>38926</v>
      </c>
      <c r="D116" s="289" t="s">
        <v>35</v>
      </c>
      <c r="E116" s="300" t="s">
        <v>323</v>
      </c>
      <c r="F116" s="291">
        <v>21</v>
      </c>
      <c r="G116" s="291">
        <v>9</v>
      </c>
      <c r="H116" s="298">
        <v>122526</v>
      </c>
      <c r="I116" s="299">
        <v>17869</v>
      </c>
      <c r="J116" s="336">
        <f>+H116/I116</f>
        <v>6.856903016397112</v>
      </c>
    </row>
    <row r="117" spans="1:10" s="228" customFormat="1" ht="15">
      <c r="A117" s="354">
        <v>114</v>
      </c>
      <c r="B117" s="345" t="s">
        <v>61</v>
      </c>
      <c r="C117" s="290">
        <v>38835</v>
      </c>
      <c r="D117" s="289" t="s">
        <v>26</v>
      </c>
      <c r="E117" s="289" t="s">
        <v>27</v>
      </c>
      <c r="F117" s="291">
        <v>15</v>
      </c>
      <c r="G117" s="291">
        <v>13</v>
      </c>
      <c r="H117" s="292">
        <v>120331</v>
      </c>
      <c r="I117" s="293">
        <v>15424</v>
      </c>
      <c r="J117" s="335">
        <v>7.8015430497925315</v>
      </c>
    </row>
    <row r="118" spans="1:10" s="228" customFormat="1" ht="15">
      <c r="A118" s="354">
        <v>115</v>
      </c>
      <c r="B118" s="345" t="s">
        <v>147</v>
      </c>
      <c r="C118" s="290">
        <v>38898</v>
      </c>
      <c r="D118" s="289" t="s">
        <v>57</v>
      </c>
      <c r="E118" s="289" t="s">
        <v>148</v>
      </c>
      <c r="F118" s="291">
        <v>7</v>
      </c>
      <c r="G118" s="291">
        <v>13</v>
      </c>
      <c r="H118" s="292">
        <v>120305</v>
      </c>
      <c r="I118" s="293">
        <v>16662</v>
      </c>
      <c r="J118" s="337">
        <f>+H118/I118</f>
        <v>7.22032169007322</v>
      </c>
    </row>
    <row r="119" spans="1:10" s="228" customFormat="1" ht="15">
      <c r="A119" s="354">
        <v>116</v>
      </c>
      <c r="B119" s="345" t="s">
        <v>201</v>
      </c>
      <c r="C119" s="290">
        <v>38758</v>
      </c>
      <c r="D119" s="289" t="s">
        <v>26</v>
      </c>
      <c r="E119" s="289" t="s">
        <v>27</v>
      </c>
      <c r="F119" s="291">
        <v>10</v>
      </c>
      <c r="G119" s="291">
        <v>15</v>
      </c>
      <c r="H119" s="292">
        <v>114516.5</v>
      </c>
      <c r="I119" s="293">
        <v>15887</v>
      </c>
      <c r="J119" s="335">
        <v>7.208189085415749</v>
      </c>
    </row>
    <row r="120" spans="1:10" s="228" customFormat="1" ht="15">
      <c r="A120" s="354">
        <v>117</v>
      </c>
      <c r="B120" s="346" t="s">
        <v>314</v>
      </c>
      <c r="C120" s="295">
        <v>38982</v>
      </c>
      <c r="D120" s="296" t="s">
        <v>23</v>
      </c>
      <c r="E120" s="294" t="s">
        <v>48</v>
      </c>
      <c r="F120" s="297">
        <v>39</v>
      </c>
      <c r="G120" s="297">
        <v>1</v>
      </c>
      <c r="H120" s="298">
        <v>109921</v>
      </c>
      <c r="I120" s="299">
        <v>13346</v>
      </c>
      <c r="J120" s="336">
        <f>+H120/I120</f>
        <v>8.236250561966132</v>
      </c>
    </row>
    <row r="121" spans="1:10" s="228" customFormat="1" ht="15">
      <c r="A121" s="354">
        <v>118</v>
      </c>
      <c r="B121" s="348" t="s">
        <v>76</v>
      </c>
      <c r="C121" s="290">
        <v>38793</v>
      </c>
      <c r="D121" s="304" t="s">
        <v>57</v>
      </c>
      <c r="E121" s="304" t="s">
        <v>62</v>
      </c>
      <c r="F121" s="291">
        <v>4</v>
      </c>
      <c r="G121" s="291">
        <v>10</v>
      </c>
      <c r="H121" s="292">
        <v>103297</v>
      </c>
      <c r="I121" s="293">
        <v>12362</v>
      </c>
      <c r="J121" s="335">
        <v>8.3560103543116</v>
      </c>
    </row>
    <row r="122" spans="1:10" s="228" customFormat="1" ht="15">
      <c r="A122" s="354">
        <v>119</v>
      </c>
      <c r="B122" s="346" t="s">
        <v>253</v>
      </c>
      <c r="C122" s="295">
        <v>38842</v>
      </c>
      <c r="D122" s="294" t="s">
        <v>23</v>
      </c>
      <c r="E122" s="294" t="s">
        <v>42</v>
      </c>
      <c r="F122" s="297">
        <v>14</v>
      </c>
      <c r="G122" s="297">
        <v>15</v>
      </c>
      <c r="H122" s="302">
        <v>97429</v>
      </c>
      <c r="I122" s="303">
        <v>13684</v>
      </c>
      <c r="J122" s="335">
        <v>7.119921075708857</v>
      </c>
    </row>
    <row r="123" spans="1:10" s="228" customFormat="1" ht="15">
      <c r="A123" s="354">
        <v>120</v>
      </c>
      <c r="B123" s="348" t="s">
        <v>309</v>
      </c>
      <c r="C123" s="290">
        <v>38779</v>
      </c>
      <c r="D123" s="304" t="s">
        <v>57</v>
      </c>
      <c r="E123" s="304" t="s">
        <v>310</v>
      </c>
      <c r="F123" s="305" t="s">
        <v>120</v>
      </c>
      <c r="G123" s="305">
        <v>9</v>
      </c>
      <c r="H123" s="292">
        <v>96787.5</v>
      </c>
      <c r="I123" s="293">
        <v>12101</v>
      </c>
      <c r="J123" s="335">
        <v>7.998305925130155</v>
      </c>
    </row>
    <row r="124" spans="1:10" s="228" customFormat="1" ht="15">
      <c r="A124" s="354">
        <v>121</v>
      </c>
      <c r="B124" s="348" t="s">
        <v>281</v>
      </c>
      <c r="C124" s="290">
        <v>38814</v>
      </c>
      <c r="D124" s="289" t="s">
        <v>77</v>
      </c>
      <c r="E124" s="304" t="s">
        <v>282</v>
      </c>
      <c r="F124" s="309">
        <v>14</v>
      </c>
      <c r="G124" s="309">
        <v>17</v>
      </c>
      <c r="H124" s="292">
        <v>92668</v>
      </c>
      <c r="I124" s="293">
        <v>14059</v>
      </c>
      <c r="J124" s="335">
        <v>6.591364961946084</v>
      </c>
    </row>
    <row r="125" spans="1:10" s="228" customFormat="1" ht="15">
      <c r="A125" s="354">
        <v>122</v>
      </c>
      <c r="B125" s="346" t="s">
        <v>112</v>
      </c>
      <c r="C125" s="295">
        <v>38863</v>
      </c>
      <c r="D125" s="294" t="s">
        <v>23</v>
      </c>
      <c r="E125" s="294" t="s">
        <v>42</v>
      </c>
      <c r="F125" s="297">
        <v>17</v>
      </c>
      <c r="G125" s="297">
        <v>16</v>
      </c>
      <c r="H125" s="302">
        <v>86282</v>
      </c>
      <c r="I125" s="303">
        <v>13503</v>
      </c>
      <c r="J125" s="335">
        <v>6.3898392949714875</v>
      </c>
    </row>
    <row r="126" spans="1:10" s="228" customFormat="1" ht="15">
      <c r="A126" s="354">
        <v>123</v>
      </c>
      <c r="B126" s="348" t="s">
        <v>81</v>
      </c>
      <c r="C126" s="290">
        <v>38744</v>
      </c>
      <c r="D126" s="289" t="s">
        <v>77</v>
      </c>
      <c r="E126" s="304" t="s">
        <v>248</v>
      </c>
      <c r="F126" s="309">
        <v>7</v>
      </c>
      <c r="G126" s="309">
        <v>27</v>
      </c>
      <c r="H126" s="292">
        <v>82559.5</v>
      </c>
      <c r="I126" s="293">
        <v>13074</v>
      </c>
      <c r="J126" s="335">
        <v>6.314785069603789</v>
      </c>
    </row>
    <row r="127" spans="1:10" s="228" customFormat="1" ht="15">
      <c r="A127" s="354">
        <v>124</v>
      </c>
      <c r="B127" s="346" t="s">
        <v>251</v>
      </c>
      <c r="C127" s="295">
        <v>38779</v>
      </c>
      <c r="D127" s="294" t="s">
        <v>311</v>
      </c>
      <c r="E127" s="294" t="s">
        <v>213</v>
      </c>
      <c r="F127" s="297">
        <v>8</v>
      </c>
      <c r="G127" s="297">
        <v>10</v>
      </c>
      <c r="H127" s="302">
        <v>82551.4</v>
      </c>
      <c r="I127" s="303">
        <v>9820</v>
      </c>
      <c r="J127" s="335">
        <v>8.406456211812632</v>
      </c>
    </row>
    <row r="128" spans="1:10" s="228" customFormat="1" ht="15">
      <c r="A128" s="354">
        <v>125</v>
      </c>
      <c r="B128" s="346" t="s">
        <v>126</v>
      </c>
      <c r="C128" s="295">
        <v>38877</v>
      </c>
      <c r="D128" s="294" t="s">
        <v>311</v>
      </c>
      <c r="E128" s="294" t="s">
        <v>132</v>
      </c>
      <c r="F128" s="297">
        <v>12</v>
      </c>
      <c r="G128" s="297">
        <v>11</v>
      </c>
      <c r="H128" s="302">
        <v>82170.51</v>
      </c>
      <c r="I128" s="303">
        <v>11439</v>
      </c>
      <c r="J128" s="335">
        <v>7.1833648046157865</v>
      </c>
    </row>
    <row r="129" spans="1:10" s="228" customFormat="1" ht="15">
      <c r="A129" s="354">
        <v>126</v>
      </c>
      <c r="B129" s="345" t="s">
        <v>63</v>
      </c>
      <c r="C129" s="290">
        <v>38842</v>
      </c>
      <c r="D129" s="289" t="s">
        <v>26</v>
      </c>
      <c r="E129" s="289" t="s">
        <v>64</v>
      </c>
      <c r="F129" s="291">
        <v>40</v>
      </c>
      <c r="G129" s="291">
        <v>10</v>
      </c>
      <c r="H129" s="292">
        <v>67366.5</v>
      </c>
      <c r="I129" s="293">
        <v>12048</v>
      </c>
      <c r="J129" s="335">
        <v>5.591508964143427</v>
      </c>
    </row>
    <row r="130" spans="1:10" s="228" customFormat="1" ht="15">
      <c r="A130" s="354">
        <v>127</v>
      </c>
      <c r="B130" s="348" t="s">
        <v>83</v>
      </c>
      <c r="C130" s="290">
        <v>38723</v>
      </c>
      <c r="D130" s="304" t="s">
        <v>77</v>
      </c>
      <c r="E130" s="304" t="s">
        <v>85</v>
      </c>
      <c r="F130" s="314">
        <v>3</v>
      </c>
      <c r="G130" s="309">
        <v>20</v>
      </c>
      <c r="H130" s="292">
        <v>67308.5</v>
      </c>
      <c r="I130" s="293">
        <v>10763</v>
      </c>
      <c r="J130" s="335">
        <v>6.253693208213326</v>
      </c>
    </row>
    <row r="131" spans="1:10" s="228" customFormat="1" ht="15">
      <c r="A131" s="354">
        <v>128</v>
      </c>
      <c r="B131" s="345" t="s">
        <v>154</v>
      </c>
      <c r="C131" s="290">
        <v>38912</v>
      </c>
      <c r="D131" s="289" t="s">
        <v>57</v>
      </c>
      <c r="E131" s="289" t="s">
        <v>148</v>
      </c>
      <c r="F131" s="291">
        <v>11</v>
      </c>
      <c r="G131" s="291">
        <v>8</v>
      </c>
      <c r="H131" s="292">
        <v>63900</v>
      </c>
      <c r="I131" s="293">
        <v>8297</v>
      </c>
      <c r="J131" s="335">
        <v>7.701578883933952</v>
      </c>
    </row>
    <row r="132" spans="1:10" s="228" customFormat="1" ht="15">
      <c r="A132" s="354">
        <v>129</v>
      </c>
      <c r="B132" s="348" t="s">
        <v>277</v>
      </c>
      <c r="C132" s="290">
        <v>38758</v>
      </c>
      <c r="D132" s="304" t="s">
        <v>77</v>
      </c>
      <c r="E132" s="304" t="s">
        <v>278</v>
      </c>
      <c r="F132" s="309">
        <v>4</v>
      </c>
      <c r="G132" s="309">
        <v>24</v>
      </c>
      <c r="H132" s="292">
        <v>63429.5</v>
      </c>
      <c r="I132" s="293">
        <v>12176</v>
      </c>
      <c r="J132" s="335">
        <v>5.209387319316688</v>
      </c>
    </row>
    <row r="133" spans="1:10" s="228" customFormat="1" ht="15">
      <c r="A133" s="354">
        <v>130</v>
      </c>
      <c r="B133" s="345" t="s">
        <v>252</v>
      </c>
      <c r="C133" s="290">
        <v>38828</v>
      </c>
      <c r="D133" s="289" t="s">
        <v>35</v>
      </c>
      <c r="E133" s="289" t="s">
        <v>127</v>
      </c>
      <c r="F133" s="291">
        <v>5</v>
      </c>
      <c r="G133" s="291">
        <v>16</v>
      </c>
      <c r="H133" s="292">
        <v>61621.4</v>
      </c>
      <c r="I133" s="303">
        <v>9867</v>
      </c>
      <c r="J133" s="335">
        <v>6.245201175635958</v>
      </c>
    </row>
    <row r="134" spans="1:10" s="228" customFormat="1" ht="15">
      <c r="A134" s="354">
        <v>131</v>
      </c>
      <c r="B134" s="348" t="s">
        <v>82</v>
      </c>
      <c r="C134" s="290">
        <v>38779</v>
      </c>
      <c r="D134" s="304" t="s">
        <v>77</v>
      </c>
      <c r="E134" s="304" t="s">
        <v>141</v>
      </c>
      <c r="F134" s="309">
        <v>10</v>
      </c>
      <c r="G134" s="309">
        <v>23</v>
      </c>
      <c r="H134" s="292">
        <v>57363</v>
      </c>
      <c r="I134" s="293">
        <v>11672</v>
      </c>
      <c r="J134" s="335">
        <v>4.914581905414668</v>
      </c>
    </row>
    <row r="135" spans="1:10" s="228" customFormat="1" ht="15">
      <c r="A135" s="354">
        <v>132</v>
      </c>
      <c r="B135" s="345" t="s">
        <v>315</v>
      </c>
      <c r="C135" s="290">
        <v>38982</v>
      </c>
      <c r="D135" s="294" t="s">
        <v>26</v>
      </c>
      <c r="E135" s="289" t="s">
        <v>38</v>
      </c>
      <c r="F135" s="297">
        <v>12</v>
      </c>
      <c r="G135" s="291">
        <v>1</v>
      </c>
      <c r="H135" s="292">
        <v>55507.5</v>
      </c>
      <c r="I135" s="293">
        <f>5804</f>
        <v>5804</v>
      </c>
      <c r="J135" s="336">
        <f>+H135/I135</f>
        <v>9.563662991040662</v>
      </c>
    </row>
    <row r="136" spans="1:10" s="228" customFormat="1" ht="15">
      <c r="A136" s="354">
        <v>133</v>
      </c>
      <c r="B136" s="345" t="s">
        <v>164</v>
      </c>
      <c r="C136" s="290">
        <v>38919</v>
      </c>
      <c r="D136" s="294" t="s">
        <v>26</v>
      </c>
      <c r="E136" s="289" t="s">
        <v>91</v>
      </c>
      <c r="F136" s="297">
        <v>10</v>
      </c>
      <c r="G136" s="291">
        <v>9</v>
      </c>
      <c r="H136" s="292">
        <v>55414.5</v>
      </c>
      <c r="I136" s="293">
        <v>8256</v>
      </c>
      <c r="J136" s="335">
        <v>6.712027616279069</v>
      </c>
    </row>
    <row r="137" spans="1:10" s="228" customFormat="1" ht="15">
      <c r="A137" s="354">
        <v>134</v>
      </c>
      <c r="B137" s="348" t="s">
        <v>119</v>
      </c>
      <c r="C137" s="290">
        <v>38870</v>
      </c>
      <c r="D137" s="294" t="s">
        <v>77</v>
      </c>
      <c r="E137" s="304" t="s">
        <v>282</v>
      </c>
      <c r="F137" s="309">
        <v>5</v>
      </c>
      <c r="G137" s="309">
        <v>16</v>
      </c>
      <c r="H137" s="292">
        <f>20882.25+8209.5+3896+2400+1136+1611+7379.5+2057+1578+454+596+242+607+80+357.5+2184+1212</f>
        <v>54881.75</v>
      </c>
      <c r="I137" s="293">
        <f>2709+885+473+442+218+235+996+335+288+86+108+45+118+20+53+550+402</f>
        <v>7963</v>
      </c>
      <c r="J137" s="337">
        <f>IF(H137&lt;&gt;0,H137/I137,"")</f>
        <v>6.892094687931684</v>
      </c>
    </row>
    <row r="138" spans="1:10" s="228" customFormat="1" ht="15">
      <c r="A138" s="354">
        <v>135</v>
      </c>
      <c r="B138" s="347" t="s">
        <v>263</v>
      </c>
      <c r="C138" s="290">
        <v>38947</v>
      </c>
      <c r="D138" s="289" t="s">
        <v>35</v>
      </c>
      <c r="E138" s="300" t="s">
        <v>34</v>
      </c>
      <c r="F138" s="291">
        <v>10</v>
      </c>
      <c r="G138" s="291">
        <v>6</v>
      </c>
      <c r="H138" s="298">
        <v>53430</v>
      </c>
      <c r="I138" s="299">
        <v>7625</v>
      </c>
      <c r="J138" s="336">
        <f>+H138/I138</f>
        <v>7.007213114754099</v>
      </c>
    </row>
    <row r="139" spans="1:10" s="228" customFormat="1" ht="15">
      <c r="A139" s="354">
        <v>136</v>
      </c>
      <c r="B139" s="345" t="s">
        <v>250</v>
      </c>
      <c r="C139" s="290">
        <v>38786</v>
      </c>
      <c r="D139" s="289" t="s">
        <v>35</v>
      </c>
      <c r="E139" s="289" t="s">
        <v>80</v>
      </c>
      <c r="F139" s="291">
        <v>4</v>
      </c>
      <c r="G139" s="291">
        <v>11</v>
      </c>
      <c r="H139" s="292">
        <v>52565</v>
      </c>
      <c r="I139" s="293">
        <v>7017</v>
      </c>
      <c r="J139" s="335">
        <v>7.49109305971213</v>
      </c>
    </row>
    <row r="140" spans="1:10" s="228" customFormat="1" ht="15">
      <c r="A140" s="354">
        <v>137</v>
      </c>
      <c r="B140" s="347" t="s">
        <v>217</v>
      </c>
      <c r="C140" s="295">
        <v>38940</v>
      </c>
      <c r="D140" s="289" t="s">
        <v>57</v>
      </c>
      <c r="E140" s="300" t="s">
        <v>148</v>
      </c>
      <c r="F140" s="301" t="s">
        <v>121</v>
      </c>
      <c r="G140" s="301" t="s">
        <v>246</v>
      </c>
      <c r="H140" s="298">
        <v>47432</v>
      </c>
      <c r="I140" s="299">
        <v>6164</v>
      </c>
      <c r="J140" s="336">
        <f>+H140/I140</f>
        <v>7.695003244646333</v>
      </c>
    </row>
    <row r="141" spans="1:10" s="228" customFormat="1" ht="15">
      <c r="A141" s="354">
        <v>138</v>
      </c>
      <c r="B141" s="347" t="s">
        <v>169</v>
      </c>
      <c r="C141" s="295">
        <v>38926</v>
      </c>
      <c r="D141" s="289" t="s">
        <v>57</v>
      </c>
      <c r="E141" s="300" t="s">
        <v>148</v>
      </c>
      <c r="F141" s="301" t="s">
        <v>170</v>
      </c>
      <c r="G141" s="301" t="s">
        <v>246</v>
      </c>
      <c r="H141" s="302">
        <v>47356</v>
      </c>
      <c r="I141" s="303">
        <v>6029</v>
      </c>
      <c r="J141" s="335">
        <v>7.8547022723503055</v>
      </c>
    </row>
    <row r="142" spans="1:10" s="228" customFormat="1" ht="15">
      <c r="A142" s="354">
        <v>139</v>
      </c>
      <c r="B142" s="347" t="s">
        <v>233</v>
      </c>
      <c r="C142" s="295">
        <v>38954</v>
      </c>
      <c r="D142" s="289" t="s">
        <v>57</v>
      </c>
      <c r="E142" s="300" t="s">
        <v>148</v>
      </c>
      <c r="F142" s="301" t="s">
        <v>234</v>
      </c>
      <c r="G142" s="301" t="s">
        <v>227</v>
      </c>
      <c r="H142" s="298">
        <v>46082.5</v>
      </c>
      <c r="I142" s="299">
        <v>5013</v>
      </c>
      <c r="J142" s="336">
        <f>+H142/I142</f>
        <v>9.192599241970875</v>
      </c>
    </row>
    <row r="143" spans="1:10" s="228" customFormat="1" ht="15">
      <c r="A143" s="354">
        <v>140</v>
      </c>
      <c r="B143" s="345" t="s">
        <v>338</v>
      </c>
      <c r="C143" s="290">
        <v>38982</v>
      </c>
      <c r="D143" s="289" t="s">
        <v>35</v>
      </c>
      <c r="E143" s="300" t="s">
        <v>224</v>
      </c>
      <c r="F143" s="291">
        <v>18</v>
      </c>
      <c r="G143" s="291">
        <v>1</v>
      </c>
      <c r="H143" s="298">
        <v>45878</v>
      </c>
      <c r="I143" s="299">
        <v>4538</v>
      </c>
      <c r="J143" s="336">
        <f>+H143/I143</f>
        <v>10.109739973556632</v>
      </c>
    </row>
    <row r="144" spans="1:10" s="228" customFormat="1" ht="15">
      <c r="A144" s="354">
        <v>141</v>
      </c>
      <c r="B144" s="345" t="s">
        <v>117</v>
      </c>
      <c r="C144" s="290">
        <v>38870</v>
      </c>
      <c r="D144" s="300" t="s">
        <v>57</v>
      </c>
      <c r="E144" s="289" t="s">
        <v>118</v>
      </c>
      <c r="F144" s="291">
        <v>5</v>
      </c>
      <c r="G144" s="291">
        <v>7</v>
      </c>
      <c r="H144" s="292">
        <v>45165</v>
      </c>
      <c r="I144" s="293">
        <v>5611</v>
      </c>
      <c r="J144" s="335">
        <v>8.04936731420424</v>
      </c>
    </row>
    <row r="145" spans="1:10" s="228" customFormat="1" ht="15">
      <c r="A145" s="354">
        <v>142</v>
      </c>
      <c r="B145" s="347" t="s">
        <v>69</v>
      </c>
      <c r="C145" s="295">
        <v>38835</v>
      </c>
      <c r="D145" s="300" t="s">
        <v>57</v>
      </c>
      <c r="E145" s="300" t="s">
        <v>62</v>
      </c>
      <c r="F145" s="301" t="s">
        <v>121</v>
      </c>
      <c r="G145" s="301" t="s">
        <v>121</v>
      </c>
      <c r="H145" s="292">
        <v>41766</v>
      </c>
      <c r="I145" s="293">
        <v>5455</v>
      </c>
      <c r="J145" s="335">
        <v>7.656461961503208</v>
      </c>
    </row>
    <row r="146" spans="1:10" s="228" customFormat="1" ht="15">
      <c r="A146" s="354">
        <v>143</v>
      </c>
      <c r="B146" s="345" t="s">
        <v>316</v>
      </c>
      <c r="C146" s="290">
        <v>38982</v>
      </c>
      <c r="D146" s="289" t="s">
        <v>57</v>
      </c>
      <c r="E146" s="289" t="s">
        <v>148</v>
      </c>
      <c r="F146" s="291">
        <v>12</v>
      </c>
      <c r="G146" s="291">
        <v>1</v>
      </c>
      <c r="H146" s="292">
        <v>41672</v>
      </c>
      <c r="I146" s="293">
        <v>4685</v>
      </c>
      <c r="J146" s="337">
        <f>+H146/I146</f>
        <v>8.894770544290289</v>
      </c>
    </row>
    <row r="147" spans="1:10" s="228" customFormat="1" ht="15">
      <c r="A147" s="354">
        <v>144</v>
      </c>
      <c r="B147" s="348" t="s">
        <v>79</v>
      </c>
      <c r="C147" s="290">
        <v>38849</v>
      </c>
      <c r="D147" s="315" t="s">
        <v>77</v>
      </c>
      <c r="E147" s="304" t="s">
        <v>80</v>
      </c>
      <c r="F147" s="309">
        <v>4</v>
      </c>
      <c r="G147" s="309">
        <v>9</v>
      </c>
      <c r="H147" s="292">
        <v>39231.75</v>
      </c>
      <c r="I147" s="293">
        <v>6442</v>
      </c>
      <c r="J147" s="335">
        <v>6.08999534306116</v>
      </c>
    </row>
    <row r="148" spans="1:10" s="228" customFormat="1" ht="15">
      <c r="A148" s="354">
        <v>145</v>
      </c>
      <c r="B148" s="346" t="s">
        <v>92</v>
      </c>
      <c r="C148" s="295">
        <v>38793</v>
      </c>
      <c r="D148" s="294" t="s">
        <v>7</v>
      </c>
      <c r="E148" s="294" t="s">
        <v>93</v>
      </c>
      <c r="F148" s="297">
        <v>2</v>
      </c>
      <c r="G148" s="297">
        <v>15</v>
      </c>
      <c r="H148" s="308">
        <f>34394.5+636+91+134+3682</f>
        <v>38937.5</v>
      </c>
      <c r="I148" s="293">
        <f>4287+79+17+25+920</f>
        <v>5328</v>
      </c>
      <c r="J148" s="337">
        <f>IF(H148&lt;&gt;0,H148/I148,"")</f>
        <v>7.30808933933934</v>
      </c>
    </row>
    <row r="149" spans="1:10" s="228" customFormat="1" ht="15">
      <c r="A149" s="354">
        <v>146</v>
      </c>
      <c r="B149" s="348" t="s">
        <v>78</v>
      </c>
      <c r="C149" s="290">
        <v>38856</v>
      </c>
      <c r="D149" s="304" t="s">
        <v>77</v>
      </c>
      <c r="E149" s="304" t="s">
        <v>80</v>
      </c>
      <c r="F149" s="309">
        <v>10</v>
      </c>
      <c r="G149" s="309">
        <v>9</v>
      </c>
      <c r="H149" s="292">
        <v>35206</v>
      </c>
      <c r="I149" s="293">
        <v>5544</v>
      </c>
      <c r="J149" s="335">
        <v>6.3502886002886</v>
      </c>
    </row>
    <row r="150" spans="1:10" s="228" customFormat="1" ht="15">
      <c r="A150" s="354">
        <v>147</v>
      </c>
      <c r="B150" s="345" t="s">
        <v>94</v>
      </c>
      <c r="C150" s="290">
        <v>38786</v>
      </c>
      <c r="D150" s="300" t="s">
        <v>209</v>
      </c>
      <c r="E150" s="289" t="s">
        <v>218</v>
      </c>
      <c r="F150" s="291">
        <v>7</v>
      </c>
      <c r="G150" s="301" t="s">
        <v>219</v>
      </c>
      <c r="H150" s="302">
        <v>32094.5</v>
      </c>
      <c r="I150" s="303">
        <v>7125</v>
      </c>
      <c r="J150" s="335">
        <v>4.504491228070176</v>
      </c>
    </row>
    <row r="151" spans="1:10" s="228" customFormat="1" ht="15">
      <c r="A151" s="354">
        <v>148</v>
      </c>
      <c r="B151" s="348" t="s">
        <v>228</v>
      </c>
      <c r="C151" s="290">
        <v>38905</v>
      </c>
      <c r="D151" s="294" t="s">
        <v>77</v>
      </c>
      <c r="E151" s="304" t="s">
        <v>155</v>
      </c>
      <c r="F151" s="309">
        <v>10</v>
      </c>
      <c r="G151" s="309">
        <v>11</v>
      </c>
      <c r="H151" s="292">
        <f>13259+2856.5+4926+4327+1719+1667.5+386+326+213+271+1196</f>
        <v>31147</v>
      </c>
      <c r="I151" s="293">
        <f>1361+397+710+656+352+358+85+53+51+67+388</f>
        <v>4478</v>
      </c>
      <c r="J151" s="337">
        <f>IF(H151&lt;&gt;0,H151/I151,"")</f>
        <v>6.955560518088432</v>
      </c>
    </row>
    <row r="152" spans="1:10" s="228" customFormat="1" ht="15">
      <c r="A152" s="354">
        <v>149</v>
      </c>
      <c r="B152" s="345" t="s">
        <v>279</v>
      </c>
      <c r="C152" s="290">
        <v>38870</v>
      </c>
      <c r="D152" s="294" t="s">
        <v>77</v>
      </c>
      <c r="E152" s="289" t="s">
        <v>280</v>
      </c>
      <c r="F152" s="291">
        <v>5</v>
      </c>
      <c r="G152" s="291">
        <v>16</v>
      </c>
      <c r="H152" s="292">
        <v>30375</v>
      </c>
      <c r="I152" s="293">
        <v>4646</v>
      </c>
      <c r="J152" s="335">
        <v>6.537882049074471</v>
      </c>
    </row>
    <row r="153" spans="1:10" s="228" customFormat="1" ht="15">
      <c r="A153" s="354">
        <v>150</v>
      </c>
      <c r="B153" s="348" t="s">
        <v>95</v>
      </c>
      <c r="C153" s="290">
        <v>38751</v>
      </c>
      <c r="D153" s="304" t="s">
        <v>77</v>
      </c>
      <c r="E153" s="304" t="s">
        <v>96</v>
      </c>
      <c r="F153" s="309">
        <v>1</v>
      </c>
      <c r="G153" s="309">
        <v>11</v>
      </c>
      <c r="H153" s="292">
        <v>24933</v>
      </c>
      <c r="I153" s="293">
        <v>3455</v>
      </c>
      <c r="J153" s="335">
        <v>7.2164978292329955</v>
      </c>
    </row>
    <row r="154" spans="1:10" s="228" customFormat="1" ht="15">
      <c r="A154" s="354">
        <v>151</v>
      </c>
      <c r="B154" s="345" t="s">
        <v>208</v>
      </c>
      <c r="C154" s="290">
        <v>38884</v>
      </c>
      <c r="D154" s="300" t="s">
        <v>57</v>
      </c>
      <c r="E154" s="289" t="s">
        <v>42</v>
      </c>
      <c r="F154" s="291">
        <v>10</v>
      </c>
      <c r="G154" s="291">
        <v>10</v>
      </c>
      <c r="H154" s="292">
        <v>24066.5</v>
      </c>
      <c r="I154" s="293">
        <v>3774</v>
      </c>
      <c r="J154" s="335">
        <v>6.376921038685745</v>
      </c>
    </row>
    <row r="155" spans="1:10" s="228" customFormat="1" ht="15">
      <c r="A155" s="354">
        <v>152</v>
      </c>
      <c r="B155" s="347" t="s">
        <v>225</v>
      </c>
      <c r="C155" s="295">
        <v>38947</v>
      </c>
      <c r="D155" s="289" t="s">
        <v>57</v>
      </c>
      <c r="E155" s="300" t="s">
        <v>118</v>
      </c>
      <c r="F155" s="301" t="s">
        <v>226</v>
      </c>
      <c r="G155" s="301" t="s">
        <v>246</v>
      </c>
      <c r="H155" s="298">
        <v>23932.5</v>
      </c>
      <c r="I155" s="299">
        <v>3139</v>
      </c>
      <c r="J155" s="336">
        <f>+H155/I155</f>
        <v>7.624243389614527</v>
      </c>
    </row>
    <row r="156" spans="1:10" s="228" customFormat="1" ht="15">
      <c r="A156" s="354">
        <v>153</v>
      </c>
      <c r="B156" s="345" t="s">
        <v>244</v>
      </c>
      <c r="C156" s="290">
        <v>38961</v>
      </c>
      <c r="D156" s="294" t="s">
        <v>26</v>
      </c>
      <c r="E156" s="289" t="s">
        <v>65</v>
      </c>
      <c r="F156" s="297">
        <v>10</v>
      </c>
      <c r="G156" s="291">
        <v>4</v>
      </c>
      <c r="H156" s="292">
        <f>13391.5+6244+2472+1608</f>
        <v>23715.5</v>
      </c>
      <c r="I156" s="293">
        <f>1429+677+335+249</f>
        <v>2690</v>
      </c>
      <c r="J156" s="336">
        <f>+H156/I156</f>
        <v>8.816171003717471</v>
      </c>
    </row>
    <row r="157" spans="1:10" s="228" customFormat="1" ht="15">
      <c r="A157" s="354">
        <v>154</v>
      </c>
      <c r="B157" s="348" t="s">
        <v>174</v>
      </c>
      <c r="C157" s="290">
        <v>38919</v>
      </c>
      <c r="D157" s="294" t="s">
        <v>77</v>
      </c>
      <c r="E157" s="304" t="s">
        <v>96</v>
      </c>
      <c r="F157" s="309">
        <v>4</v>
      </c>
      <c r="G157" s="309">
        <v>9</v>
      </c>
      <c r="H157" s="292">
        <f>3116.25+6870.5+2836+1054+450+770+2580.5+1191+2755.5+166</f>
        <v>21789.75</v>
      </c>
      <c r="I157" s="293">
        <f>523+774+396+145+61+139+385+176+597+25</f>
        <v>3221</v>
      </c>
      <c r="J157" s="337">
        <f>IF(H157&lt;&gt;0,H157/I157,"")</f>
        <v>6.764902204284383</v>
      </c>
    </row>
    <row r="158" spans="1:10" s="228" customFormat="1" ht="15">
      <c r="A158" s="354">
        <v>155</v>
      </c>
      <c r="B158" s="348" t="s">
        <v>99</v>
      </c>
      <c r="C158" s="290">
        <v>38786</v>
      </c>
      <c r="D158" s="304" t="s">
        <v>77</v>
      </c>
      <c r="E158" s="304" t="s">
        <v>100</v>
      </c>
      <c r="F158" s="309">
        <v>6</v>
      </c>
      <c r="G158" s="309">
        <v>11</v>
      </c>
      <c r="H158" s="292">
        <v>18808.5</v>
      </c>
      <c r="I158" s="293">
        <v>2922</v>
      </c>
      <c r="J158" s="335">
        <v>6.436858316221767</v>
      </c>
    </row>
    <row r="159" spans="1:10" s="228" customFormat="1" ht="15">
      <c r="A159" s="354">
        <v>156</v>
      </c>
      <c r="B159" s="348" t="s">
        <v>283</v>
      </c>
      <c r="C159" s="290">
        <v>38835</v>
      </c>
      <c r="D159" s="304" t="s">
        <v>77</v>
      </c>
      <c r="E159" s="304" t="s">
        <v>139</v>
      </c>
      <c r="F159" s="309">
        <v>5</v>
      </c>
      <c r="G159" s="309">
        <v>12</v>
      </c>
      <c r="H159" s="292">
        <v>17668</v>
      </c>
      <c r="I159" s="293">
        <v>2941</v>
      </c>
      <c r="J159" s="335">
        <v>6.00748044882693</v>
      </c>
    </row>
    <row r="160" spans="1:10" s="228" customFormat="1" ht="15">
      <c r="A160" s="354">
        <v>157</v>
      </c>
      <c r="B160" s="348" t="s">
        <v>156</v>
      </c>
      <c r="C160" s="290">
        <v>38912</v>
      </c>
      <c r="D160" s="294" t="s">
        <v>77</v>
      </c>
      <c r="E160" s="304" t="s">
        <v>157</v>
      </c>
      <c r="F160" s="309">
        <v>1</v>
      </c>
      <c r="G160" s="309">
        <v>10</v>
      </c>
      <c r="H160" s="292">
        <f>3860+2691+2385+1350+1075+444+48+1571+1739+1606+278</f>
        <v>17047</v>
      </c>
      <c r="I160" s="293">
        <f>509+453+477+230+215+74+6+267+256+239+41</f>
        <v>2767</v>
      </c>
      <c r="J160" s="337">
        <f>IF(H160&lt;&gt;0,H160/I160,"")</f>
        <v>6.160823997108782</v>
      </c>
    </row>
    <row r="161" spans="1:10" s="228" customFormat="1" ht="15">
      <c r="A161" s="354">
        <v>158</v>
      </c>
      <c r="B161" s="348" t="s">
        <v>149</v>
      </c>
      <c r="C161" s="290">
        <v>38898</v>
      </c>
      <c r="D161" s="304" t="s">
        <v>77</v>
      </c>
      <c r="E161" s="304" t="s">
        <v>161</v>
      </c>
      <c r="F161" s="309">
        <v>5</v>
      </c>
      <c r="G161" s="309">
        <v>8</v>
      </c>
      <c r="H161" s="292">
        <v>14559</v>
      </c>
      <c r="I161" s="293">
        <v>1914</v>
      </c>
      <c r="J161" s="335">
        <v>7.606583072100314</v>
      </c>
    </row>
    <row r="162" spans="1:10" s="228" customFormat="1" ht="15">
      <c r="A162" s="354">
        <v>159</v>
      </c>
      <c r="B162" s="348" t="s">
        <v>160</v>
      </c>
      <c r="C162" s="290">
        <v>38905</v>
      </c>
      <c r="D162" s="304" t="s">
        <v>77</v>
      </c>
      <c r="E162" s="304" t="s">
        <v>161</v>
      </c>
      <c r="F162" s="309">
        <v>5</v>
      </c>
      <c r="G162" s="309">
        <v>7</v>
      </c>
      <c r="H162" s="292">
        <v>14106.5</v>
      </c>
      <c r="I162" s="293">
        <v>1776</v>
      </c>
      <c r="J162" s="335">
        <v>7.942849099099099</v>
      </c>
    </row>
    <row r="163" spans="1:10" s="228" customFormat="1" ht="15">
      <c r="A163" s="354">
        <v>160</v>
      </c>
      <c r="B163" s="346" t="s">
        <v>97</v>
      </c>
      <c r="C163" s="290">
        <v>38772</v>
      </c>
      <c r="D163" s="294" t="s">
        <v>42</v>
      </c>
      <c r="E163" s="294" t="s">
        <v>98</v>
      </c>
      <c r="F163" s="307">
        <v>1</v>
      </c>
      <c r="G163" s="297">
        <v>6</v>
      </c>
      <c r="H163" s="302">
        <v>14052</v>
      </c>
      <c r="I163" s="303">
        <v>1802</v>
      </c>
      <c r="J163" s="335">
        <v>7.798002219755827</v>
      </c>
    </row>
    <row r="164" spans="1:10" s="228" customFormat="1" ht="15">
      <c r="A164" s="354">
        <v>161</v>
      </c>
      <c r="B164" s="345" t="s">
        <v>134</v>
      </c>
      <c r="C164" s="290">
        <v>38884</v>
      </c>
      <c r="D164" s="289" t="s">
        <v>26</v>
      </c>
      <c r="E164" s="289" t="s">
        <v>128</v>
      </c>
      <c r="F164" s="291">
        <v>4</v>
      </c>
      <c r="G164" s="291">
        <v>10</v>
      </c>
      <c r="H164" s="292">
        <v>13481.5</v>
      </c>
      <c r="I164" s="293">
        <v>2162</v>
      </c>
      <c r="J164" s="335">
        <v>6.235661424606848</v>
      </c>
    </row>
    <row r="165" spans="1:10" s="228" customFormat="1" ht="15">
      <c r="A165" s="354">
        <v>162</v>
      </c>
      <c r="B165" s="345" t="s">
        <v>101</v>
      </c>
      <c r="C165" s="290">
        <v>38723</v>
      </c>
      <c r="D165" s="315" t="s">
        <v>77</v>
      </c>
      <c r="E165" s="289" t="s">
        <v>102</v>
      </c>
      <c r="F165" s="291">
        <v>5</v>
      </c>
      <c r="G165" s="291">
        <v>8</v>
      </c>
      <c r="H165" s="292">
        <v>12887</v>
      </c>
      <c r="I165" s="293">
        <v>1855</v>
      </c>
      <c r="J165" s="335">
        <v>6.947169811320754</v>
      </c>
    </row>
    <row r="166" spans="1:10" s="228" customFormat="1" ht="15">
      <c r="A166" s="354">
        <v>163</v>
      </c>
      <c r="B166" s="348" t="s">
        <v>172</v>
      </c>
      <c r="C166" s="290">
        <v>38926</v>
      </c>
      <c r="D166" s="289" t="s">
        <v>77</v>
      </c>
      <c r="E166" s="304" t="s">
        <v>173</v>
      </c>
      <c r="F166" s="309">
        <v>14</v>
      </c>
      <c r="G166" s="309">
        <v>7</v>
      </c>
      <c r="H166" s="292">
        <v>12199</v>
      </c>
      <c r="I166" s="293">
        <v>1730</v>
      </c>
      <c r="J166" s="335">
        <v>7.0514450867052005</v>
      </c>
    </row>
    <row r="167" spans="1:10" s="228" customFormat="1" ht="15">
      <c r="A167" s="354">
        <v>164</v>
      </c>
      <c r="B167" s="347" t="s">
        <v>273</v>
      </c>
      <c r="C167" s="295">
        <v>38968</v>
      </c>
      <c r="D167" s="289" t="s">
        <v>57</v>
      </c>
      <c r="E167" s="300" t="s">
        <v>310</v>
      </c>
      <c r="F167" s="301" t="s">
        <v>245</v>
      </c>
      <c r="G167" s="301" t="s">
        <v>90</v>
      </c>
      <c r="H167" s="298">
        <v>11405</v>
      </c>
      <c r="I167" s="299">
        <v>1525</v>
      </c>
      <c r="J167" s="336">
        <f>+H167/I167</f>
        <v>7.478688524590164</v>
      </c>
    </row>
    <row r="168" spans="1:10" s="228" customFormat="1" ht="15">
      <c r="A168" s="354">
        <v>165</v>
      </c>
      <c r="B168" s="345" t="s">
        <v>84</v>
      </c>
      <c r="C168" s="290">
        <v>38849</v>
      </c>
      <c r="D168" s="294" t="s">
        <v>77</v>
      </c>
      <c r="E168" s="289" t="s">
        <v>85</v>
      </c>
      <c r="F168" s="291">
        <v>1</v>
      </c>
      <c r="G168" s="291">
        <v>9</v>
      </c>
      <c r="H168" s="292">
        <v>8371</v>
      </c>
      <c r="I168" s="293">
        <v>1917</v>
      </c>
      <c r="J168" s="335">
        <v>4.366718831507564</v>
      </c>
    </row>
    <row r="169" spans="1:10" s="228" customFormat="1" ht="15">
      <c r="A169" s="354">
        <v>166</v>
      </c>
      <c r="B169" s="348" t="s">
        <v>319</v>
      </c>
      <c r="C169" s="290">
        <v>38982</v>
      </c>
      <c r="D169" s="294" t="s">
        <v>77</v>
      </c>
      <c r="E169" s="304" t="s">
        <v>320</v>
      </c>
      <c r="F169" s="309">
        <v>10</v>
      </c>
      <c r="G169" s="309">
        <v>1</v>
      </c>
      <c r="H169" s="292">
        <f>6868.5</f>
        <v>6868.5</v>
      </c>
      <c r="I169" s="293">
        <f>870</f>
        <v>870</v>
      </c>
      <c r="J169" s="337">
        <f>IF(H169&lt;&gt;0,H169/I169,"")</f>
        <v>7.894827586206897</v>
      </c>
    </row>
    <row r="170" spans="1:10" s="228" customFormat="1" ht="15">
      <c r="A170" s="354">
        <v>167</v>
      </c>
      <c r="B170" s="346" t="s">
        <v>103</v>
      </c>
      <c r="C170" s="290">
        <v>38821</v>
      </c>
      <c r="D170" s="289" t="s">
        <v>57</v>
      </c>
      <c r="E170" s="289" t="s">
        <v>104</v>
      </c>
      <c r="F170" s="291">
        <v>5</v>
      </c>
      <c r="G170" s="291">
        <v>5</v>
      </c>
      <c r="H170" s="292">
        <v>6450.5</v>
      </c>
      <c r="I170" s="293">
        <v>1115</v>
      </c>
      <c r="J170" s="335">
        <v>5.785201793721976</v>
      </c>
    </row>
    <row r="171" spans="1:10" s="228" customFormat="1" ht="15">
      <c r="A171" s="354">
        <v>168</v>
      </c>
      <c r="B171" s="345" t="s">
        <v>105</v>
      </c>
      <c r="C171" s="295">
        <v>38758</v>
      </c>
      <c r="D171" s="289" t="s">
        <v>42</v>
      </c>
      <c r="E171" s="289" t="s">
        <v>106</v>
      </c>
      <c r="F171" s="291">
        <v>4</v>
      </c>
      <c r="G171" s="291">
        <v>10</v>
      </c>
      <c r="H171" s="302">
        <v>6143</v>
      </c>
      <c r="I171" s="303">
        <v>976</v>
      </c>
      <c r="J171" s="335">
        <v>6.29405737704918</v>
      </c>
    </row>
    <row r="172" spans="1:10" s="228" customFormat="1" ht="15">
      <c r="A172" s="354">
        <v>169</v>
      </c>
      <c r="B172" s="348" t="s">
        <v>140</v>
      </c>
      <c r="C172" s="290">
        <v>38891</v>
      </c>
      <c r="D172" s="289" t="s">
        <v>77</v>
      </c>
      <c r="E172" s="304" t="s">
        <v>247</v>
      </c>
      <c r="F172" s="309">
        <v>1</v>
      </c>
      <c r="G172" s="309">
        <v>5</v>
      </c>
      <c r="H172" s="292">
        <v>5184.5</v>
      </c>
      <c r="I172" s="293">
        <v>1126</v>
      </c>
      <c r="J172" s="335">
        <v>4.604351687388986</v>
      </c>
    </row>
    <row r="173" spans="1:10" s="228" customFormat="1" ht="15">
      <c r="A173" s="354">
        <v>170</v>
      </c>
      <c r="B173" s="345" t="s">
        <v>107</v>
      </c>
      <c r="C173" s="290">
        <v>38807</v>
      </c>
      <c r="D173" s="294" t="s">
        <v>57</v>
      </c>
      <c r="E173" s="294" t="s">
        <v>310</v>
      </c>
      <c r="F173" s="291">
        <v>8</v>
      </c>
      <c r="G173" s="297">
        <v>5</v>
      </c>
      <c r="H173" s="292">
        <v>4628.5</v>
      </c>
      <c r="I173" s="293">
        <v>707</v>
      </c>
      <c r="J173" s="335">
        <v>6.546676096181047</v>
      </c>
    </row>
    <row r="174" spans="1:10" s="228" customFormat="1" ht="15">
      <c r="A174" s="354">
        <v>171</v>
      </c>
      <c r="B174" s="345" t="s">
        <v>152</v>
      </c>
      <c r="C174" s="290">
        <v>38905</v>
      </c>
      <c r="D174" s="300" t="s">
        <v>57</v>
      </c>
      <c r="E174" s="289" t="s">
        <v>57</v>
      </c>
      <c r="F174" s="291">
        <v>6</v>
      </c>
      <c r="G174" s="291">
        <v>1</v>
      </c>
      <c r="H174" s="292">
        <v>3614.5</v>
      </c>
      <c r="I174" s="293">
        <v>396</v>
      </c>
      <c r="J174" s="335">
        <v>9.127525252525253</v>
      </c>
    </row>
    <row r="175" spans="1:10" s="228" customFormat="1" ht="15">
      <c r="A175" s="354">
        <v>172</v>
      </c>
      <c r="B175" s="345" t="s">
        <v>321</v>
      </c>
      <c r="C175" s="290">
        <v>38982</v>
      </c>
      <c r="D175" s="294" t="s">
        <v>26</v>
      </c>
      <c r="E175" s="289" t="s">
        <v>322</v>
      </c>
      <c r="F175" s="297">
        <v>1</v>
      </c>
      <c r="G175" s="291">
        <v>0</v>
      </c>
      <c r="H175" s="292">
        <f>3328</f>
        <v>3328</v>
      </c>
      <c r="I175" s="293">
        <f>378</f>
        <v>378</v>
      </c>
      <c r="J175" s="336">
        <f>+H175/I175</f>
        <v>8.804232804232804</v>
      </c>
    </row>
    <row r="176" spans="1:10" s="228" customFormat="1" ht="15.75" thickBot="1">
      <c r="A176" s="355">
        <v>173</v>
      </c>
      <c r="B176" s="352" t="s">
        <v>276</v>
      </c>
      <c r="C176" s="339">
        <v>38968</v>
      </c>
      <c r="D176" s="338" t="s">
        <v>26</v>
      </c>
      <c r="E176" s="338" t="s">
        <v>33</v>
      </c>
      <c r="F176" s="340">
        <v>1</v>
      </c>
      <c r="G176" s="340">
        <v>0</v>
      </c>
      <c r="H176" s="341">
        <v>717</v>
      </c>
      <c r="I176" s="342">
        <v>93</v>
      </c>
      <c r="J176" s="343">
        <v>7.709677419354841</v>
      </c>
    </row>
    <row r="177" spans="1:10" s="230" customFormat="1" ht="15">
      <c r="A177" s="374" t="s">
        <v>9</v>
      </c>
      <c r="B177" s="373"/>
      <c r="C177" s="375"/>
      <c r="D177" s="375"/>
      <c r="E177" s="375"/>
      <c r="F177" s="376">
        <f>SUM(F4:F176)</f>
        <v>8114</v>
      </c>
      <c r="G177" s="375"/>
      <c r="H177" s="377">
        <f>SUM(H4:H176)</f>
        <v>152397884.87</v>
      </c>
      <c r="I177" s="378">
        <f>SUM(I4:I176)</f>
        <v>22014101.400000002</v>
      </c>
      <c r="J177" s="379">
        <f>H177/I177</f>
        <v>6.922739297912019</v>
      </c>
    </row>
    <row r="178" spans="1:10" s="230" customFormat="1" ht="15.75" thickBot="1">
      <c r="A178" s="380" t="s">
        <v>40</v>
      </c>
      <c r="B178" s="381"/>
      <c r="C178" s="382"/>
      <c r="D178" s="382"/>
      <c r="E178" s="382"/>
      <c r="F178" s="383">
        <v>6674</v>
      </c>
      <c r="G178" s="382"/>
      <c r="H178" s="384">
        <v>115739964.09</v>
      </c>
      <c r="I178" s="385">
        <v>17790210</v>
      </c>
      <c r="J178" s="386">
        <f>H178/I178</f>
        <v>6.505823376452555</v>
      </c>
    </row>
    <row r="179" spans="1:10" s="228" customFormat="1" ht="13.5" thickBot="1">
      <c r="A179" s="243"/>
      <c r="B179" s="231"/>
      <c r="C179" s="232"/>
      <c r="D179" s="232"/>
      <c r="E179" s="232"/>
      <c r="F179" s="232"/>
      <c r="G179" s="232"/>
      <c r="H179" s="233"/>
      <c r="I179" s="369"/>
      <c r="J179" s="234"/>
    </row>
    <row r="180" spans="1:10" s="224" customFormat="1" ht="19.5" customHeight="1">
      <c r="A180" s="387"/>
      <c r="B180" s="216" t="s">
        <v>189</v>
      </c>
      <c r="C180" s="216"/>
      <c r="D180" s="127" t="s">
        <v>108</v>
      </c>
      <c r="E180" s="388"/>
      <c r="F180" s="127" t="s">
        <v>109</v>
      </c>
      <c r="G180" s="127"/>
      <c r="H180" s="127" t="s">
        <v>193</v>
      </c>
      <c r="I180" s="127"/>
      <c r="J180" s="217" t="s">
        <v>287</v>
      </c>
    </row>
    <row r="181" spans="1:10" s="224" customFormat="1" ht="27" customHeight="1" thickBot="1">
      <c r="A181" s="390"/>
      <c r="B181" s="218"/>
      <c r="C181" s="218"/>
      <c r="D181" s="219"/>
      <c r="E181" s="389"/>
      <c r="F181" s="219"/>
      <c r="G181" s="219"/>
      <c r="H181" s="220" t="s">
        <v>288</v>
      </c>
      <c r="I181" s="221" t="s">
        <v>180</v>
      </c>
      <c r="J181" s="222"/>
    </row>
    <row r="182" spans="1:10" ht="15">
      <c r="A182" s="353">
        <v>1</v>
      </c>
      <c r="B182" s="404" t="s">
        <v>110</v>
      </c>
      <c r="C182" s="47"/>
      <c r="D182" s="47">
        <v>14</v>
      </c>
      <c r="E182" s="47"/>
      <c r="F182" s="48">
        <v>1547</v>
      </c>
      <c r="G182" s="47"/>
      <c r="H182" s="63">
        <v>58847706.22</v>
      </c>
      <c r="I182" s="391">
        <v>9208002</v>
      </c>
      <c r="J182" s="62">
        <f>H182/I182</f>
        <v>6.390931085809929</v>
      </c>
    </row>
    <row r="183" spans="1:10" ht="15.75" thickBot="1">
      <c r="A183" s="355">
        <v>2</v>
      </c>
      <c r="B183" s="405" t="s">
        <v>111</v>
      </c>
      <c r="C183" s="392"/>
      <c r="D183" s="392">
        <v>159</v>
      </c>
      <c r="E183" s="392"/>
      <c r="F183" s="393">
        <f>F177-F182</f>
        <v>6567</v>
      </c>
      <c r="G183" s="392"/>
      <c r="H183" s="394">
        <f>H177-H182</f>
        <v>93550178.65</v>
      </c>
      <c r="I183" s="395">
        <f>I177-I182</f>
        <v>12806099.400000002</v>
      </c>
      <c r="J183" s="396">
        <f>H183/I183</f>
        <v>7.305126700016086</v>
      </c>
    </row>
    <row r="184" spans="1:10" s="70" customFormat="1" ht="15.75" thickBot="1">
      <c r="A184" s="397"/>
      <c r="B184" s="398"/>
      <c r="C184" s="399"/>
      <c r="D184" s="399">
        <f>SUM(D182:D183)</f>
        <v>173</v>
      </c>
      <c r="E184" s="399"/>
      <c r="F184" s="400">
        <f>SUM(F182:F183)</f>
        <v>8114</v>
      </c>
      <c r="G184" s="399"/>
      <c r="H184" s="401">
        <f>SUM(H182:H183)</f>
        <v>152397884.87</v>
      </c>
      <c r="I184" s="402">
        <f>SUM(I182:I183)</f>
        <v>22014101.400000002</v>
      </c>
      <c r="J184" s="403">
        <f>H184/I184</f>
        <v>6.922739297912019</v>
      </c>
    </row>
    <row r="185" spans="8:9" ht="12.75">
      <c r="H185" s="236"/>
      <c r="I185" s="370"/>
    </row>
    <row r="186" spans="8:9" ht="12.75">
      <c r="H186" s="236"/>
      <c r="I186" s="370"/>
    </row>
    <row r="187" spans="3:10" ht="12.75">
      <c r="C187" s="210" t="s">
        <v>340</v>
      </c>
      <c r="D187" s="239"/>
      <c r="E187" s="239"/>
      <c r="F187" s="239"/>
      <c r="G187" s="239"/>
      <c r="H187" s="239"/>
      <c r="I187" s="239"/>
      <c r="J187" s="239"/>
    </row>
    <row r="188" spans="3:10" ht="12.75">
      <c r="C188" s="239"/>
      <c r="D188" s="239"/>
      <c r="E188" s="239"/>
      <c r="F188" s="239"/>
      <c r="G188" s="239"/>
      <c r="H188" s="239"/>
      <c r="I188" s="239"/>
      <c r="J188" s="239"/>
    </row>
    <row r="189" spans="3:10" ht="12.75">
      <c r="C189" s="239"/>
      <c r="D189" s="239"/>
      <c r="E189" s="239"/>
      <c r="F189" s="239"/>
      <c r="G189" s="239"/>
      <c r="H189" s="239"/>
      <c r="I189" s="239"/>
      <c r="J189" s="239"/>
    </row>
    <row r="190" spans="3:10" ht="12.75">
      <c r="C190" s="239"/>
      <c r="D190" s="239"/>
      <c r="E190" s="239"/>
      <c r="F190" s="239"/>
      <c r="G190" s="239"/>
      <c r="H190" s="239"/>
      <c r="I190" s="239"/>
      <c r="J190" s="239"/>
    </row>
    <row r="191" spans="3:10" ht="12.75">
      <c r="C191" s="239"/>
      <c r="D191" s="239"/>
      <c r="E191" s="239"/>
      <c r="F191" s="239"/>
      <c r="G191" s="239"/>
      <c r="H191" s="239"/>
      <c r="I191" s="239"/>
      <c r="J191" s="239"/>
    </row>
    <row r="192" spans="3:10" ht="12.75">
      <c r="C192" s="239"/>
      <c r="D192" s="239"/>
      <c r="E192" s="239"/>
      <c r="F192" s="239"/>
      <c r="G192" s="239"/>
      <c r="H192" s="239"/>
      <c r="I192" s="239"/>
      <c r="J192" s="239"/>
    </row>
    <row r="193" spans="3:10" ht="12.75">
      <c r="C193" s="240"/>
      <c r="D193" s="240"/>
      <c r="E193" s="240"/>
      <c r="F193" s="240"/>
      <c r="G193" s="240"/>
      <c r="H193" s="371"/>
      <c r="I193" s="371"/>
      <c r="J193" s="240"/>
    </row>
    <row r="194" spans="3:10" ht="12.75">
      <c r="C194" s="241" t="s">
        <v>342</v>
      </c>
      <c r="D194" s="239"/>
      <c r="E194" s="239"/>
      <c r="F194" s="239"/>
      <c r="G194" s="239"/>
      <c r="H194" s="239"/>
      <c r="I194" s="239"/>
      <c r="J194" s="239"/>
    </row>
    <row r="195" spans="3:10" ht="12.75">
      <c r="C195" s="239"/>
      <c r="D195" s="239"/>
      <c r="E195" s="239"/>
      <c r="F195" s="239"/>
      <c r="G195" s="239"/>
      <c r="H195" s="239"/>
      <c r="I195" s="239"/>
      <c r="J195" s="239"/>
    </row>
    <row r="196" spans="3:10" ht="12.75">
      <c r="C196" s="239"/>
      <c r="D196" s="239"/>
      <c r="E196" s="239"/>
      <c r="F196" s="239"/>
      <c r="G196" s="239"/>
      <c r="H196" s="239"/>
      <c r="I196" s="239"/>
      <c r="J196" s="239"/>
    </row>
    <row r="197" spans="3:10" ht="12.75">
      <c r="C197" s="239"/>
      <c r="D197" s="239"/>
      <c r="E197" s="239"/>
      <c r="F197" s="239"/>
      <c r="G197" s="239"/>
      <c r="H197" s="239"/>
      <c r="I197" s="239"/>
      <c r="J197" s="239"/>
    </row>
    <row r="198" spans="3:10" ht="12.75">
      <c r="C198" s="239"/>
      <c r="D198" s="239"/>
      <c r="E198" s="239"/>
      <c r="F198" s="239"/>
      <c r="G198" s="239"/>
      <c r="H198" s="239"/>
      <c r="I198" s="239"/>
      <c r="J198" s="239"/>
    </row>
    <row r="199" spans="3:10" ht="12.75">
      <c r="C199" s="239"/>
      <c r="D199" s="239"/>
      <c r="E199" s="239"/>
      <c r="F199" s="239"/>
      <c r="G199" s="239"/>
      <c r="H199" s="239"/>
      <c r="I199" s="239"/>
      <c r="J199" s="239"/>
    </row>
    <row r="200" spans="3:10" ht="12.75">
      <c r="C200" s="242"/>
      <c r="D200" s="242"/>
      <c r="E200" s="242"/>
      <c r="F200" s="242"/>
      <c r="G200" s="242"/>
      <c r="H200" s="242"/>
      <c r="I200" s="242"/>
      <c r="J200" s="242"/>
    </row>
  </sheetData>
  <mergeCells count="21">
    <mergeCell ref="C187:J192"/>
    <mergeCell ref="C194:J200"/>
    <mergeCell ref="A1:J1"/>
    <mergeCell ref="A177:B177"/>
    <mergeCell ref="A178:B178"/>
    <mergeCell ref="A184:B184"/>
    <mergeCell ref="B2:B3"/>
    <mergeCell ref="C2:C3"/>
    <mergeCell ref="D2:D3"/>
    <mergeCell ref="E2:E3"/>
    <mergeCell ref="F2:F3"/>
    <mergeCell ref="G2:G3"/>
    <mergeCell ref="H2:I2"/>
    <mergeCell ref="J2:J3"/>
    <mergeCell ref="G180:G181"/>
    <mergeCell ref="H180:I180"/>
    <mergeCell ref="J180:J181"/>
    <mergeCell ref="B180:B181"/>
    <mergeCell ref="C180:C181"/>
    <mergeCell ref="D180:D181"/>
    <mergeCell ref="F180:F181"/>
  </mergeCells>
  <printOptions/>
  <pageMargins left="0.87" right="0.58" top="0.45" bottom="0.4724409448818898" header="0.11811023622047245" footer="0.4330708661417323"/>
  <pageSetup orientation="portrait" paperSize="9" scale="50" r:id="rId1"/>
  <ignoredErrors>
    <ignoredError sqref="I6:I75 H6:H7 H49:H75 H83:I146" unlockedFormula="1"/>
    <ignoredError sqref="H8:H48" numberStoredAsText="1" unlockedFormula="1"/>
    <ignoredError sqref="G8:G48 F97:G151 F155:G17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Warner Bros.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Gokhan Elyetistiren</dc:creator>
  <cp:keywords/>
  <dc:description/>
  <cp:lastModifiedBy>.</cp:lastModifiedBy>
  <cp:lastPrinted>2006-09-29T17:38:49Z</cp:lastPrinted>
  <dcterms:created xsi:type="dcterms:W3CDTF">2006-03-17T12:24:26Z</dcterms:created>
  <dcterms:modified xsi:type="dcterms:W3CDTF">2006-09-29T17:38:57Z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2046748808</vt:i4>
  </property>
  <property fmtid="{D5CDD505-2E9C-101B-9397-08002B2CF9AE}" pid="3" name="_EmailSubject">
    <vt:lpwstr>WB Weekly Box Office Report</vt:lpwstr>
  </property>
  <property fmtid="{D5CDD505-2E9C-101B-9397-08002B2CF9AE}" pid="4" name="_AuthorEmail">
    <vt:lpwstr>Gokhan.Elyetistiren@warnerbros.com</vt:lpwstr>
  </property>
  <property fmtid="{D5CDD505-2E9C-101B-9397-08002B2CF9AE}" pid="5" name="_AuthorEmailDisplayName">
    <vt:lpwstr>Elyetistiren, Gokhan</vt:lpwstr>
  </property>
  <property fmtid="{D5CDD505-2E9C-101B-9397-08002B2CF9AE}" pid="6" name="_ReviewingToolsShownOnce">
    <vt:lpwstr/>
  </property>
</Properties>
</file>