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50" windowHeight="9285" activeTab="0"/>
  </bookViews>
  <sheets>
    <sheet name="Bir Film Haftalık" sheetId="1" r:id="rId1"/>
    <sheet name="Bir Film Tüm Filmler" sheetId="2" r:id="rId2"/>
  </sheets>
  <definedNames>
    <definedName name="_xlnm.Print_Area" localSheetId="0">'Bir Film Haftalık'!$A$1:$L$29</definedName>
    <definedName name="_xlnm.Print_Area" localSheetId="1">'Bir Film Tüm Filmler'!$A$3:$N$81</definedName>
  </definedNames>
  <calcPr fullCalcOnLoad="1"/>
</workbook>
</file>

<file path=xl/sharedStrings.xml><?xml version="1.0" encoding="utf-8"?>
<sst xmlns="http://schemas.openxmlformats.org/spreadsheetml/2006/main" count="228" uniqueCount="141">
  <si>
    <t>FİLM</t>
  </si>
  <si>
    <t>ŞİRKET</t>
  </si>
  <si>
    <t>VİZYON
TARİHİ</t>
  </si>
  <si>
    <t>HAFTA</t>
  </si>
  <si>
    <t>SALON</t>
  </si>
  <si>
    <t>SEYİRCİ</t>
  </si>
  <si>
    <t>TOPLAM
SEYİRCİ</t>
  </si>
  <si>
    <t>TOPLAM</t>
  </si>
  <si>
    <t>HAFTALIK SEYİRCİ VE HASILAT RAPORU</t>
  </si>
  <si>
    <t>Kimden:</t>
  </si>
  <si>
    <t>Hafta:</t>
  </si>
  <si>
    <t>A TALE OF TWO SISTERS</t>
  </si>
  <si>
    <t>CINECLICK ASIA</t>
  </si>
  <si>
    <t>AUDITION</t>
  </si>
  <si>
    <t>CO PRODUC.</t>
  </si>
  <si>
    <t>WE DON'T LIVE HERE ANYMORE</t>
  </si>
  <si>
    <t>RENAISSANCE</t>
  </si>
  <si>
    <t>QUANDO UNA DONNA NON DORME</t>
  </si>
  <si>
    <t>EVIL</t>
  </si>
  <si>
    <t>NORDISK</t>
  </si>
  <si>
    <t>SECRET THINGS</t>
  </si>
  <si>
    <t>FILMS DIST.</t>
  </si>
  <si>
    <t>L'ITALIANO</t>
  </si>
  <si>
    <t>DOLLS</t>
  </si>
  <si>
    <t>CELLULOID</t>
  </si>
  <si>
    <t>ITALIAN FOR BEGINNERS</t>
  </si>
  <si>
    <t>TRUST FILMS</t>
  </si>
  <si>
    <t>THESIS</t>
  </si>
  <si>
    <t>SOGEPAQ</t>
  </si>
  <si>
    <t>TAPE</t>
  </si>
  <si>
    <t>BANK, THE</t>
  </si>
  <si>
    <t>AXIOM FILMS</t>
  </si>
  <si>
    <t>DONNIE DARKO</t>
  </si>
  <si>
    <t>PANDORA</t>
  </si>
  <si>
    <t>BAVARIA</t>
  </si>
  <si>
    <t>LILYA 4-EVER</t>
  </si>
  <si>
    <t>SEPTEMBER 11</t>
  </si>
  <si>
    <t>WILD BUNCH</t>
  </si>
  <si>
    <t>BATTLE ROYALE</t>
  </si>
  <si>
    <t>TOEI</t>
  </si>
  <si>
    <t>KURZ UND SCHMERZLOS</t>
  </si>
  <si>
    <t>FIVE OBSTRUCTIONS, THE</t>
  </si>
  <si>
    <t>NOI ALBINOI</t>
  </si>
  <si>
    <t>CASOMAI</t>
  </si>
  <si>
    <t>RAI TRADE</t>
  </si>
  <si>
    <t>JEUX D'ENFANTS</t>
  </si>
  <si>
    <t>KOPYA SAYISI</t>
  </si>
  <si>
    <t>WILBUR WANTS TO KILL HIMSELF</t>
  </si>
  <si>
    <t>SEARCHING FOR DEBRA WINGER</t>
  </si>
  <si>
    <t>LIMELIGHT</t>
  </si>
  <si>
    <t>RECONSTRUCTION</t>
  </si>
  <si>
    <t>SUPER SIZE ME</t>
  </si>
  <si>
    <t>EL ABRAZO PARTIDO</t>
  </si>
  <si>
    <t>HASILAT
(YTL)</t>
  </si>
  <si>
    <t>TOPLAM
HAFTA</t>
  </si>
  <si>
    <t xml:space="preserve">TOPLAM HASILAT </t>
  </si>
  <si>
    <t>CRYING OUT LOVE IN THE CENTER OF THE WORLD</t>
  </si>
  <si>
    <t>TOHO</t>
  </si>
  <si>
    <r>
      <t xml:space="preserve">                    TÜM FİLMLERİ </t>
    </r>
    <r>
      <rPr>
        <b/>
        <sz val="10"/>
        <color indexed="9"/>
        <rFont val="Arial"/>
        <family val="2"/>
      </rPr>
      <t>(Vizyon Sırasına Göre)</t>
    </r>
  </si>
  <si>
    <t>ACACIA</t>
  </si>
  <si>
    <t>MELEĞİN DÜŞÜŞÜ</t>
  </si>
  <si>
    <t>KAPLAN FİLM</t>
  </si>
  <si>
    <t>SILVER CITY</t>
  </si>
  <si>
    <t>NONSTOP SALES</t>
  </si>
  <si>
    <t>STRINGS</t>
  </si>
  <si>
    <t>THE HEART IS DECEITFUL ABOVE ALL THINGS</t>
  </si>
  <si>
    <t>THE OTHER SIDE OF THE STREET</t>
  </si>
  <si>
    <t>NOTRE MUSIQUE</t>
  </si>
  <si>
    <t>ENDURING LOVE</t>
  </si>
  <si>
    <t>LUTHER</t>
  </si>
  <si>
    <t>PATHE</t>
  </si>
  <si>
    <t>TOP. HASILAT 
(YTL)</t>
  </si>
  <si>
    <t>LES REVENANTS</t>
  </si>
  <si>
    <t>BLUEBERRY</t>
  </si>
  <si>
    <t>SAMARITAN GIRL (Samaria)</t>
  </si>
  <si>
    <t>HYPNOS</t>
  </si>
  <si>
    <t>FILMAX</t>
  </si>
  <si>
    <t>DARK WATER (RE-RELEASE)</t>
  </si>
  <si>
    <t>LES TEXTILES</t>
  </si>
  <si>
    <t>TROUBLE</t>
  </si>
  <si>
    <t>TF 1</t>
  </si>
  <si>
    <t>BİR F. - ERMAN F.</t>
  </si>
  <si>
    <t>TONY TAKITANI</t>
  </si>
  <si>
    <t>LIMON</t>
  </si>
  <si>
    <t>Pİ FİLM</t>
  </si>
  <si>
    <t>İRFAN FİLM</t>
  </si>
  <si>
    <t>AS IT IS IN HEAVEN</t>
  </si>
  <si>
    <t>YOUNG ADAM</t>
  </si>
  <si>
    <t>LIMON - UGC</t>
  </si>
  <si>
    <t>VA, VIE &amp; DEVIENS (LIVE &amp; BECOME)</t>
  </si>
  <si>
    <t>DEAR WENDY</t>
  </si>
  <si>
    <t>SIR F. - TRUST F.</t>
  </si>
  <si>
    <t>MANDERLAY</t>
  </si>
  <si>
    <t>MILLIONS</t>
  </si>
  <si>
    <t>BOW, THE</t>
  </si>
  <si>
    <t>STRAY DOGS</t>
  </si>
  <si>
    <t>LIMON - WILD BUNCH</t>
  </si>
  <si>
    <t>RED SHOES</t>
  </si>
  <si>
    <t>DARK HORSE</t>
  </si>
  <si>
    <t>RABBIT ON THE MOON</t>
  </si>
  <si>
    <t>LIMON - CAPITOL</t>
  </si>
  <si>
    <t>DANDELION</t>
  </si>
  <si>
    <t>SUGARWORKZ - WILD B.</t>
  </si>
  <si>
    <t>SEX &amp; PHILOSOPHY</t>
  </si>
  <si>
    <t>Kemal URAL</t>
  </si>
  <si>
    <t>STOLEN EYES</t>
  </si>
  <si>
    <t>YAKA FILM</t>
  </si>
  <si>
    <t>LE GRAND VOYAGE</t>
  </si>
  <si>
    <t>ASKD - PYRAMIDE</t>
  </si>
  <si>
    <t>FATELESS</t>
  </si>
  <si>
    <t>H20</t>
  </si>
  <si>
    <t>JOYEUX NOEL</t>
  </si>
  <si>
    <t>MON ANGE</t>
  </si>
  <si>
    <t>MK2</t>
  </si>
  <si>
    <t>ENTRE SES MAINS</t>
  </si>
  <si>
    <t>ERMAN F. - PATHE</t>
  </si>
  <si>
    <t>ALLEGRO</t>
  </si>
  <si>
    <t>FALSCHER BEKENNER</t>
  </si>
  <si>
    <t>LE TEMPS QUI RESTE</t>
  </si>
  <si>
    <t>Pİ FİLM - CELLULOID</t>
  </si>
  <si>
    <t>ETERNAL SUNSHINE OF THE SPOTLESS MIND</t>
  </si>
  <si>
    <t>CINEMEDYA - FOCUS</t>
  </si>
  <si>
    <t>C.R.A.Z.Y.</t>
  </si>
  <si>
    <t>BIN JIP (3 Iron)</t>
  </si>
  <si>
    <t>HOWL'S MOVING CASTLE</t>
  </si>
  <si>
    <t>TAKESHIS</t>
  </si>
  <si>
    <t>TEXAS CHAINSAW MASSACRE, THE</t>
  </si>
  <si>
    <t>FROSTBITE</t>
  </si>
  <si>
    <t>BİR FİLM - CINEMEDYA</t>
  </si>
  <si>
    <t>THUMBSUCKER</t>
  </si>
  <si>
    <t>AVŞAR - TMC</t>
  </si>
  <si>
    <t>KOPYA ADEDİ</t>
  </si>
  <si>
    <t>TRUST</t>
  </si>
  <si>
    <t>IM JULI</t>
  </si>
  <si>
    <t>LİMON</t>
  </si>
  <si>
    <t>2006 / 28</t>
  </si>
  <si>
    <t>07 - 13 Temmuz 2006</t>
  </si>
  <si>
    <r>
      <t>13 Temmuz 2006</t>
    </r>
    <r>
      <rPr>
        <b/>
        <sz val="14"/>
        <color indexed="9"/>
        <rFont val="Arial"/>
        <family val="2"/>
      </rPr>
      <t xml:space="preserve"> İtibarı ile</t>
    </r>
  </si>
  <si>
    <t>A BITTERSWEET LIFE</t>
  </si>
  <si>
    <t>COMPANY, THE</t>
  </si>
  <si>
    <t>EFLATUN</t>
  </si>
</sst>
</file>

<file path=xl/styles.xml><?xml version="1.0" encoding="utf-8"?>
<styleSheet xmlns="http://schemas.openxmlformats.org/spreadsheetml/2006/main">
  <numFmts count="2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d\ mmmm\ yyyy\ dddd"/>
    <numFmt numFmtId="173" formatCode="dd/mm/yy;@"/>
    <numFmt numFmtId="174" formatCode="_-* #,##0;\-* #,##0.00\ _T_L_-;_-* &quot;-&quot;??\ _T_L_-;_-@_-"/>
    <numFmt numFmtId="175" formatCode="#,##0\ \ _-"/>
    <numFmt numFmtId="176" formatCode="#,##0_-"/>
    <numFmt numFmtId="177" formatCode="#,##0\ \-"/>
    <numFmt numFmtId="178" formatCode="#,##0.0"/>
  </numFmts>
  <fonts count="30">
    <font>
      <sz val="10"/>
      <name val="Arial"/>
      <family val="0"/>
    </font>
    <font>
      <sz val="8"/>
      <name val="Arial"/>
      <family val="0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8"/>
      <color indexed="33"/>
      <name val="Arial"/>
      <family val="2"/>
    </font>
    <font>
      <sz val="12"/>
      <name val="Verdana"/>
      <family val="2"/>
    </font>
    <font>
      <b/>
      <sz val="11"/>
      <name val="Arial Black"/>
      <family val="2"/>
    </font>
    <font>
      <b/>
      <sz val="13"/>
      <color indexed="13"/>
      <name val="Verdana"/>
      <family val="2"/>
    </font>
    <font>
      <sz val="13"/>
      <color indexed="13"/>
      <name val="Arial"/>
      <family val="0"/>
    </font>
    <font>
      <b/>
      <sz val="12"/>
      <color indexed="10"/>
      <name val="Arial"/>
      <family val="2"/>
    </font>
    <font>
      <b/>
      <sz val="11"/>
      <color indexed="9"/>
      <name val="Arial Black"/>
      <family val="2"/>
    </font>
    <font>
      <b/>
      <sz val="12"/>
      <color indexed="18"/>
      <name val="Arial"/>
      <family val="2"/>
    </font>
    <font>
      <sz val="12"/>
      <name val="Arial"/>
      <family val="0"/>
    </font>
    <font>
      <b/>
      <sz val="10"/>
      <color indexed="9"/>
      <name val="Arial"/>
      <family val="2"/>
    </font>
    <font>
      <b/>
      <sz val="20"/>
      <color indexed="9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sz val="11"/>
      <color indexed="9"/>
      <name val="Franklin Gothic Medium"/>
      <family val="2"/>
    </font>
    <font>
      <sz val="11"/>
      <name val="Verdana"/>
      <family val="2"/>
    </font>
    <font>
      <b/>
      <sz val="10"/>
      <name val="Arial Black"/>
      <family val="2"/>
    </font>
    <font>
      <b/>
      <sz val="21"/>
      <color indexed="18"/>
      <name val="Arial"/>
      <family val="2"/>
    </font>
    <font>
      <sz val="21"/>
      <color indexed="18"/>
      <name val="Arial"/>
      <family val="2"/>
    </font>
    <font>
      <b/>
      <sz val="13"/>
      <color indexed="12"/>
      <name val="Bodoni BT"/>
      <family val="1"/>
    </font>
    <font>
      <b/>
      <sz val="13"/>
      <name val="Franklin Gothic Medium"/>
      <family val="2"/>
    </font>
    <font>
      <b/>
      <sz val="12"/>
      <name val="Arial"/>
      <family val="2"/>
    </font>
    <font>
      <b/>
      <sz val="12"/>
      <color indexed="10"/>
      <name val="Verdana"/>
      <family val="2"/>
    </font>
    <font>
      <sz val="10"/>
      <name val="Verdana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dashed">
        <color indexed="9"/>
      </left>
      <right style="dashed">
        <color indexed="9"/>
      </right>
      <top style="medium"/>
      <bottom style="medium"/>
    </border>
    <border>
      <left style="dashed">
        <color indexed="9"/>
      </left>
      <right style="medium"/>
      <top style="medium"/>
      <bottom style="medium"/>
    </border>
    <border>
      <left>
        <color indexed="63"/>
      </left>
      <right style="dashed">
        <color indexed="9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9" fontId="6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17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/>
    </xf>
    <xf numFmtId="176" fontId="8" fillId="3" borderId="4" xfId="0" applyNumberFormat="1" applyFont="1" applyFill="1" applyBorder="1" applyAlignment="1">
      <alignment horizontal="right" vertical="center"/>
    </xf>
    <xf numFmtId="176" fontId="8" fillId="3" borderId="5" xfId="0" applyNumberFormat="1" applyFont="1" applyFill="1" applyBorder="1" applyAlignment="1">
      <alignment horizontal="right" vertical="center"/>
    </xf>
    <xf numFmtId="176" fontId="12" fillId="0" borderId="0" xfId="0" applyNumberFormat="1" applyFont="1" applyAlignment="1">
      <alignment horizontal="right" vertical="center"/>
    </xf>
    <xf numFmtId="0" fontId="9" fillId="3" borderId="6" xfId="0" applyFont="1" applyFill="1" applyBorder="1" applyAlignment="1">
      <alignment vertical="center"/>
    </xf>
    <xf numFmtId="3" fontId="8" fillId="3" borderId="6" xfId="0" applyNumberFormat="1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 wrapText="1"/>
    </xf>
    <xf numFmtId="173" fontId="6" fillId="4" borderId="1" xfId="0" applyNumberFormat="1" applyFont="1" applyFill="1" applyBorder="1" applyAlignment="1">
      <alignment horizontal="center" vertical="center"/>
    </xf>
    <xf numFmtId="173" fontId="13" fillId="4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right" vertical="center"/>
    </xf>
    <xf numFmtId="0" fontId="18" fillId="5" borderId="7" xfId="0" applyFont="1" applyFill="1" applyBorder="1" applyAlignment="1">
      <alignment horizontal="center" vertical="center" wrapText="1"/>
    </xf>
    <xf numFmtId="4" fontId="8" fillId="3" borderId="4" xfId="0" applyNumberFormat="1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vertical="center" wrapText="1"/>
    </xf>
    <xf numFmtId="49" fontId="19" fillId="0" borderId="1" xfId="0" applyNumberFormat="1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176" fontId="1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3" fillId="6" borderId="8" xfId="0" applyFont="1" applyFill="1" applyBorder="1" applyAlignment="1">
      <alignment horizontal="right" vertical="center"/>
    </xf>
    <xf numFmtId="0" fontId="24" fillId="6" borderId="9" xfId="0" applyFont="1" applyFill="1" applyBorder="1" applyAlignment="1">
      <alignment horizontal="center" vertical="center"/>
    </xf>
    <xf numFmtId="0" fontId="23" fillId="6" borderId="10" xfId="0" applyFont="1" applyFill="1" applyBorder="1" applyAlignment="1">
      <alignment horizontal="right" vertical="center"/>
    </xf>
    <xf numFmtId="0" fontId="24" fillId="6" borderId="11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173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49" fontId="19" fillId="0" borderId="1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6" fontId="25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76" fontId="25" fillId="0" borderId="0" xfId="0" applyNumberFormat="1" applyFont="1" applyFill="1" applyAlignment="1">
      <alignment horizontal="center" vertical="center"/>
    </xf>
    <xf numFmtId="0" fontId="0" fillId="6" borderId="0" xfId="0" applyFont="1" applyFill="1" applyAlignment="1">
      <alignment vertical="center"/>
    </xf>
    <xf numFmtId="176" fontId="26" fillId="0" borderId="0" xfId="0" applyNumberFormat="1" applyFont="1" applyFill="1" applyAlignment="1">
      <alignment vertical="center"/>
    </xf>
    <xf numFmtId="0" fontId="27" fillId="0" borderId="0" xfId="0" applyFont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4" fillId="6" borderId="12" xfId="0" applyFont="1" applyFill="1" applyBorder="1" applyAlignment="1">
      <alignment horizontal="center" vertical="center"/>
    </xf>
    <xf numFmtId="0" fontId="24" fillId="6" borderId="13" xfId="0" applyFont="1" applyFill="1" applyBorder="1" applyAlignment="1">
      <alignment horizontal="center" vertical="center"/>
    </xf>
    <xf numFmtId="0" fontId="21" fillId="6" borderId="0" xfId="0" applyFont="1" applyFill="1" applyAlignment="1">
      <alignment horizontal="center" vertical="center"/>
    </xf>
    <xf numFmtId="0" fontId="22" fillId="6" borderId="0" xfId="0" applyFont="1" applyFill="1" applyAlignment="1">
      <alignment vertical="center"/>
    </xf>
    <xf numFmtId="0" fontId="22" fillId="6" borderId="14" xfId="0" applyFont="1" applyFill="1" applyBorder="1" applyAlignment="1">
      <alignment vertical="center"/>
    </xf>
    <xf numFmtId="0" fontId="8" fillId="3" borderId="15" xfId="0" applyFont="1" applyFill="1" applyBorder="1" applyAlignment="1">
      <alignment horizontal="right" vertical="center"/>
    </xf>
    <xf numFmtId="0" fontId="9" fillId="3" borderId="16" xfId="0" applyFont="1" applyFill="1" applyBorder="1" applyAlignment="1">
      <alignment vertical="center"/>
    </xf>
    <xf numFmtId="0" fontId="9" fillId="3" borderId="6" xfId="0" applyFont="1" applyFill="1" applyBorder="1" applyAlignment="1">
      <alignment vertical="center"/>
    </xf>
    <xf numFmtId="0" fontId="17" fillId="5" borderId="17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15" fillId="5" borderId="16" xfId="0" applyFont="1" applyFill="1" applyBorder="1" applyAlignment="1">
      <alignment horizontal="center" vertical="center"/>
    </xf>
    <xf numFmtId="0" fontId="15" fillId="5" borderId="15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4</xdr:row>
      <xdr:rowOff>0</xdr:rowOff>
    </xdr:from>
    <xdr:to>
      <xdr:col>11</xdr:col>
      <xdr:colOff>942975</xdr:colOff>
      <xdr:row>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23875" y="790575"/>
          <a:ext cx="13154025" cy="0"/>
        </a:xfrm>
        <a:prstGeom prst="rect">
          <a:avLst/>
        </a:prstGeom>
        <a:solidFill>
          <a:srgbClr val="FFFFFF"/>
        </a:solidFill>
        <a:ln w="38100" cmpd="dbl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4</xdr:row>
      <xdr:rowOff>0</xdr:rowOff>
    </xdr:from>
    <xdr:to>
      <xdr:col>9</xdr:col>
      <xdr:colOff>819150</xdr:colOff>
      <xdr:row>4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362450" y="790575"/>
          <a:ext cx="7067550" cy="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HAFTALIK SEYİRCİ VE HASILAT RAPORU</a:t>
          </a:r>
        </a:p>
      </xdr:txBody>
    </xdr:sp>
    <xdr:clientData/>
  </xdr:twoCellAnchor>
  <xdr:twoCellAnchor>
    <xdr:from>
      <xdr:col>8</xdr:col>
      <xdr:colOff>866775</xdr:colOff>
      <xdr:row>4</xdr:row>
      <xdr:rowOff>0</xdr:rowOff>
    </xdr:from>
    <xdr:to>
      <xdr:col>11</xdr:col>
      <xdr:colOff>914400</xdr:colOff>
      <xdr:row>4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0610850" y="790575"/>
          <a:ext cx="3038475" cy="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Hafta: 22
28 Mayıs - 04 Haziran 2004
Kimden: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Kemal URAL</a:t>
          </a:r>
        </a:p>
      </xdr:txBody>
    </xdr:sp>
    <xdr:clientData/>
  </xdr:twoCellAnchor>
  <xdr:twoCellAnchor editAs="oneCell">
    <xdr:from>
      <xdr:col>1</xdr:col>
      <xdr:colOff>666750</xdr:colOff>
      <xdr:row>1</xdr:row>
      <xdr:rowOff>47625</xdr:rowOff>
    </xdr:from>
    <xdr:to>
      <xdr:col>1</xdr:col>
      <xdr:colOff>1371600</xdr:colOff>
      <xdr:row>3</xdr:row>
      <xdr:rowOff>190500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152400"/>
          <a:ext cx="7048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0</xdr:rowOff>
    </xdr:from>
    <xdr:to>
      <xdr:col>13</xdr:col>
      <xdr:colOff>942975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57200" y="0"/>
          <a:ext cx="13315950" cy="0"/>
        </a:xfrm>
        <a:prstGeom prst="rect">
          <a:avLst/>
        </a:prstGeom>
        <a:solidFill>
          <a:srgbClr val="FFFFFF"/>
        </a:solidFill>
        <a:ln w="38100" cmpd="dbl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0</xdr:row>
      <xdr:rowOff>0</xdr:rowOff>
    </xdr:from>
    <xdr:to>
      <xdr:col>9</xdr:col>
      <xdr:colOff>819150</xdr:colOff>
      <xdr:row>0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514850" y="0"/>
          <a:ext cx="6210300" cy="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HAFTALIK SEYİRCİ VE HASILAT RAPORU</a:t>
          </a:r>
        </a:p>
      </xdr:txBody>
    </xdr:sp>
    <xdr:clientData/>
  </xdr:twoCellAnchor>
  <xdr:twoCellAnchor>
    <xdr:from>
      <xdr:col>8</xdr:col>
      <xdr:colOff>762000</xdr:colOff>
      <xdr:row>0</xdr:row>
      <xdr:rowOff>0</xdr:rowOff>
    </xdr:from>
    <xdr:to>
      <xdr:col>13</xdr:col>
      <xdr:colOff>914400</xdr:colOff>
      <xdr:row>0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9906000" y="0"/>
          <a:ext cx="3838575" cy="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Hafta: 22
28 Mayıs - 04 Haziran 2004
Kimden: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Kemal URAL</a:t>
          </a:r>
        </a:p>
      </xdr:txBody>
    </xdr:sp>
    <xdr:clientData/>
  </xdr:twoCellAnchor>
  <xdr:twoCellAnchor editAs="oneCell">
    <xdr:from>
      <xdr:col>1</xdr:col>
      <xdr:colOff>1247775</xdr:colOff>
      <xdr:row>1</xdr:row>
      <xdr:rowOff>76200</xdr:rowOff>
    </xdr:from>
    <xdr:to>
      <xdr:col>1</xdr:col>
      <xdr:colOff>2076450</xdr:colOff>
      <xdr:row>1</xdr:row>
      <xdr:rowOff>790575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133350"/>
          <a:ext cx="8286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6.28125" style="33" bestFit="1" customWidth="1"/>
    <col min="2" max="2" width="55.7109375" style="34" bestFit="1" customWidth="1"/>
    <col min="3" max="3" width="33.140625" style="34" bestFit="1" customWidth="1"/>
    <col min="4" max="4" width="13.140625" style="34" bestFit="1" customWidth="1"/>
    <col min="5" max="5" width="13.140625" style="34" customWidth="1"/>
    <col min="6" max="6" width="1.57421875" style="34" customWidth="1"/>
    <col min="7" max="8" width="11.57421875" style="34" customWidth="1"/>
    <col min="9" max="9" width="13.00390625" style="34" bestFit="1" customWidth="1"/>
    <col min="10" max="10" width="19.140625" style="34" bestFit="1" customWidth="1"/>
    <col min="11" max="11" width="12.7109375" style="34" bestFit="1" customWidth="1"/>
    <col min="12" max="12" width="18.00390625" style="34" customWidth="1"/>
    <col min="13" max="13" width="4.00390625" style="55" customWidth="1"/>
    <col min="14" max="16384" width="9.140625" style="35" customWidth="1"/>
  </cols>
  <sheetData>
    <row r="1" spans="1:12" ht="8.25" customHeight="1" thickBot="1">
      <c r="A1" s="49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8" customHeight="1">
      <c r="A2" s="49"/>
      <c r="B2" s="52"/>
      <c r="C2" s="61" t="s">
        <v>8</v>
      </c>
      <c r="D2" s="61"/>
      <c r="E2" s="61"/>
      <c r="F2" s="61"/>
      <c r="G2" s="61"/>
      <c r="H2" s="61"/>
      <c r="I2" s="62"/>
      <c r="J2" s="63"/>
      <c r="K2" s="37" t="s">
        <v>10</v>
      </c>
      <c r="L2" s="38" t="s">
        <v>135</v>
      </c>
    </row>
    <row r="3" spans="1:12" ht="18" customHeight="1" thickBot="1">
      <c r="A3" s="49"/>
      <c r="B3" s="52"/>
      <c r="C3" s="62"/>
      <c r="D3" s="62"/>
      <c r="E3" s="62"/>
      <c r="F3" s="62"/>
      <c r="G3" s="62"/>
      <c r="H3" s="62"/>
      <c r="I3" s="62"/>
      <c r="J3" s="63"/>
      <c r="K3" s="59" t="s">
        <v>136</v>
      </c>
      <c r="L3" s="60"/>
    </row>
    <row r="4" spans="1:12" ht="18" customHeight="1" thickBot="1">
      <c r="A4" s="49"/>
      <c r="B4" s="52"/>
      <c r="C4" s="62"/>
      <c r="D4" s="62"/>
      <c r="E4" s="62"/>
      <c r="F4" s="62"/>
      <c r="G4" s="62"/>
      <c r="H4" s="62"/>
      <c r="I4" s="62"/>
      <c r="J4" s="63"/>
      <c r="K4" s="39" t="s">
        <v>9</v>
      </c>
      <c r="L4" s="40" t="s">
        <v>104</v>
      </c>
    </row>
    <row r="5" spans="1:12" ht="10.5" customHeight="1" thickBot="1">
      <c r="A5" s="49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3" s="36" customFormat="1" ht="39" customHeight="1" thickBot="1">
      <c r="A6" s="51"/>
      <c r="B6" s="8" t="s">
        <v>0</v>
      </c>
      <c r="C6" s="9" t="s">
        <v>1</v>
      </c>
      <c r="D6" s="10" t="s">
        <v>2</v>
      </c>
      <c r="E6" s="10" t="s">
        <v>131</v>
      </c>
      <c r="F6" s="10"/>
      <c r="G6" s="32" t="s">
        <v>3</v>
      </c>
      <c r="H6" s="32" t="s">
        <v>4</v>
      </c>
      <c r="I6" s="10" t="s">
        <v>5</v>
      </c>
      <c r="J6" s="10" t="s">
        <v>53</v>
      </c>
      <c r="K6" s="10" t="s">
        <v>6</v>
      </c>
      <c r="L6" s="10" t="s">
        <v>55</v>
      </c>
      <c r="M6" s="55"/>
    </row>
    <row r="7" spans="1:13" s="54" customFormat="1" ht="24.75" customHeight="1">
      <c r="A7" s="53">
        <v>1</v>
      </c>
      <c r="B7" s="3" t="s">
        <v>126</v>
      </c>
      <c r="C7" s="4" t="s">
        <v>121</v>
      </c>
      <c r="D7" s="5">
        <v>38891</v>
      </c>
      <c r="E7" s="6">
        <v>45</v>
      </c>
      <c r="F7" s="5"/>
      <c r="G7" s="6">
        <v>3</v>
      </c>
      <c r="H7" s="6">
        <v>47</v>
      </c>
      <c r="I7" s="7">
        <v>13506</v>
      </c>
      <c r="J7" s="27">
        <v>83531.5</v>
      </c>
      <c r="K7" s="7">
        <f>20153+14417+13506</f>
        <v>48076</v>
      </c>
      <c r="L7" s="27">
        <f>154658.5+107804+83531.5</f>
        <v>345994</v>
      </c>
      <c r="M7" s="58"/>
    </row>
    <row r="8" spans="1:13" s="54" customFormat="1" ht="24.75" customHeight="1">
      <c r="A8" s="53">
        <v>2</v>
      </c>
      <c r="B8" s="3" t="s">
        <v>127</v>
      </c>
      <c r="C8" s="4" t="s">
        <v>128</v>
      </c>
      <c r="D8" s="5">
        <v>38898</v>
      </c>
      <c r="E8" s="6">
        <v>47</v>
      </c>
      <c r="F8" s="5"/>
      <c r="G8" s="6">
        <v>2</v>
      </c>
      <c r="H8" s="6">
        <v>48</v>
      </c>
      <c r="I8" s="7">
        <v>9021</v>
      </c>
      <c r="J8" s="27">
        <v>66057</v>
      </c>
      <c r="K8" s="7">
        <f>11470+9021</f>
        <v>20491</v>
      </c>
      <c r="L8" s="27">
        <f>88058+66057</f>
        <v>154115</v>
      </c>
      <c r="M8" s="58"/>
    </row>
    <row r="9" spans="1:13" s="54" customFormat="1" ht="24.75" customHeight="1">
      <c r="A9" s="53">
        <v>3</v>
      </c>
      <c r="B9" s="3" t="s">
        <v>120</v>
      </c>
      <c r="C9" s="4" t="s">
        <v>121</v>
      </c>
      <c r="D9" s="5">
        <v>38863</v>
      </c>
      <c r="E9" s="6">
        <v>35</v>
      </c>
      <c r="F9" s="5"/>
      <c r="G9" s="6">
        <v>7</v>
      </c>
      <c r="H9" s="6">
        <v>32</v>
      </c>
      <c r="I9" s="7">
        <v>6684</v>
      </c>
      <c r="J9" s="27">
        <v>36570.5</v>
      </c>
      <c r="K9" s="7">
        <f>19608+17668+11309+10378+6088+6513+6684</f>
        <v>78248</v>
      </c>
      <c r="L9" s="27">
        <f>149883.5+135641.5+82301.5+72589.5+39819+39540+36570.5</f>
        <v>556345.5</v>
      </c>
      <c r="M9" s="58"/>
    </row>
    <row r="10" spans="1:13" s="54" customFormat="1" ht="24.75" customHeight="1">
      <c r="A10" s="53">
        <v>4</v>
      </c>
      <c r="B10" s="3" t="s">
        <v>124</v>
      </c>
      <c r="C10" s="4" t="s">
        <v>37</v>
      </c>
      <c r="D10" s="5">
        <v>38877</v>
      </c>
      <c r="E10" s="6">
        <v>64</v>
      </c>
      <c r="F10" s="5"/>
      <c r="G10" s="6">
        <v>5</v>
      </c>
      <c r="H10" s="6">
        <v>39</v>
      </c>
      <c r="I10" s="7">
        <v>2315</v>
      </c>
      <c r="J10" s="27">
        <v>12618.5</v>
      </c>
      <c r="K10" s="7">
        <f>14426+9567+3182+3017+2315</f>
        <v>32507</v>
      </c>
      <c r="L10" s="27">
        <f>94169.5+63426.5+19841+16453.5+12618.5</f>
        <v>206509</v>
      </c>
      <c r="M10" s="58"/>
    </row>
    <row r="11" spans="1:13" s="54" customFormat="1" ht="24.75" customHeight="1">
      <c r="A11" s="53">
        <v>5</v>
      </c>
      <c r="B11" s="3" t="s">
        <v>138</v>
      </c>
      <c r="C11" s="4" t="s">
        <v>140</v>
      </c>
      <c r="D11" s="5">
        <v>38905</v>
      </c>
      <c r="E11" s="6">
        <v>10</v>
      </c>
      <c r="F11" s="5"/>
      <c r="G11" s="6">
        <v>1</v>
      </c>
      <c r="H11" s="6">
        <v>10</v>
      </c>
      <c r="I11" s="7">
        <v>1361</v>
      </c>
      <c r="J11" s="27">
        <v>13259</v>
      </c>
      <c r="K11" s="7">
        <f>1361</f>
        <v>1361</v>
      </c>
      <c r="L11" s="27">
        <f>13259</f>
        <v>13259</v>
      </c>
      <c r="M11" s="58"/>
    </row>
    <row r="12" spans="1:13" s="54" customFormat="1" ht="24.75" customHeight="1">
      <c r="A12" s="53">
        <v>6</v>
      </c>
      <c r="B12" s="3" t="s">
        <v>122</v>
      </c>
      <c r="C12" s="4" t="s">
        <v>21</v>
      </c>
      <c r="D12" s="5">
        <v>38870</v>
      </c>
      <c r="E12" s="6">
        <v>5</v>
      </c>
      <c r="F12" s="5"/>
      <c r="G12" s="6">
        <v>6</v>
      </c>
      <c r="H12" s="6">
        <v>5</v>
      </c>
      <c r="I12" s="7">
        <v>996</v>
      </c>
      <c r="J12" s="27">
        <v>7379.5</v>
      </c>
      <c r="K12" s="7">
        <f>2709+885+473+442+218+235+996</f>
        <v>5958</v>
      </c>
      <c r="L12" s="27">
        <f>20882.25+8209.5+3896+2400+1136+1611+7379.5</f>
        <v>45514.25</v>
      </c>
      <c r="M12" s="58"/>
    </row>
    <row r="13" spans="1:13" s="54" customFormat="1" ht="24.75" customHeight="1">
      <c r="A13" s="53">
        <v>7</v>
      </c>
      <c r="B13" s="3" t="s">
        <v>139</v>
      </c>
      <c r="C13" s="4" t="s">
        <v>130</v>
      </c>
      <c r="D13" s="5">
        <v>38905</v>
      </c>
      <c r="E13" s="6">
        <v>5</v>
      </c>
      <c r="F13" s="5"/>
      <c r="G13" s="6">
        <v>1</v>
      </c>
      <c r="H13" s="6">
        <v>5</v>
      </c>
      <c r="I13" s="7">
        <v>922</v>
      </c>
      <c r="J13" s="27">
        <v>8511</v>
      </c>
      <c r="K13" s="7">
        <f>922</f>
        <v>922</v>
      </c>
      <c r="L13" s="27">
        <f>8511</f>
        <v>8511</v>
      </c>
      <c r="M13" s="58"/>
    </row>
    <row r="14" spans="1:13" s="54" customFormat="1" ht="24.75" customHeight="1">
      <c r="A14" s="53">
        <v>8</v>
      </c>
      <c r="B14" s="3" t="s">
        <v>129</v>
      </c>
      <c r="C14" s="4" t="s">
        <v>130</v>
      </c>
      <c r="D14" s="5">
        <v>38898</v>
      </c>
      <c r="E14" s="6">
        <v>5</v>
      </c>
      <c r="F14" s="5"/>
      <c r="G14" s="6">
        <v>2</v>
      </c>
      <c r="H14" s="6">
        <v>5</v>
      </c>
      <c r="I14" s="7">
        <v>441</v>
      </c>
      <c r="J14" s="27">
        <v>3573</v>
      </c>
      <c r="K14" s="7">
        <f>756+441</f>
        <v>1197</v>
      </c>
      <c r="L14" s="27">
        <f>6551.5+3573</f>
        <v>10124.5</v>
      </c>
      <c r="M14" s="58"/>
    </row>
    <row r="15" spans="1:13" s="54" customFormat="1" ht="24" customHeight="1">
      <c r="A15" s="53">
        <v>9</v>
      </c>
      <c r="B15" s="3" t="s">
        <v>107</v>
      </c>
      <c r="C15" s="4" t="s">
        <v>108</v>
      </c>
      <c r="D15" s="5">
        <v>38779</v>
      </c>
      <c r="E15" s="6">
        <v>10</v>
      </c>
      <c r="F15" s="6"/>
      <c r="G15" s="6">
        <v>18</v>
      </c>
      <c r="H15" s="6">
        <v>2</v>
      </c>
      <c r="I15" s="7">
        <v>361</v>
      </c>
      <c r="J15" s="27">
        <v>2033</v>
      </c>
      <c r="K15" s="7">
        <f>2548+994+309+438+475+587+190+1491+27+979+277+594+475+870+277+75+26+361</f>
        <v>10993</v>
      </c>
      <c r="L15" s="27">
        <f>19635+7029.5+1939.5+1932.5+1425+2285+846+5995.5+272.5+3026+831+1782+1425+2693.5+831+321+104+2033</f>
        <v>54407</v>
      </c>
      <c r="M15" s="58"/>
    </row>
    <row r="16" spans="1:13" s="2" customFormat="1" ht="24.75" customHeight="1">
      <c r="A16" s="53">
        <v>10</v>
      </c>
      <c r="B16" s="3" t="s">
        <v>109</v>
      </c>
      <c r="C16" s="4" t="s">
        <v>110</v>
      </c>
      <c r="D16" s="5">
        <v>38779</v>
      </c>
      <c r="E16" s="6">
        <v>6</v>
      </c>
      <c r="F16" s="6"/>
      <c r="G16" s="6">
        <v>7</v>
      </c>
      <c r="H16" s="6">
        <v>6</v>
      </c>
      <c r="I16" s="7">
        <v>332</v>
      </c>
      <c r="J16" s="27">
        <v>2312</v>
      </c>
      <c r="K16" s="7">
        <f>1039+275+26+515+419+32+332</f>
        <v>2638</v>
      </c>
      <c r="L16" s="27">
        <f>9397.5+2137+188+1545+1416+96+2312</f>
        <v>17091.5</v>
      </c>
      <c r="M16" s="58"/>
    </row>
    <row r="17" spans="1:13" s="54" customFormat="1" ht="24.75" customHeight="1">
      <c r="A17" s="53">
        <v>11</v>
      </c>
      <c r="B17" s="3" t="s">
        <v>97</v>
      </c>
      <c r="C17" s="4" t="s">
        <v>12</v>
      </c>
      <c r="D17" s="5">
        <v>38716</v>
      </c>
      <c r="E17" s="6">
        <v>9</v>
      </c>
      <c r="F17" s="5"/>
      <c r="G17" s="6">
        <v>26</v>
      </c>
      <c r="H17" s="6">
        <v>3</v>
      </c>
      <c r="I17" s="7">
        <v>254</v>
      </c>
      <c r="J17" s="27">
        <v>786</v>
      </c>
      <c r="K17" s="7">
        <f>5101+2761+1545+448+1608+159+304+206+436+246+162+276+329+246+181+254+303+684+2148+666+66+111+863+472+372+254</f>
        <v>20201</v>
      </c>
      <c r="L17" s="27">
        <f>41335+22428+10569.5+2994.5+6995.5+477+1541+1030+1308+1168.5+974+1343+1399+1115+913+1257+1859.5+2654.5+10471+2543+294+573+4437+2101.5+1610+786</f>
        <v>124177.5</v>
      </c>
      <c r="M17" s="58"/>
    </row>
    <row r="18" spans="1:13" s="48" customFormat="1" ht="24.75" customHeight="1">
      <c r="A18" s="53">
        <v>12</v>
      </c>
      <c r="B18" s="3" t="s">
        <v>98</v>
      </c>
      <c r="C18" s="4" t="s">
        <v>132</v>
      </c>
      <c r="D18" s="5">
        <v>38723</v>
      </c>
      <c r="E18" s="6">
        <v>3</v>
      </c>
      <c r="F18" s="6"/>
      <c r="G18" s="6">
        <v>17</v>
      </c>
      <c r="H18" s="6">
        <v>1</v>
      </c>
      <c r="I18" s="7">
        <v>221</v>
      </c>
      <c r="J18" s="27">
        <v>1451</v>
      </c>
      <c r="K18" s="7">
        <f>2787+1607+844+585+460+145+463+399+9+7+594+356+238+396+780+313+221</f>
        <v>10204</v>
      </c>
      <c r="L18" s="27">
        <f>22570+12751+6691+4543+3462+1141+1389+1484.5+48+38+1782+1068+714+1188+2340+2005+1451</f>
        <v>64665.5</v>
      </c>
      <c r="M18" s="58"/>
    </row>
    <row r="19" spans="1:13" s="2" customFormat="1" ht="24.75" customHeight="1">
      <c r="A19" s="53">
        <v>13</v>
      </c>
      <c r="B19" s="3" t="s">
        <v>133</v>
      </c>
      <c r="C19" s="4" t="s">
        <v>34</v>
      </c>
      <c r="D19" s="5">
        <v>37813</v>
      </c>
      <c r="E19" s="6">
        <v>10</v>
      </c>
      <c r="F19" s="6"/>
      <c r="G19" s="6">
        <v>39</v>
      </c>
      <c r="H19" s="6">
        <v>1</v>
      </c>
      <c r="I19" s="7">
        <v>158</v>
      </c>
      <c r="J19" s="27">
        <v>474</v>
      </c>
      <c r="K19" s="7">
        <f>21632+20+285+158+158</f>
        <v>22253</v>
      </c>
      <c r="L19" s="27">
        <f>101850+106+855+474+474</f>
        <v>103759</v>
      </c>
      <c r="M19" s="58"/>
    </row>
    <row r="20" spans="1:13" s="54" customFormat="1" ht="24.75" customHeight="1">
      <c r="A20" s="53">
        <v>14</v>
      </c>
      <c r="B20" s="3" t="s">
        <v>111</v>
      </c>
      <c r="C20" s="4" t="s">
        <v>21</v>
      </c>
      <c r="D20" s="5">
        <v>38814</v>
      </c>
      <c r="E20" s="6">
        <v>14</v>
      </c>
      <c r="F20" s="6"/>
      <c r="G20" s="6">
        <v>13</v>
      </c>
      <c r="H20" s="6">
        <v>1</v>
      </c>
      <c r="I20" s="7">
        <v>149</v>
      </c>
      <c r="J20" s="27">
        <v>596</v>
      </c>
      <c r="K20" s="7">
        <f>4620+1821+1003+1445+1813+1225+30+68+737+144+310+211+149</f>
        <v>13576</v>
      </c>
      <c r="L20" s="27">
        <f>43111+13278+6067.5+7325+7474+6516.5+154+328+3068+571+1240+894+596</f>
        <v>90623</v>
      </c>
      <c r="M20" s="58"/>
    </row>
    <row r="21" spans="1:13" s="54" customFormat="1" ht="24.75" customHeight="1">
      <c r="A21" s="53">
        <v>15</v>
      </c>
      <c r="B21" s="3" t="s">
        <v>95</v>
      </c>
      <c r="C21" s="4" t="s">
        <v>134</v>
      </c>
      <c r="D21" s="5">
        <v>38709</v>
      </c>
      <c r="E21" s="6">
        <v>2</v>
      </c>
      <c r="F21" s="6"/>
      <c r="G21" s="6">
        <v>15</v>
      </c>
      <c r="H21" s="6">
        <v>1</v>
      </c>
      <c r="I21" s="7">
        <v>115</v>
      </c>
      <c r="J21" s="27">
        <v>750</v>
      </c>
      <c r="K21" s="7">
        <f>411+260+76+113+17+277+285+198+475+396+370+9+780+11+115</f>
        <v>3793</v>
      </c>
      <c r="L21" s="27">
        <f>3016+2037+320+565+129+831+855+594+1425+1188+1144+47+2340+33+750</f>
        <v>15274</v>
      </c>
      <c r="M21" s="58"/>
    </row>
    <row r="22" spans="1:13" s="54" customFormat="1" ht="24.75" customHeight="1">
      <c r="A22" s="53">
        <v>16</v>
      </c>
      <c r="B22" s="3" t="s">
        <v>105</v>
      </c>
      <c r="C22" s="4" t="s">
        <v>106</v>
      </c>
      <c r="D22" s="5">
        <v>38758</v>
      </c>
      <c r="E22" s="6">
        <v>4</v>
      </c>
      <c r="F22" s="5"/>
      <c r="G22" s="6">
        <v>20</v>
      </c>
      <c r="H22" s="6">
        <v>2</v>
      </c>
      <c r="I22" s="7">
        <v>115</v>
      </c>
      <c r="J22" s="27">
        <v>636</v>
      </c>
      <c r="K22" s="7">
        <f>1552+1090+669+166+430+252+1516+804+308+163+443+768+612+467+81+595+318+329+55+115</f>
        <v>10733</v>
      </c>
      <c r="L22" s="27">
        <f>12456+7990+4147+1031+2942.5+1687.5+5526.5+3841.5+1352.5+925+2425+2735+1963+2610.5+374+1948+1054+1475.5+196+636</f>
        <v>57316.5</v>
      </c>
      <c r="M22" s="58"/>
    </row>
    <row r="23" spans="1:13" s="2" customFormat="1" ht="24.75" customHeight="1">
      <c r="A23" s="53">
        <v>17</v>
      </c>
      <c r="B23" s="3" t="s">
        <v>92</v>
      </c>
      <c r="C23" s="4" t="s">
        <v>81</v>
      </c>
      <c r="D23" s="5">
        <v>38660</v>
      </c>
      <c r="E23" s="6">
        <v>8</v>
      </c>
      <c r="F23" s="6"/>
      <c r="G23" s="6">
        <v>16</v>
      </c>
      <c r="H23" s="6">
        <v>1</v>
      </c>
      <c r="I23" s="7">
        <v>53</v>
      </c>
      <c r="J23" s="27">
        <v>403</v>
      </c>
      <c r="K23" s="7">
        <f>4953+2834+1525+1678+808+620+471+396+356+11+12+30+792+277+5+53</f>
        <v>14821</v>
      </c>
      <c r="L23" s="27">
        <f>37589.5+21430+10735+7513+3397+2698.5+1694+1188+1068+61+66+192+2376+831+15+403</f>
        <v>91257</v>
      </c>
      <c r="M23" s="58"/>
    </row>
    <row r="24" spans="1:13" s="54" customFormat="1" ht="24.75" customHeight="1">
      <c r="A24" s="53">
        <v>18</v>
      </c>
      <c r="B24" s="3" t="s">
        <v>101</v>
      </c>
      <c r="C24" s="4" t="s">
        <v>102</v>
      </c>
      <c r="D24" s="5">
        <v>38744</v>
      </c>
      <c r="E24" s="6">
        <v>7</v>
      </c>
      <c r="F24" s="5"/>
      <c r="G24" s="6">
        <v>21</v>
      </c>
      <c r="H24" s="6">
        <v>2</v>
      </c>
      <c r="I24" s="7">
        <v>19</v>
      </c>
      <c r="J24" s="27">
        <v>77</v>
      </c>
      <c r="K24" s="7">
        <f>2772+1034+467+35+792+451+260+597+327+776+1582+1115+514+499+716+31+45+79+173+21+19</f>
        <v>12305</v>
      </c>
      <c r="L24" s="27">
        <f>23060.5+7183+3670+700+2376+2273+1430+3390+1771.5+3246+11360+7257.5+2859+2510+4107+155+170+490+579+165+77</f>
        <v>78829.5</v>
      </c>
      <c r="M24" s="58"/>
    </row>
    <row r="25" spans="1:13" s="54" customFormat="1" ht="24.75" customHeight="1">
      <c r="A25" s="53">
        <v>19</v>
      </c>
      <c r="B25" s="3" t="s">
        <v>112</v>
      </c>
      <c r="C25" s="4" t="s">
        <v>113</v>
      </c>
      <c r="D25" s="5">
        <v>38828</v>
      </c>
      <c r="E25" s="6">
        <v>6</v>
      </c>
      <c r="F25" s="5"/>
      <c r="G25" s="6">
        <v>11</v>
      </c>
      <c r="H25" s="6">
        <v>1</v>
      </c>
      <c r="I25" s="7">
        <v>11</v>
      </c>
      <c r="J25" s="27">
        <v>84</v>
      </c>
      <c r="K25" s="7">
        <f>1055+574+361+886+56+580+32+529+180+158+11</f>
        <v>4422</v>
      </c>
      <c r="L25" s="27">
        <f>8964+4246+2175+6296+364+3248+189+2148.5+879.5+474+84</f>
        <v>29068</v>
      </c>
      <c r="M25" s="58"/>
    </row>
    <row r="26" spans="1:13" s="54" customFormat="1" ht="24" customHeight="1">
      <c r="A26" s="53">
        <v>20</v>
      </c>
      <c r="B26" s="3" t="s">
        <v>117</v>
      </c>
      <c r="C26" s="4" t="s">
        <v>26</v>
      </c>
      <c r="D26" s="5">
        <v>38849</v>
      </c>
      <c r="E26" s="6">
        <v>1</v>
      </c>
      <c r="F26" s="6"/>
      <c r="G26" s="6">
        <v>5</v>
      </c>
      <c r="H26" s="6">
        <v>1</v>
      </c>
      <c r="I26" s="7">
        <v>11</v>
      </c>
      <c r="J26" s="27">
        <v>77</v>
      </c>
      <c r="K26" s="7">
        <f>772+80+66+24+317+11</f>
        <v>1270</v>
      </c>
      <c r="L26" s="27">
        <f>3427.5+602+330+168+951+77</f>
        <v>5555.5</v>
      </c>
      <c r="M26" s="58"/>
    </row>
    <row r="27" spans="1:13" s="2" customFormat="1" ht="24.75" customHeight="1">
      <c r="A27" s="53">
        <v>21</v>
      </c>
      <c r="B27" s="3" t="s">
        <v>103</v>
      </c>
      <c r="C27" s="4" t="s">
        <v>37</v>
      </c>
      <c r="D27" s="5">
        <v>38751</v>
      </c>
      <c r="E27" s="6">
        <v>1</v>
      </c>
      <c r="F27" s="6"/>
      <c r="G27" s="6">
        <v>12</v>
      </c>
      <c r="H27" s="6">
        <v>1</v>
      </c>
      <c r="I27" s="7">
        <v>6</v>
      </c>
      <c r="J27" s="27">
        <v>31</v>
      </c>
      <c r="K27" s="7">
        <f>796+708+467+329+60+87+264+364+356+20+4+6</f>
        <v>3461</v>
      </c>
      <c r="L27" s="27">
        <f>6339+5656+3753+2609+448+675+1816+2430+1068+117+22+31</f>
        <v>24964</v>
      </c>
      <c r="M27" s="58"/>
    </row>
    <row r="28" spans="1:12" ht="10.5" customHeight="1" thickBot="1">
      <c r="A28" s="49"/>
      <c r="B28" s="41"/>
      <c r="C28" s="42"/>
      <c r="D28" s="43"/>
      <c r="E28" s="43"/>
      <c r="F28" s="43"/>
      <c r="G28" s="44"/>
      <c r="H28" s="44"/>
      <c r="I28" s="45"/>
      <c r="J28" s="46"/>
      <c r="K28" s="45"/>
      <c r="L28" s="46"/>
    </row>
    <row r="29" spans="1:12" ht="20.25" customHeight="1" thickBot="1">
      <c r="A29" s="49"/>
      <c r="B29" s="64" t="s">
        <v>7</v>
      </c>
      <c r="C29" s="65"/>
      <c r="D29" s="65"/>
      <c r="E29" s="65"/>
      <c r="F29" s="65"/>
      <c r="G29" s="66"/>
      <c r="H29" s="11">
        <f>SUM(H7:H27)</f>
        <v>214</v>
      </c>
      <c r="I29" s="11">
        <f>SUM(I7:I27)</f>
        <v>37051</v>
      </c>
      <c r="J29" s="29">
        <f>SUM(J7:J27)</f>
        <v>241210</v>
      </c>
      <c r="K29" s="12"/>
      <c r="L29" s="13"/>
    </row>
  </sheetData>
  <mergeCells count="3">
    <mergeCell ref="K3:L3"/>
    <mergeCell ref="C2:J4"/>
    <mergeCell ref="B29:G29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81"/>
  <sheetViews>
    <sheetView showGridLines="0" zoomScale="70" zoomScaleNormal="70" workbookViewId="0" topLeftCell="A1">
      <pane ySplit="3" topLeftCell="BM41" activePane="bottomLeft" state="frozen"/>
      <selection pane="topLeft" activeCell="A1" sqref="A1"/>
      <selection pane="bottomLeft" activeCell="A80" sqref="A80"/>
    </sheetView>
  </sheetViews>
  <sheetFormatPr defaultColWidth="9.140625" defaultRowHeight="19.5" customHeight="1"/>
  <cols>
    <col min="1" max="1" width="5.28125" style="14" bestFit="1" customWidth="1"/>
    <col min="2" max="2" width="59.00390625" style="2" customWidth="1"/>
    <col min="3" max="3" width="29.7109375" style="2" bestFit="1" customWidth="1"/>
    <col min="4" max="4" width="13.8515625" style="2" bestFit="1" customWidth="1"/>
    <col min="5" max="5" width="8.8515625" style="2" bestFit="1" customWidth="1"/>
    <col min="6" max="6" width="1.57421875" style="2" customWidth="1"/>
    <col min="7" max="7" width="10.00390625" style="2" customWidth="1"/>
    <col min="8" max="8" width="8.8515625" style="2" customWidth="1"/>
    <col min="9" max="9" width="11.421875" style="2" bestFit="1" customWidth="1"/>
    <col min="10" max="10" width="18.57421875" style="2" bestFit="1" customWidth="1"/>
    <col min="11" max="11" width="1.57421875" style="2" customWidth="1"/>
    <col min="12" max="12" width="10.28125" style="2" bestFit="1" customWidth="1"/>
    <col min="13" max="13" width="13.421875" style="2" bestFit="1" customWidth="1"/>
    <col min="14" max="14" width="21.140625" style="2" bestFit="1" customWidth="1"/>
    <col min="15" max="15" width="2.7109375" style="56" customWidth="1"/>
    <col min="16" max="16384" width="9.140625" style="2" customWidth="1"/>
  </cols>
  <sheetData>
    <row r="1" ht="4.5" customHeight="1" thickBot="1"/>
    <row r="2" spans="2:14" ht="66" customHeight="1" thickBot="1">
      <c r="B2" s="72" t="s">
        <v>58</v>
      </c>
      <c r="C2" s="71"/>
      <c r="D2" s="71"/>
      <c r="E2" s="71"/>
      <c r="F2" s="17"/>
      <c r="G2" s="71" t="s">
        <v>136</v>
      </c>
      <c r="H2" s="71"/>
      <c r="I2" s="71"/>
      <c r="J2" s="71"/>
      <c r="K2" s="17"/>
      <c r="L2" s="67" t="s">
        <v>137</v>
      </c>
      <c r="M2" s="68"/>
      <c r="N2" s="69"/>
    </row>
    <row r="3" spans="1:15" s="1" customFormat="1" ht="33.75" customHeight="1" thickBot="1">
      <c r="A3" s="14"/>
      <c r="B3" s="22" t="s">
        <v>0</v>
      </c>
      <c r="C3" s="23" t="s">
        <v>1</v>
      </c>
      <c r="D3" s="24" t="s">
        <v>2</v>
      </c>
      <c r="E3" s="24" t="s">
        <v>46</v>
      </c>
      <c r="F3" s="25"/>
      <c r="G3" s="23" t="s">
        <v>3</v>
      </c>
      <c r="H3" s="23" t="s">
        <v>4</v>
      </c>
      <c r="I3" s="24" t="s">
        <v>5</v>
      </c>
      <c r="J3" s="24" t="s">
        <v>53</v>
      </c>
      <c r="K3" s="25"/>
      <c r="L3" s="24" t="s">
        <v>54</v>
      </c>
      <c r="M3" s="24" t="s">
        <v>6</v>
      </c>
      <c r="N3" s="28" t="s">
        <v>71</v>
      </c>
      <c r="O3" s="57"/>
    </row>
    <row r="4" spans="1:14" ht="18.75" customHeight="1">
      <c r="A4" s="14">
        <v>1</v>
      </c>
      <c r="B4" s="47" t="s">
        <v>25</v>
      </c>
      <c r="C4" s="31" t="s">
        <v>26</v>
      </c>
      <c r="D4" s="5">
        <v>37575</v>
      </c>
      <c r="E4" s="20">
        <v>4</v>
      </c>
      <c r="F4" s="18"/>
      <c r="G4" s="6"/>
      <c r="H4" s="6"/>
      <c r="I4" s="7"/>
      <c r="J4" s="27"/>
      <c r="K4" s="18"/>
      <c r="L4" s="26">
        <v>41</v>
      </c>
      <c r="M4" s="7">
        <f>24747+1017+158</f>
        <v>25922</v>
      </c>
      <c r="N4" s="27">
        <f>127730.75+4547.75+474</f>
        <v>132752.5</v>
      </c>
    </row>
    <row r="5" spans="1:14" ht="18.75" customHeight="1">
      <c r="A5" s="14">
        <v>2</v>
      </c>
      <c r="B5" s="47" t="s">
        <v>27</v>
      </c>
      <c r="C5" s="31" t="s">
        <v>28</v>
      </c>
      <c r="D5" s="5">
        <v>37624</v>
      </c>
      <c r="E5" s="21">
        <v>3</v>
      </c>
      <c r="F5" s="19"/>
      <c r="G5" s="6"/>
      <c r="H5" s="6"/>
      <c r="I5" s="7"/>
      <c r="J5" s="27"/>
      <c r="K5" s="19"/>
      <c r="L5" s="26">
        <v>44</v>
      </c>
      <c r="M5" s="7">
        <v>26471</v>
      </c>
      <c r="N5" s="27">
        <v>128729.5</v>
      </c>
    </row>
    <row r="6" spans="1:14" ht="18.75" customHeight="1">
      <c r="A6" s="14">
        <v>3</v>
      </c>
      <c r="B6" s="47" t="s">
        <v>29</v>
      </c>
      <c r="C6" s="31" t="s">
        <v>26</v>
      </c>
      <c r="D6" s="5">
        <v>37659</v>
      </c>
      <c r="E6" s="21">
        <v>2</v>
      </c>
      <c r="F6" s="19"/>
      <c r="G6" s="6"/>
      <c r="H6" s="6"/>
      <c r="I6" s="7"/>
      <c r="J6" s="27"/>
      <c r="K6" s="19"/>
      <c r="L6" s="26">
        <v>27</v>
      </c>
      <c r="M6" s="7">
        <v>7226</v>
      </c>
      <c r="N6" s="27">
        <v>37374</v>
      </c>
    </row>
    <row r="7" spans="1:14" ht="18.75" customHeight="1">
      <c r="A7" s="14">
        <v>4</v>
      </c>
      <c r="B7" s="47" t="s">
        <v>30</v>
      </c>
      <c r="C7" s="31" t="s">
        <v>31</v>
      </c>
      <c r="D7" s="5">
        <v>37708</v>
      </c>
      <c r="E7" s="21">
        <v>4</v>
      </c>
      <c r="F7" s="19"/>
      <c r="G7" s="6"/>
      <c r="H7" s="6"/>
      <c r="I7" s="7"/>
      <c r="J7" s="27"/>
      <c r="K7" s="19"/>
      <c r="L7" s="26">
        <v>22</v>
      </c>
      <c r="M7" s="7">
        <v>4186</v>
      </c>
      <c r="N7" s="27">
        <v>19059</v>
      </c>
    </row>
    <row r="8" spans="1:14" ht="18.75" customHeight="1">
      <c r="A8" s="14">
        <v>5</v>
      </c>
      <c r="B8" s="47" t="s">
        <v>23</v>
      </c>
      <c r="C8" s="31" t="s">
        <v>24</v>
      </c>
      <c r="D8" s="5">
        <v>37771</v>
      </c>
      <c r="E8" s="20">
        <v>4</v>
      </c>
      <c r="F8" s="18"/>
      <c r="G8" s="6"/>
      <c r="H8" s="6"/>
      <c r="I8" s="7"/>
      <c r="J8" s="27"/>
      <c r="K8" s="18"/>
      <c r="L8" s="26">
        <v>45</v>
      </c>
      <c r="M8" s="7">
        <f>17173+594+317+297+297+21</f>
        <v>18699</v>
      </c>
      <c r="N8" s="27">
        <f>89290+1782+951+891+891+174</f>
        <v>93979</v>
      </c>
    </row>
    <row r="9" spans="1:14" ht="18.75" customHeight="1">
      <c r="A9" s="14">
        <v>6</v>
      </c>
      <c r="B9" s="47" t="s">
        <v>32</v>
      </c>
      <c r="C9" s="31" t="s">
        <v>33</v>
      </c>
      <c r="D9" s="5">
        <v>37785</v>
      </c>
      <c r="E9" s="21">
        <v>8</v>
      </c>
      <c r="F9" s="19"/>
      <c r="G9" s="6"/>
      <c r="H9" s="6"/>
      <c r="I9" s="7"/>
      <c r="J9" s="27"/>
      <c r="K9" s="19"/>
      <c r="L9" s="26">
        <v>49</v>
      </c>
      <c r="M9" s="7">
        <f>34616+51+277</f>
        <v>34944</v>
      </c>
      <c r="N9" s="27">
        <f>167875.5+424+831</f>
        <v>169130.5</v>
      </c>
    </row>
    <row r="10" spans="1:14" ht="18.75" customHeight="1">
      <c r="A10" s="14">
        <v>7</v>
      </c>
      <c r="B10" s="47" t="s">
        <v>133</v>
      </c>
      <c r="C10" s="31" t="s">
        <v>34</v>
      </c>
      <c r="D10" s="5">
        <v>37813</v>
      </c>
      <c r="E10" s="21">
        <v>10</v>
      </c>
      <c r="F10" s="19"/>
      <c r="G10" s="6">
        <v>39</v>
      </c>
      <c r="H10" s="6">
        <v>1</v>
      </c>
      <c r="I10" s="7">
        <v>158</v>
      </c>
      <c r="J10" s="27">
        <v>474</v>
      </c>
      <c r="K10" s="19"/>
      <c r="L10" s="26">
        <v>39</v>
      </c>
      <c r="M10" s="7">
        <f>21632+20+285+158+158</f>
        <v>22253</v>
      </c>
      <c r="N10" s="27">
        <f>101850+106+855+474+474</f>
        <v>103759</v>
      </c>
    </row>
    <row r="11" spans="1:14" ht="18.75" customHeight="1">
      <c r="A11" s="14">
        <v>8</v>
      </c>
      <c r="B11" s="47" t="s">
        <v>35</v>
      </c>
      <c r="C11" s="31" t="s">
        <v>26</v>
      </c>
      <c r="D11" s="5">
        <v>37848</v>
      </c>
      <c r="E11" s="21">
        <v>4</v>
      </c>
      <c r="F11" s="19"/>
      <c r="G11" s="6"/>
      <c r="H11" s="6"/>
      <c r="I11" s="7"/>
      <c r="J11" s="27"/>
      <c r="K11" s="19"/>
      <c r="L11" s="26">
        <v>25</v>
      </c>
      <c r="M11" s="7">
        <v>8608</v>
      </c>
      <c r="N11" s="27">
        <v>42546.5</v>
      </c>
    </row>
    <row r="12" spans="1:14" ht="18.75" customHeight="1">
      <c r="A12" s="14">
        <v>9</v>
      </c>
      <c r="B12" s="47" t="s">
        <v>36</v>
      </c>
      <c r="C12" s="31" t="s">
        <v>37</v>
      </c>
      <c r="D12" s="5">
        <v>37869</v>
      </c>
      <c r="E12" s="21">
        <v>8</v>
      </c>
      <c r="F12" s="19"/>
      <c r="G12" s="6"/>
      <c r="H12" s="6"/>
      <c r="I12" s="7"/>
      <c r="J12" s="27"/>
      <c r="K12" s="19"/>
      <c r="L12" s="26">
        <v>25</v>
      </c>
      <c r="M12" s="7">
        <f>17019+277+158</f>
        <v>17454</v>
      </c>
      <c r="N12" s="27">
        <f>89641.3+831+474</f>
        <v>90946.3</v>
      </c>
    </row>
    <row r="13" spans="1:14" ht="18.75" customHeight="1">
      <c r="A13" s="14">
        <v>10</v>
      </c>
      <c r="B13" s="47" t="s">
        <v>38</v>
      </c>
      <c r="C13" s="31" t="s">
        <v>39</v>
      </c>
      <c r="D13" s="5">
        <v>37911</v>
      </c>
      <c r="E13" s="21">
        <v>8</v>
      </c>
      <c r="F13" s="19"/>
      <c r="G13" s="6"/>
      <c r="H13" s="6"/>
      <c r="I13" s="7"/>
      <c r="J13" s="27"/>
      <c r="K13" s="19"/>
      <c r="L13" s="26">
        <v>36</v>
      </c>
      <c r="M13" s="7">
        <f>20935+277+396</f>
        <v>21608</v>
      </c>
      <c r="N13" s="27">
        <f>107551.5+831+1188</f>
        <v>109570.5</v>
      </c>
    </row>
    <row r="14" spans="1:14" ht="18.75" customHeight="1">
      <c r="A14" s="14">
        <v>11</v>
      </c>
      <c r="B14" s="47" t="s">
        <v>40</v>
      </c>
      <c r="C14" s="31" t="s">
        <v>34</v>
      </c>
      <c r="D14" s="5">
        <v>37932</v>
      </c>
      <c r="E14" s="21">
        <v>3</v>
      </c>
      <c r="F14" s="19"/>
      <c r="G14" s="6"/>
      <c r="H14" s="6"/>
      <c r="I14" s="7"/>
      <c r="J14" s="27"/>
      <c r="K14" s="19"/>
      <c r="L14" s="26">
        <v>30</v>
      </c>
      <c r="M14" s="7">
        <f>5179+317+475+396</f>
        <v>6367</v>
      </c>
      <c r="N14" s="27">
        <f>24012.5+951+1425+1188</f>
        <v>27576.5</v>
      </c>
    </row>
    <row r="15" spans="1:14" ht="18.75" customHeight="1">
      <c r="A15" s="14">
        <v>12</v>
      </c>
      <c r="B15" s="47" t="s">
        <v>41</v>
      </c>
      <c r="C15" s="31" t="s">
        <v>26</v>
      </c>
      <c r="D15" s="5">
        <v>38016</v>
      </c>
      <c r="E15" s="21">
        <v>1</v>
      </c>
      <c r="F15" s="19"/>
      <c r="G15" s="6"/>
      <c r="H15" s="6"/>
      <c r="I15" s="7"/>
      <c r="J15" s="27"/>
      <c r="K15" s="19"/>
      <c r="L15" s="26">
        <v>20</v>
      </c>
      <c r="M15" s="7">
        <f>5193+475+396+396</f>
        <v>6460</v>
      </c>
      <c r="N15" s="27">
        <f>33187.5+1425+1188+1188</f>
        <v>36988.5</v>
      </c>
    </row>
    <row r="16" spans="1:14" ht="18.75" customHeight="1">
      <c r="A16" s="14">
        <v>13</v>
      </c>
      <c r="B16" s="47" t="s">
        <v>42</v>
      </c>
      <c r="C16" s="31" t="s">
        <v>14</v>
      </c>
      <c r="D16" s="5">
        <v>38044</v>
      </c>
      <c r="E16" s="21">
        <v>2</v>
      </c>
      <c r="F16" s="19"/>
      <c r="G16" s="6"/>
      <c r="H16" s="6"/>
      <c r="I16" s="7"/>
      <c r="J16" s="27"/>
      <c r="K16" s="19"/>
      <c r="L16" s="26">
        <v>23</v>
      </c>
      <c r="M16" s="7">
        <f>5366+317+396</f>
        <v>6079</v>
      </c>
      <c r="N16" s="27">
        <f>31473+951+1188</f>
        <v>33612</v>
      </c>
    </row>
    <row r="17" spans="1:14" ht="18.75" customHeight="1">
      <c r="A17" s="14">
        <v>14</v>
      </c>
      <c r="B17" s="47" t="s">
        <v>43</v>
      </c>
      <c r="C17" s="31" t="s">
        <v>44</v>
      </c>
      <c r="D17" s="5">
        <v>38058</v>
      </c>
      <c r="E17" s="21">
        <v>6</v>
      </c>
      <c r="F17" s="19"/>
      <c r="G17" s="6"/>
      <c r="H17" s="6"/>
      <c r="I17" s="7"/>
      <c r="J17" s="27"/>
      <c r="K17" s="19"/>
      <c r="L17" s="26">
        <v>25</v>
      </c>
      <c r="M17" s="7">
        <v>9194</v>
      </c>
      <c r="N17" s="27">
        <v>50785.5</v>
      </c>
    </row>
    <row r="18" spans="1:14" ht="18.75" customHeight="1">
      <c r="A18" s="14">
        <v>15</v>
      </c>
      <c r="B18" s="47" t="s">
        <v>45</v>
      </c>
      <c r="C18" s="31" t="s">
        <v>21</v>
      </c>
      <c r="D18" s="5">
        <v>38072</v>
      </c>
      <c r="E18" s="21">
        <v>10</v>
      </c>
      <c r="F18" s="19"/>
      <c r="G18" s="6"/>
      <c r="H18" s="6"/>
      <c r="I18" s="7"/>
      <c r="J18" s="27"/>
      <c r="K18" s="19"/>
      <c r="L18" s="26">
        <v>28</v>
      </c>
      <c r="M18" s="7">
        <f>24825+94+57+277+158</f>
        <v>25411</v>
      </c>
      <c r="N18" s="27">
        <f>148373.5+658+399+831+474</f>
        <v>150735.5</v>
      </c>
    </row>
    <row r="19" spans="1:14" ht="18.75" customHeight="1">
      <c r="A19" s="14">
        <v>16</v>
      </c>
      <c r="B19" s="47" t="s">
        <v>18</v>
      </c>
      <c r="C19" s="31" t="s">
        <v>19</v>
      </c>
      <c r="D19" s="5">
        <v>38114</v>
      </c>
      <c r="E19" s="20">
        <v>6</v>
      </c>
      <c r="F19" s="18"/>
      <c r="G19" s="6"/>
      <c r="H19" s="6"/>
      <c r="I19" s="7"/>
      <c r="J19" s="27"/>
      <c r="K19" s="18"/>
      <c r="L19" s="26">
        <v>33</v>
      </c>
      <c r="M19" s="7">
        <f>20265+707+15+282+147+79+33+162+46+125+226+396+33+46+396</f>
        <v>22958</v>
      </c>
      <c r="N19" s="27">
        <f>109036.5+2553+75+1324+629+237+129+693+188+616+950+1188+85.5+322+1188</f>
        <v>119214</v>
      </c>
    </row>
    <row r="20" spans="1:14" ht="18.75" customHeight="1">
      <c r="A20" s="14">
        <v>17</v>
      </c>
      <c r="B20" s="47" t="s">
        <v>47</v>
      </c>
      <c r="C20" s="31" t="s">
        <v>81</v>
      </c>
      <c r="D20" s="5">
        <v>38128</v>
      </c>
      <c r="E20" s="20">
        <v>4</v>
      </c>
      <c r="F20" s="18"/>
      <c r="G20" s="6"/>
      <c r="H20" s="6"/>
      <c r="I20" s="7"/>
      <c r="J20" s="27"/>
      <c r="K20" s="18"/>
      <c r="L20" s="26">
        <v>26</v>
      </c>
      <c r="M20" s="7">
        <f>7171+210+210+396</f>
        <v>7987</v>
      </c>
      <c r="N20" s="27">
        <f>46214.5+630+630+1188</f>
        <v>48662.5</v>
      </c>
    </row>
    <row r="21" spans="1:14" ht="18.75" customHeight="1">
      <c r="A21" s="14">
        <v>18</v>
      </c>
      <c r="B21" s="47" t="s">
        <v>13</v>
      </c>
      <c r="C21" s="31" t="s">
        <v>14</v>
      </c>
      <c r="D21" s="5">
        <v>38170</v>
      </c>
      <c r="E21" s="20">
        <v>3</v>
      </c>
      <c r="F21" s="18"/>
      <c r="G21" s="6"/>
      <c r="H21" s="6"/>
      <c r="I21" s="7"/>
      <c r="J21" s="27"/>
      <c r="K21" s="18"/>
      <c r="L21" s="26">
        <v>38</v>
      </c>
      <c r="M21" s="7">
        <f>9944+210+55+155+859+475+146+223+45+493+167+23+35+33+35+131+363+160+41+235+83+219+72+220+54+12+317+396</f>
        <v>15201</v>
      </c>
      <c r="N21" s="27">
        <f>67224+778+171+668+5412.5+1944+830.5+978+162.5+2255+664+118+164+168+168+397+1094+673+199+964+403+799+235+1125+155+96+951+1188</f>
        <v>89984.5</v>
      </c>
    </row>
    <row r="22" spans="1:14" ht="18.75" customHeight="1">
      <c r="A22" s="14">
        <v>19</v>
      </c>
      <c r="B22" s="47" t="s">
        <v>20</v>
      </c>
      <c r="C22" s="31" t="s">
        <v>21</v>
      </c>
      <c r="D22" s="5">
        <v>38191</v>
      </c>
      <c r="E22" s="20">
        <v>3</v>
      </c>
      <c r="F22" s="18"/>
      <c r="G22" s="6"/>
      <c r="H22" s="6"/>
      <c r="I22" s="7"/>
      <c r="J22" s="27"/>
      <c r="K22" s="18"/>
      <c r="L22" s="26">
        <v>31</v>
      </c>
      <c r="M22" s="7">
        <f>6652+184+308+91+121+145+107+608+160+57+19+117+20+36+475+414+320+44+284+194+77+21+125+216</f>
        <v>10795</v>
      </c>
      <c r="N22" s="27">
        <f>44809+939+1634+438+363+435+381+3327+826+257+76+414+70+126+1425+2370+1830+247+1881+1257+293+158+874+1298</f>
        <v>65728</v>
      </c>
    </row>
    <row r="23" spans="1:14" ht="18.75" customHeight="1">
      <c r="A23" s="14">
        <v>20</v>
      </c>
      <c r="B23" s="47" t="s">
        <v>48</v>
      </c>
      <c r="C23" s="31" t="s">
        <v>49</v>
      </c>
      <c r="D23" s="5">
        <v>38226</v>
      </c>
      <c r="E23" s="20">
        <v>4</v>
      </c>
      <c r="F23" s="18"/>
      <c r="G23" s="6"/>
      <c r="H23" s="6"/>
      <c r="I23" s="7"/>
      <c r="J23" s="27"/>
      <c r="K23" s="18"/>
      <c r="L23" s="26">
        <v>10</v>
      </c>
      <c r="M23" s="7">
        <f>2232+475+277</f>
        <v>2984</v>
      </c>
      <c r="N23" s="27">
        <f>16836+1425+831</f>
        <v>19092</v>
      </c>
    </row>
    <row r="24" spans="1:14" ht="18.75" customHeight="1">
      <c r="A24" s="14">
        <v>21</v>
      </c>
      <c r="B24" s="47" t="s">
        <v>50</v>
      </c>
      <c r="C24" s="31" t="s">
        <v>19</v>
      </c>
      <c r="D24" s="5">
        <v>38254</v>
      </c>
      <c r="E24" s="20">
        <v>4</v>
      </c>
      <c r="F24" s="18"/>
      <c r="G24" s="6"/>
      <c r="H24" s="6"/>
      <c r="I24" s="7"/>
      <c r="J24" s="27"/>
      <c r="K24" s="18"/>
      <c r="L24" s="26">
        <v>29</v>
      </c>
      <c r="M24" s="7">
        <f>12800+75+58+475+37+396+210+210+54+44+52+56+182+446+30+103+9+121</f>
        <v>15358</v>
      </c>
      <c r="N24" s="27">
        <f>90664+314+277+1425+185+1188+630+630+295.5+252+298+281+965+2595+232+516+44+603</f>
        <v>101394.5</v>
      </c>
    </row>
    <row r="25" spans="1:14" ht="18.75" customHeight="1">
      <c r="A25" s="14">
        <v>22</v>
      </c>
      <c r="B25" s="47" t="s">
        <v>51</v>
      </c>
      <c r="C25" s="31" t="s">
        <v>81</v>
      </c>
      <c r="D25" s="5">
        <v>38282</v>
      </c>
      <c r="E25" s="20">
        <v>7</v>
      </c>
      <c r="F25" s="18"/>
      <c r="G25" s="6"/>
      <c r="H25" s="6"/>
      <c r="I25" s="7"/>
      <c r="J25" s="27"/>
      <c r="K25" s="18"/>
      <c r="L25" s="26">
        <v>8</v>
      </c>
      <c r="M25" s="7">
        <f>1775+846+4+5+132+158+475+277</f>
        <v>3672</v>
      </c>
      <c r="N25" s="27">
        <f>14009.5+4096.5+18+22+396+474+1425+831</f>
        <v>21272</v>
      </c>
    </row>
    <row r="26" spans="1:14" ht="18.75" customHeight="1">
      <c r="A26" s="14">
        <v>23</v>
      </c>
      <c r="B26" s="47" t="s">
        <v>11</v>
      </c>
      <c r="C26" s="31" t="s">
        <v>12</v>
      </c>
      <c r="D26" s="5">
        <v>38296</v>
      </c>
      <c r="E26" s="20">
        <v>4</v>
      </c>
      <c r="F26" s="18"/>
      <c r="G26" s="6"/>
      <c r="H26" s="6"/>
      <c r="I26" s="7"/>
      <c r="J26" s="27"/>
      <c r="K26" s="18"/>
      <c r="L26" s="26">
        <v>45</v>
      </c>
      <c r="M26" s="7">
        <f>2163+1471+615+1236+357+358+195+933+960+80+56+1398+280+276+591+164+361+518+293+103+301+247+224+51+848+220+412+166+22+536+123+6+263+197+142+97+466+146+116+546+45+99+20+317+356</f>
        <v>18374</v>
      </c>
      <c r="N26" s="27">
        <f>16606+11130+4061.5+5737+1614+1984+785.5+5650+4931+409+232.5+8724+843+873+3100+725+2255+2250.5+1355+468+1195+1088+913+219+3445+937.5+1963+707.5+110+1565+602+24+1113+815.5+590.5+307.5+1412+680+500+1987.5+202+445.5+60+951+1068</f>
        <v>96635.5</v>
      </c>
    </row>
    <row r="27" spans="1:14" ht="18.75" customHeight="1">
      <c r="A27" s="14">
        <v>24</v>
      </c>
      <c r="B27" s="47" t="s">
        <v>52</v>
      </c>
      <c r="C27" s="31" t="s">
        <v>84</v>
      </c>
      <c r="D27" s="5">
        <v>38303</v>
      </c>
      <c r="E27" s="20">
        <v>3</v>
      </c>
      <c r="F27" s="18"/>
      <c r="G27" s="6"/>
      <c r="H27" s="6"/>
      <c r="I27" s="7"/>
      <c r="J27" s="27"/>
      <c r="K27" s="18"/>
      <c r="L27" s="26">
        <v>12</v>
      </c>
      <c r="M27" s="7">
        <f>2357+50+6+118+210+210+45+24+12</f>
        <v>3032</v>
      </c>
      <c r="N27" s="27">
        <f>19235.5+150+25+580.5+630+630+286+141+61</f>
        <v>21739</v>
      </c>
    </row>
    <row r="28" spans="1:14" ht="18.75" customHeight="1">
      <c r="A28" s="14">
        <v>25</v>
      </c>
      <c r="B28" s="47" t="s">
        <v>22</v>
      </c>
      <c r="C28" s="31" t="s">
        <v>85</v>
      </c>
      <c r="D28" s="5">
        <v>38317</v>
      </c>
      <c r="E28" s="20">
        <v>3</v>
      </c>
      <c r="F28" s="18"/>
      <c r="G28" s="6"/>
      <c r="H28" s="6"/>
      <c r="I28" s="7"/>
      <c r="J28" s="27"/>
      <c r="K28" s="18"/>
      <c r="L28" s="26">
        <v>19</v>
      </c>
      <c r="M28" s="7">
        <f>1647+940+607+20+713+104+414+35+13+83+130+22+39+37+65+67+187+22+182</f>
        <v>5327</v>
      </c>
      <c r="N28" s="27">
        <f>13213+6518+4250+94+4281+583.5+2533+187+73+290.5+455+110+176+205+352+356+675+106+866</f>
        <v>35324</v>
      </c>
    </row>
    <row r="29" spans="1:14" ht="18.75" customHeight="1">
      <c r="A29" s="14">
        <v>26</v>
      </c>
      <c r="B29" s="47" t="s">
        <v>17</v>
      </c>
      <c r="C29" s="31" t="s">
        <v>85</v>
      </c>
      <c r="D29" s="5">
        <v>38324</v>
      </c>
      <c r="E29" s="20">
        <v>2</v>
      </c>
      <c r="F29" s="18"/>
      <c r="G29" s="6"/>
      <c r="H29" s="6"/>
      <c r="I29" s="7"/>
      <c r="J29" s="27"/>
      <c r="K29" s="18"/>
      <c r="L29" s="26">
        <v>13</v>
      </c>
      <c r="M29" s="7">
        <f>403+221+252+261+155+77+125+113+56+96+52+42+317</f>
        <v>2170</v>
      </c>
      <c r="N29" s="27">
        <f>2895+1626+1476.5+1507+862+426+713.5+474+414+469+312+215+951</f>
        <v>12341</v>
      </c>
    </row>
    <row r="30" spans="1:14" ht="18.75" customHeight="1">
      <c r="A30" s="14">
        <v>27</v>
      </c>
      <c r="B30" s="47" t="s">
        <v>15</v>
      </c>
      <c r="C30" s="31" t="s">
        <v>16</v>
      </c>
      <c r="D30" s="5">
        <v>38324</v>
      </c>
      <c r="E30" s="20">
        <v>8</v>
      </c>
      <c r="F30" s="18"/>
      <c r="G30" s="6"/>
      <c r="H30" s="6"/>
      <c r="I30" s="7"/>
      <c r="J30" s="27"/>
      <c r="K30" s="18"/>
      <c r="L30" s="26">
        <v>31</v>
      </c>
      <c r="M30" s="7">
        <f>3109+2251+683+387+1807+494+455+233+449+85+212+100+84+22+36+264+97+436+221+532+46+246+77+341+211+269+38+299+16+12+24</f>
        <v>13536</v>
      </c>
      <c r="N30" s="27">
        <f>28502.5+20442+4809+2729+10537.5+2827.5+3420.5+1622.5+2439+525.5+920+490+407+110+158+1424+486+1888+930+1662+123.5+1283.5+340+1386.5+1127+1304+190+1741+112+84+75</f>
        <v>94096.5</v>
      </c>
    </row>
    <row r="31" spans="1:14" ht="18.75" customHeight="1">
      <c r="A31" s="14">
        <v>28</v>
      </c>
      <c r="B31" s="30" t="s">
        <v>56</v>
      </c>
      <c r="C31" s="31" t="s">
        <v>57</v>
      </c>
      <c r="D31" s="5">
        <v>38359</v>
      </c>
      <c r="E31" s="20">
        <v>4</v>
      </c>
      <c r="F31" s="18"/>
      <c r="G31" s="6"/>
      <c r="H31" s="6"/>
      <c r="I31" s="7"/>
      <c r="J31" s="27"/>
      <c r="K31" s="18"/>
      <c r="L31" s="26">
        <v>16</v>
      </c>
      <c r="M31" s="7">
        <f>526+435+20+608+180+78+93+91+14+4+974+297+57+8+27+22</f>
        <v>3434</v>
      </c>
      <c r="N31" s="27">
        <f>4221+3387+120+3667.5+1040.5+428.5+454+347+66+17+3114.5+891+282+35+165+113</f>
        <v>18349</v>
      </c>
    </row>
    <row r="32" spans="1:14" ht="18.75" customHeight="1">
      <c r="A32" s="14">
        <v>29</v>
      </c>
      <c r="B32" s="30" t="s">
        <v>59</v>
      </c>
      <c r="C32" s="31" t="s">
        <v>12</v>
      </c>
      <c r="D32" s="5">
        <v>38373</v>
      </c>
      <c r="E32" s="20">
        <v>2</v>
      </c>
      <c r="F32" s="18"/>
      <c r="G32" s="6"/>
      <c r="H32" s="6"/>
      <c r="I32" s="7"/>
      <c r="J32" s="27"/>
      <c r="K32" s="18"/>
      <c r="L32" s="26">
        <v>37</v>
      </c>
      <c r="M32" s="7">
        <f>2660+1406+106+75+61+271+429+485+62+14+280+721+7+646+379+386+205+141+83+158+275+168+238+156+103+484+248+147+244+130+81+17+116+317+356+44+50</f>
        <v>11749</v>
      </c>
      <c r="N32" s="27">
        <f>22733+11878+583+516+373+2422+2504+3441.5+350.5+68+1897.5+3010+49+3856+2297+1544+820+501+378.5+751.5+881+717+999+980+461.5+2219+1282+792+883.5+952+527+53+594+951+1068+117+200</f>
        <v>73650.5</v>
      </c>
    </row>
    <row r="33" spans="1:14" ht="18.75" customHeight="1">
      <c r="A33" s="14">
        <v>30</v>
      </c>
      <c r="B33" s="30" t="s">
        <v>60</v>
      </c>
      <c r="C33" s="31" t="s">
        <v>61</v>
      </c>
      <c r="D33" s="5">
        <v>38387</v>
      </c>
      <c r="E33" s="20">
        <v>4</v>
      </c>
      <c r="F33" s="18"/>
      <c r="G33" s="6"/>
      <c r="H33" s="6"/>
      <c r="I33" s="7"/>
      <c r="J33" s="27"/>
      <c r="K33" s="18"/>
      <c r="L33" s="26">
        <v>23</v>
      </c>
      <c r="M33" s="7">
        <f>1272+896+272+136+122+33+393+191+505+24+631+12+13+35+255+34+103+8+39+11+38+317+396</f>
        <v>5736</v>
      </c>
      <c r="N33" s="27">
        <f>8867+6120+1776+515+592+102+2184+1062+1592.5+99+1930+63+66+177+1017+91+458+56+204+61+191+951+1188</f>
        <v>29362.5</v>
      </c>
    </row>
    <row r="34" spans="1:14" ht="18.75" customHeight="1">
      <c r="A34" s="14">
        <v>31</v>
      </c>
      <c r="B34" s="30" t="s">
        <v>62</v>
      </c>
      <c r="C34" s="31" t="s">
        <v>63</v>
      </c>
      <c r="D34" s="5">
        <v>38408</v>
      </c>
      <c r="E34" s="20">
        <v>2</v>
      </c>
      <c r="F34" s="18"/>
      <c r="G34" s="6"/>
      <c r="H34" s="6"/>
      <c r="I34" s="7"/>
      <c r="J34" s="27"/>
      <c r="K34" s="18"/>
      <c r="L34" s="26">
        <v>6</v>
      </c>
      <c r="M34" s="7">
        <f>489+18+33+96+35+396</f>
        <v>1067</v>
      </c>
      <c r="N34" s="27">
        <f>3781+163+258+542+208+1188</f>
        <v>6140</v>
      </c>
    </row>
    <row r="35" spans="1:14" ht="18.75" customHeight="1">
      <c r="A35" s="14">
        <v>32</v>
      </c>
      <c r="B35" s="30" t="s">
        <v>64</v>
      </c>
      <c r="C35" s="31" t="s">
        <v>26</v>
      </c>
      <c r="D35" s="5">
        <v>38415</v>
      </c>
      <c r="E35" s="20">
        <v>4</v>
      </c>
      <c r="F35" s="18"/>
      <c r="G35" s="6"/>
      <c r="H35" s="6"/>
      <c r="I35" s="7"/>
      <c r="J35" s="27"/>
      <c r="K35" s="18"/>
      <c r="L35" s="26">
        <v>16</v>
      </c>
      <c r="M35" s="7">
        <f>1759+778+463+182+67+577+223+24+704+102+50+518+57+364+277+594</f>
        <v>6739</v>
      </c>
      <c r="N35" s="27">
        <f>12655+5564+3062+1171+557+3637+1264.5+128+2583+408+369.5+1538.5+247+1093+831+1872</f>
        <v>36980.5</v>
      </c>
    </row>
    <row r="36" spans="1:14" ht="18.75" customHeight="1">
      <c r="A36" s="14">
        <v>33</v>
      </c>
      <c r="B36" s="30" t="s">
        <v>65</v>
      </c>
      <c r="C36" s="31" t="s">
        <v>83</v>
      </c>
      <c r="D36" s="5">
        <v>38450</v>
      </c>
      <c r="E36" s="20">
        <v>4</v>
      </c>
      <c r="F36" s="18"/>
      <c r="G36" s="6"/>
      <c r="H36" s="6"/>
      <c r="I36" s="7"/>
      <c r="J36" s="27"/>
      <c r="K36" s="18"/>
      <c r="L36" s="26">
        <v>20</v>
      </c>
      <c r="M36" s="7">
        <f>500+349+715+437+70+153+117+291+51+112+213+40+152+100+19+14+154+73+37+78</f>
        <v>3675</v>
      </c>
      <c r="N36" s="27">
        <f>4219+2918+4451.5+2679.5+333+780+632+2047+276+614+1028+292+715.5+427+133+98+532+341+156+340</f>
        <v>23012.5</v>
      </c>
    </row>
    <row r="37" spans="1:14" ht="18.75" customHeight="1">
      <c r="A37" s="14">
        <v>34</v>
      </c>
      <c r="B37" s="30" t="s">
        <v>66</v>
      </c>
      <c r="C37" s="31" t="s">
        <v>81</v>
      </c>
      <c r="D37" s="5">
        <v>38457</v>
      </c>
      <c r="E37" s="20">
        <v>1</v>
      </c>
      <c r="F37" s="18"/>
      <c r="G37" s="6"/>
      <c r="H37" s="6"/>
      <c r="I37" s="7"/>
      <c r="J37" s="27"/>
      <c r="K37" s="18"/>
      <c r="L37" s="26">
        <v>20</v>
      </c>
      <c r="M37" s="7">
        <f>1043+205+41+179+99+91+56+57+101+13+53+20+22+10+93+38+114+4+197+356</f>
        <v>2792</v>
      </c>
      <c r="N37" s="27">
        <f>8654+1524+287+1058.5+552+527+319+303+404+49+174+152+110+53+517+172+612+14+953+1068</f>
        <v>17502.5</v>
      </c>
    </row>
    <row r="38" spans="1:14" ht="18.75" customHeight="1">
      <c r="A38" s="14">
        <v>35</v>
      </c>
      <c r="B38" s="30" t="s">
        <v>67</v>
      </c>
      <c r="C38" s="31" t="s">
        <v>83</v>
      </c>
      <c r="D38" s="5">
        <v>38464</v>
      </c>
      <c r="E38" s="20">
        <v>4</v>
      </c>
      <c r="F38" s="18"/>
      <c r="G38" s="6"/>
      <c r="H38" s="6"/>
      <c r="I38" s="7"/>
      <c r="J38" s="27"/>
      <c r="K38" s="18"/>
      <c r="L38" s="26">
        <v>13</v>
      </c>
      <c r="M38" s="7">
        <f>1431+1027+344+210+158+210+13+43+90+277+317+396+475</f>
        <v>4991</v>
      </c>
      <c r="N38" s="27">
        <f>10744.5+7671+1880.5+630+474+630+103+330.5+521+831+951+1188+1425</f>
        <v>27379.5</v>
      </c>
    </row>
    <row r="39" spans="1:14" ht="18.75" customHeight="1">
      <c r="A39" s="14">
        <v>36</v>
      </c>
      <c r="B39" s="30" t="s">
        <v>68</v>
      </c>
      <c r="C39" s="31" t="s">
        <v>70</v>
      </c>
      <c r="D39" s="5">
        <v>38464</v>
      </c>
      <c r="E39" s="20">
        <v>5</v>
      </c>
      <c r="F39" s="18"/>
      <c r="G39" s="6"/>
      <c r="H39" s="6"/>
      <c r="I39" s="7"/>
      <c r="J39" s="27"/>
      <c r="K39" s="18"/>
      <c r="L39" s="26">
        <v>19</v>
      </c>
      <c r="M39" s="7">
        <f>1449+637+264+21+361+829+371+321+301+303+92+82+173+274+262+547+291+141+158</f>
        <v>6877</v>
      </c>
      <c r="N39" s="27">
        <f>12723+5413.5+1465.5+192+2333+4998.5+1885+1646+1881.5+1533+430+340+771.5+1489+1128+2914.5+1388.5+587+474</f>
        <v>43593.5</v>
      </c>
    </row>
    <row r="40" spans="1:14" ht="18.75" customHeight="1">
      <c r="A40" s="14">
        <v>37</v>
      </c>
      <c r="B40" s="30" t="s">
        <v>69</v>
      </c>
      <c r="C40" s="31" t="s">
        <v>85</v>
      </c>
      <c r="D40" s="5">
        <v>38471</v>
      </c>
      <c r="E40" s="20">
        <v>6</v>
      </c>
      <c r="F40" s="18"/>
      <c r="G40" s="6"/>
      <c r="H40" s="6"/>
      <c r="I40" s="7"/>
      <c r="J40" s="27"/>
      <c r="K40" s="18"/>
      <c r="L40" s="26">
        <v>17</v>
      </c>
      <c r="M40" s="7">
        <f>793+1489+459+383+125+339+39+267+251+314+60+142+290+96+82+154+23+475</f>
        <v>5781</v>
      </c>
      <c r="N40" s="27">
        <f>4633.5+10319+3559+2977+751.5+1629.5+197.5+1509+1287+1380+246+616+1374.5+699+380+724+110+1425</f>
        <v>33817.5</v>
      </c>
    </row>
    <row r="41" spans="1:14" ht="18.75" customHeight="1">
      <c r="A41" s="14">
        <v>38</v>
      </c>
      <c r="B41" s="30" t="s">
        <v>72</v>
      </c>
      <c r="C41" s="31" t="s">
        <v>81</v>
      </c>
      <c r="D41" s="5">
        <v>38492</v>
      </c>
      <c r="E41" s="20">
        <v>4</v>
      </c>
      <c r="F41" s="18"/>
      <c r="G41" s="6"/>
      <c r="H41" s="6"/>
      <c r="I41" s="7"/>
      <c r="J41" s="27"/>
      <c r="K41" s="18"/>
      <c r="L41" s="26">
        <v>22</v>
      </c>
      <c r="M41" s="7">
        <f>1985+833+407+233+1740+569+382+450+436+683+891+715+675+348+374+258+143+102+274+17+19+38</f>
        <v>11572</v>
      </c>
      <c r="N41" s="27">
        <f>15495+5698+2196+1745+9962+3199.5+1919+2082+1903.5+2735.5+6104.5+3886+3618+1859.5+1628.5+1019+545+290+1382+114+64.5+100</f>
        <v>67546.5</v>
      </c>
    </row>
    <row r="42" spans="1:14" ht="18.75" customHeight="1">
      <c r="A42" s="14">
        <v>39</v>
      </c>
      <c r="B42" s="30" t="s">
        <v>123</v>
      </c>
      <c r="C42" s="31" t="s">
        <v>12</v>
      </c>
      <c r="D42" s="5">
        <v>38499</v>
      </c>
      <c r="E42" s="20">
        <v>4</v>
      </c>
      <c r="F42" s="18"/>
      <c r="G42" s="6"/>
      <c r="H42" s="6"/>
      <c r="I42" s="7"/>
      <c r="J42" s="27"/>
      <c r="K42" s="18"/>
      <c r="L42" s="26">
        <v>27</v>
      </c>
      <c r="M42" s="7">
        <f>2789+1727+1388+680+1807+625+989+1020+889+910+721+589+638+984+701+821+834+332+182+881+915+58+515+277+59+277+29</f>
        <v>21637</v>
      </c>
      <c r="N42" s="27">
        <f>22778+10601+8594+4583+9364.5+3598+6225.5+6523+4933.5+4428+3825.5+3189+3765.5+5757.5+4033+4106+4021+2190+1121.5+3123+2905+177+1545+831+202+831+87</f>
        <v>123338.5</v>
      </c>
    </row>
    <row r="43" spans="1:14" ht="18.75" customHeight="1">
      <c r="A43" s="14">
        <v>40</v>
      </c>
      <c r="B43" s="30" t="s">
        <v>73</v>
      </c>
      <c r="C43" s="31" t="s">
        <v>88</v>
      </c>
      <c r="D43" s="5">
        <v>38513</v>
      </c>
      <c r="E43" s="20">
        <v>15</v>
      </c>
      <c r="F43" s="18"/>
      <c r="G43" s="6"/>
      <c r="H43" s="6"/>
      <c r="I43" s="7"/>
      <c r="J43" s="27"/>
      <c r="K43" s="18"/>
      <c r="L43" s="26">
        <v>10</v>
      </c>
      <c r="M43" s="7">
        <f>2166+618+574+257+434+378+313+237+10+66</f>
        <v>5053</v>
      </c>
      <c r="N43" s="27">
        <f>15734+4492+3131.5+1266+2215+1784.5+1560.5+1012+41+231</f>
        <v>31467.5</v>
      </c>
    </row>
    <row r="44" spans="1:14" ht="18.75" customHeight="1">
      <c r="A44" s="14">
        <v>41</v>
      </c>
      <c r="B44" s="30" t="s">
        <v>74</v>
      </c>
      <c r="C44" s="31" t="s">
        <v>12</v>
      </c>
      <c r="D44" s="5">
        <v>38520</v>
      </c>
      <c r="E44" s="20">
        <v>2</v>
      </c>
      <c r="F44" s="18"/>
      <c r="G44" s="6"/>
      <c r="H44" s="6"/>
      <c r="I44" s="7"/>
      <c r="J44" s="27"/>
      <c r="K44" s="18"/>
      <c r="L44" s="26">
        <v>22</v>
      </c>
      <c r="M44" s="7">
        <f>1398+789+237+833+250+754+477+600+452+378+243+147+330+455+70+317+792+80+35+54+58+12</f>
        <v>8761</v>
      </c>
      <c r="N44" s="27">
        <f>11460+4486+1917+5649+1921+4419.5+2697.5+3893+2316+2457.5+1307+659.5+1738+1545+458+951+2376+246.5+211+162+232+36</f>
        <v>51138.5</v>
      </c>
    </row>
    <row r="45" spans="1:14" ht="18.75" customHeight="1">
      <c r="A45" s="14">
        <v>42</v>
      </c>
      <c r="B45" s="30" t="s">
        <v>75</v>
      </c>
      <c r="C45" s="31" t="s">
        <v>76</v>
      </c>
      <c r="D45" s="5">
        <v>38527</v>
      </c>
      <c r="E45" s="20">
        <v>40</v>
      </c>
      <c r="F45" s="18"/>
      <c r="G45" s="6"/>
      <c r="H45" s="6"/>
      <c r="I45" s="7"/>
      <c r="J45" s="27"/>
      <c r="K45" s="18"/>
      <c r="L45" s="26">
        <v>20</v>
      </c>
      <c r="M45" s="7">
        <f>22276+10695+6895+8027+5355+5096+3300+2445+1008+304+141+354+317+59+440+112+356+277+66+76</f>
        <v>67599</v>
      </c>
      <c r="N45" s="27">
        <f>154087+69943.5+42582.5+46660.5+28605+26705.5+16050+12214+4188+1367.5+522.5+1501.5+1585+314+1412+504+1068+831+304+493</f>
        <v>410938.5</v>
      </c>
    </row>
    <row r="46" spans="1:14" ht="18.75" customHeight="1">
      <c r="A46" s="14">
        <v>43</v>
      </c>
      <c r="B46" s="30" t="s">
        <v>77</v>
      </c>
      <c r="C46" s="31" t="s">
        <v>84</v>
      </c>
      <c r="D46" s="5">
        <v>38548</v>
      </c>
      <c r="E46" s="20">
        <v>4</v>
      </c>
      <c r="F46" s="18"/>
      <c r="G46" s="6"/>
      <c r="H46" s="6"/>
      <c r="I46" s="7"/>
      <c r="J46" s="27"/>
      <c r="K46" s="18"/>
      <c r="L46" s="26">
        <v>8</v>
      </c>
      <c r="M46" s="7">
        <f>1164+11+113+75+86+16+12+396</f>
        <v>1873</v>
      </c>
      <c r="N46" s="27">
        <f>8588+87+579+488+486+112+84+1188</f>
        <v>11612</v>
      </c>
    </row>
    <row r="47" spans="1:14" ht="18.75" customHeight="1">
      <c r="A47" s="14">
        <v>44</v>
      </c>
      <c r="B47" s="30" t="s">
        <v>78</v>
      </c>
      <c r="C47" s="31" t="s">
        <v>81</v>
      </c>
      <c r="D47" s="5">
        <v>38548</v>
      </c>
      <c r="E47" s="20">
        <v>5</v>
      </c>
      <c r="F47" s="18"/>
      <c r="G47" s="6"/>
      <c r="H47" s="6"/>
      <c r="I47" s="7"/>
      <c r="J47" s="27"/>
      <c r="K47" s="18"/>
      <c r="L47" s="26">
        <v>16</v>
      </c>
      <c r="M47" s="7">
        <f>1417+942+490+1547+820+734+453+492+521+723+171+34+68+64+56+79</f>
        <v>8611</v>
      </c>
      <c r="N47" s="27">
        <f>12907+8305+3709+9521+5595+4291.5+2313.5+2410+2771+3491+829+102+364+256+314+461</f>
        <v>57640</v>
      </c>
    </row>
    <row r="48" spans="1:14" ht="18.75" customHeight="1">
      <c r="A48" s="14">
        <v>45</v>
      </c>
      <c r="B48" s="30" t="s">
        <v>79</v>
      </c>
      <c r="C48" s="31" t="s">
        <v>80</v>
      </c>
      <c r="D48" s="5">
        <v>38562</v>
      </c>
      <c r="E48" s="20">
        <v>17</v>
      </c>
      <c r="F48" s="18"/>
      <c r="G48" s="6"/>
      <c r="H48" s="6"/>
      <c r="I48" s="7"/>
      <c r="J48" s="27"/>
      <c r="K48" s="18"/>
      <c r="L48" s="26">
        <v>19</v>
      </c>
      <c r="M48" s="7">
        <f>5784+3021+2132+2749+1971+1476+548+235+132+276+72+47+356+89+23+60+163+238+9</f>
        <v>19381</v>
      </c>
      <c r="N48" s="27">
        <f>46886+23773.5+13445+15927.5+10251.5+6843+2778+954+709+1175+367+167.5+1068+267+69+196+830+714+36</f>
        <v>126457</v>
      </c>
    </row>
    <row r="49" spans="1:14" ht="18.75" customHeight="1">
      <c r="A49" s="14">
        <v>46</v>
      </c>
      <c r="B49" s="30" t="s">
        <v>82</v>
      </c>
      <c r="C49" s="31" t="s">
        <v>24</v>
      </c>
      <c r="D49" s="5">
        <v>38576</v>
      </c>
      <c r="E49" s="20">
        <v>2</v>
      </c>
      <c r="F49" s="18"/>
      <c r="G49" s="6"/>
      <c r="H49" s="6"/>
      <c r="I49" s="7"/>
      <c r="J49" s="27"/>
      <c r="K49" s="18"/>
      <c r="L49" s="26">
        <v>11</v>
      </c>
      <c r="M49" s="7">
        <f>614+403+373+249+20+227+71+356+515+396+503</f>
        <v>3727</v>
      </c>
      <c r="N49" s="27">
        <f>5147+3151+2811+1993+134+1294+416.5+1068+1545+1188+1509</f>
        <v>20256.5</v>
      </c>
    </row>
    <row r="50" spans="1:14" ht="18.75" customHeight="1">
      <c r="A50" s="14">
        <v>47</v>
      </c>
      <c r="B50" s="30" t="s">
        <v>86</v>
      </c>
      <c r="C50" s="31" t="s">
        <v>70</v>
      </c>
      <c r="D50" s="5">
        <v>38597</v>
      </c>
      <c r="E50" s="20">
        <v>11</v>
      </c>
      <c r="F50" s="18"/>
      <c r="G50" s="6"/>
      <c r="H50" s="6"/>
      <c r="I50" s="7"/>
      <c r="J50" s="27"/>
      <c r="K50" s="18"/>
      <c r="L50" s="26">
        <v>14</v>
      </c>
      <c r="M50" s="7">
        <f>3582+2311+1634+907+581+536+60+475+396+594+356+523+396+225</f>
        <v>12576</v>
      </c>
      <c r="N50" s="27">
        <f>31296+19081.5+11825+6700+3918.5+3397+311+1425+1188+1782+1068+1569+1188+675</f>
        <v>85424</v>
      </c>
    </row>
    <row r="51" spans="1:14" ht="18.75" customHeight="1">
      <c r="A51" s="14">
        <v>48</v>
      </c>
      <c r="B51" s="30" t="s">
        <v>87</v>
      </c>
      <c r="C51" s="31" t="s">
        <v>83</v>
      </c>
      <c r="D51" s="5">
        <v>38618</v>
      </c>
      <c r="E51" s="20">
        <v>12</v>
      </c>
      <c r="F51" s="18"/>
      <c r="G51" s="6"/>
      <c r="H51" s="6"/>
      <c r="I51" s="7"/>
      <c r="J51" s="27"/>
      <c r="K51" s="18"/>
      <c r="L51" s="26">
        <v>16</v>
      </c>
      <c r="M51" s="7">
        <f>5199+2957+1586+911+479+1209+396+166+147+48+356+148+508+6+193+175</f>
        <v>14484</v>
      </c>
      <c r="N51" s="27">
        <f>37775.5+21253+11530+4890+2484+5413.5+1188+835+752+145+1068+608+1737+48+952+525</f>
        <v>91204</v>
      </c>
    </row>
    <row r="52" spans="1:14" ht="18.75" customHeight="1">
      <c r="A52" s="14">
        <v>49</v>
      </c>
      <c r="B52" s="30" t="s">
        <v>89</v>
      </c>
      <c r="C52" s="31" t="s">
        <v>81</v>
      </c>
      <c r="D52" s="5">
        <v>38639</v>
      </c>
      <c r="E52" s="20">
        <v>7</v>
      </c>
      <c r="F52" s="18"/>
      <c r="G52" s="6"/>
      <c r="H52" s="6"/>
      <c r="I52" s="7"/>
      <c r="J52" s="27"/>
      <c r="K52" s="18"/>
      <c r="L52" s="26">
        <v>16</v>
      </c>
      <c r="M52" s="7">
        <f>3714+3514+2496+1322+559+1053+41+881+30+141+105+319+673+69+503+22</f>
        <v>15442</v>
      </c>
      <c r="N52" s="27">
        <f>28963.5+28618+20693+7789.5+4183+3517+224+3660+150+741+315+957+2019+413+1509+66</f>
        <v>103818</v>
      </c>
    </row>
    <row r="53" spans="1:14" ht="18.75" customHeight="1">
      <c r="A53" s="14">
        <v>50</v>
      </c>
      <c r="B53" s="30" t="s">
        <v>90</v>
      </c>
      <c r="C53" s="31" t="s">
        <v>91</v>
      </c>
      <c r="D53" s="5">
        <v>38653</v>
      </c>
      <c r="E53" s="20">
        <v>3</v>
      </c>
      <c r="F53" s="18"/>
      <c r="G53" s="6"/>
      <c r="H53" s="6"/>
      <c r="I53" s="7"/>
      <c r="J53" s="27"/>
      <c r="K53" s="18"/>
      <c r="L53" s="26">
        <v>14</v>
      </c>
      <c r="M53" s="7">
        <f>734+283+177+162+450+470+515+475+16+356+9+4+554+238</f>
        <v>4443</v>
      </c>
      <c r="N53" s="27">
        <f>5926+2349+928+998.5+1715.5+1513+1545+1425+83+1068+50+21+1662+714</f>
        <v>19998</v>
      </c>
    </row>
    <row r="54" spans="1:14" ht="18.75" customHeight="1">
      <c r="A54" s="14">
        <v>51</v>
      </c>
      <c r="B54" s="30" t="s">
        <v>92</v>
      </c>
      <c r="C54" s="31" t="s">
        <v>81</v>
      </c>
      <c r="D54" s="5">
        <v>38660</v>
      </c>
      <c r="E54" s="20">
        <v>8</v>
      </c>
      <c r="F54" s="18"/>
      <c r="G54" s="6">
        <v>16</v>
      </c>
      <c r="H54" s="6">
        <v>1</v>
      </c>
      <c r="I54" s="7">
        <v>53</v>
      </c>
      <c r="J54" s="27">
        <v>403</v>
      </c>
      <c r="K54" s="18"/>
      <c r="L54" s="26">
        <v>16</v>
      </c>
      <c r="M54" s="7">
        <f>4953+2834+1525+1678+808+620+471+396+356+11+12+30+792+277+5+53</f>
        <v>14821</v>
      </c>
      <c r="N54" s="27">
        <f>37589.5+21430+10735+7513+3397+2698.5+1694+1188+1068+61+66+192+2376+831+15+403</f>
        <v>91257</v>
      </c>
    </row>
    <row r="55" spans="1:14" ht="18.75" customHeight="1">
      <c r="A55" s="14">
        <v>52</v>
      </c>
      <c r="B55" s="30" t="s">
        <v>93</v>
      </c>
      <c r="C55" s="31" t="s">
        <v>70</v>
      </c>
      <c r="D55" s="5">
        <v>38688</v>
      </c>
      <c r="E55" s="20">
        <v>10</v>
      </c>
      <c r="F55" s="18"/>
      <c r="G55" s="6"/>
      <c r="H55" s="6"/>
      <c r="I55" s="7"/>
      <c r="J55" s="27"/>
      <c r="K55" s="18"/>
      <c r="L55" s="26">
        <v>16</v>
      </c>
      <c r="M55" s="7">
        <f>1984+886+304+13+45+22+356+25+554+45+31+238+285+15+45+503</f>
        <v>5351</v>
      </c>
      <c r="N55" s="27">
        <f>15934.5+5962.5+2065.5+65+247.5+98+1068+250+1662+351+295+714+855+64+180+1509</f>
        <v>31321</v>
      </c>
    </row>
    <row r="56" spans="1:14" ht="18.75" customHeight="1">
      <c r="A56" s="14">
        <v>53</v>
      </c>
      <c r="B56" s="30" t="s">
        <v>94</v>
      </c>
      <c r="C56" s="31" t="s">
        <v>12</v>
      </c>
      <c r="D56" s="5">
        <v>38688</v>
      </c>
      <c r="E56" s="20">
        <v>2</v>
      </c>
      <c r="F56" s="18"/>
      <c r="G56" s="6"/>
      <c r="H56" s="6"/>
      <c r="I56" s="7"/>
      <c r="J56" s="27"/>
      <c r="K56" s="18"/>
      <c r="L56" s="26">
        <v>16</v>
      </c>
      <c r="M56" s="7">
        <f>1142+792+838+412+162+13+8+158+367+15+5+396+277+594+503+36</f>
        <v>5718</v>
      </c>
      <c r="N56" s="27">
        <f>9081+6367+5550.5+2849+1028+105+60+1038+1128+85+27+1188+831+1782+1509+108</f>
        <v>32736.5</v>
      </c>
    </row>
    <row r="57" spans="1:14" ht="18.75" customHeight="1">
      <c r="A57" s="14">
        <v>54</v>
      </c>
      <c r="B57" s="30" t="s">
        <v>95</v>
      </c>
      <c r="C57" s="31" t="s">
        <v>96</v>
      </c>
      <c r="D57" s="5">
        <v>38709</v>
      </c>
      <c r="E57" s="20">
        <v>2</v>
      </c>
      <c r="F57" s="18"/>
      <c r="G57" s="6">
        <v>15</v>
      </c>
      <c r="H57" s="6">
        <v>1</v>
      </c>
      <c r="I57" s="7">
        <v>115</v>
      </c>
      <c r="J57" s="27">
        <v>750</v>
      </c>
      <c r="K57" s="18"/>
      <c r="L57" s="26">
        <v>15</v>
      </c>
      <c r="M57" s="7">
        <f>411+260+76+113+17+277+285+198+475+396+370+9+780+11+115</f>
        <v>3793</v>
      </c>
      <c r="N57" s="27">
        <f>3016+2037+320+565+129+831+855+594+1425+1188+1144+47+2340+33+750</f>
        <v>15274</v>
      </c>
    </row>
    <row r="58" spans="1:14" ht="18.75" customHeight="1">
      <c r="A58" s="14">
        <v>55</v>
      </c>
      <c r="B58" s="30" t="s">
        <v>97</v>
      </c>
      <c r="C58" s="31" t="s">
        <v>12</v>
      </c>
      <c r="D58" s="5">
        <v>38716</v>
      </c>
      <c r="E58" s="20">
        <v>9</v>
      </c>
      <c r="F58" s="18"/>
      <c r="G58" s="6">
        <v>26</v>
      </c>
      <c r="H58" s="6">
        <v>3</v>
      </c>
      <c r="I58" s="7">
        <v>254</v>
      </c>
      <c r="J58" s="27">
        <v>786</v>
      </c>
      <c r="K58" s="18"/>
      <c r="L58" s="26">
        <v>26</v>
      </c>
      <c r="M58" s="7">
        <f>5101+2761+1545+448+1608+159+304+206+436+246+162+276+329+246+181+254+303+684+2148+666+66+111+863+472+372+254</f>
        <v>20201</v>
      </c>
      <c r="N58" s="27">
        <f>41335+22428+10569.5+2994.5+6995.5+477+1541+1030+1308+1168.5+974+1343+1399+1115+913+1257+1859.5+2654.5+10471+2543+294+573+4437+2101.5+1610+786</f>
        <v>124177.5</v>
      </c>
    </row>
    <row r="59" spans="1:14" ht="18.75" customHeight="1">
      <c r="A59" s="14">
        <v>56</v>
      </c>
      <c r="B59" s="30" t="s">
        <v>98</v>
      </c>
      <c r="C59" s="31" t="s">
        <v>26</v>
      </c>
      <c r="D59" s="5">
        <v>38723</v>
      </c>
      <c r="E59" s="20">
        <v>3</v>
      </c>
      <c r="F59" s="18"/>
      <c r="G59" s="6">
        <v>17</v>
      </c>
      <c r="H59" s="6">
        <v>1</v>
      </c>
      <c r="I59" s="7">
        <v>221</v>
      </c>
      <c r="J59" s="27">
        <v>1451</v>
      </c>
      <c r="K59" s="18"/>
      <c r="L59" s="26">
        <v>17</v>
      </c>
      <c r="M59" s="7">
        <f>2787+1607+844+585+460+145+463+399+9+7+594+356+238+396+780+313+221</f>
        <v>10204</v>
      </c>
      <c r="N59" s="27">
        <f>22570+12751+6691+4543+3462+1141+1389+1484.5+48+38+1782+1068+714+1188+2340+2005+1451</f>
        <v>64665.5</v>
      </c>
    </row>
    <row r="60" spans="1:14" ht="18.75" customHeight="1">
      <c r="A60" s="14">
        <v>57</v>
      </c>
      <c r="B60" s="30" t="s">
        <v>99</v>
      </c>
      <c r="C60" s="31" t="s">
        <v>100</v>
      </c>
      <c r="D60" s="5">
        <v>38723</v>
      </c>
      <c r="E60" s="20">
        <v>5</v>
      </c>
      <c r="F60" s="18"/>
      <c r="G60" s="6"/>
      <c r="H60" s="6"/>
      <c r="I60" s="7"/>
      <c r="J60" s="27"/>
      <c r="K60" s="18"/>
      <c r="L60" s="26">
        <v>8</v>
      </c>
      <c r="M60" s="7">
        <f>932+357+92+247+90+24+25+88</f>
        <v>1855</v>
      </c>
      <c r="N60" s="27">
        <f>7149+2747+756+1338+270+74+91+462</f>
        <v>12887</v>
      </c>
    </row>
    <row r="61" spans="1:14" ht="18.75" customHeight="1">
      <c r="A61" s="14">
        <v>58</v>
      </c>
      <c r="B61" s="30" t="s">
        <v>101</v>
      </c>
      <c r="C61" s="31" t="s">
        <v>102</v>
      </c>
      <c r="D61" s="5">
        <v>38744</v>
      </c>
      <c r="E61" s="20">
        <v>7</v>
      </c>
      <c r="F61" s="18"/>
      <c r="G61" s="6">
        <v>21</v>
      </c>
      <c r="H61" s="6">
        <v>2</v>
      </c>
      <c r="I61" s="7">
        <v>19</v>
      </c>
      <c r="J61" s="27">
        <v>77</v>
      </c>
      <c r="K61" s="18"/>
      <c r="L61" s="26">
        <v>21</v>
      </c>
      <c r="M61" s="7">
        <f>2772+1034+467+35+792+451+260+597+327+776+1582+1115+514+499+716+31+45+79+173+21+19</f>
        <v>12305</v>
      </c>
      <c r="N61" s="27">
        <f>23060.5+7183+3670+700+2376+2273+1430+3390+1771.5+3246+11360+7257.5+2859+2510+4107+155+170+490+579+165+77</f>
        <v>78829.5</v>
      </c>
    </row>
    <row r="62" spans="1:14" ht="18.75" customHeight="1">
      <c r="A62" s="14">
        <v>59</v>
      </c>
      <c r="B62" s="30" t="s">
        <v>103</v>
      </c>
      <c r="C62" s="31" t="s">
        <v>37</v>
      </c>
      <c r="D62" s="5">
        <v>38751</v>
      </c>
      <c r="E62" s="20">
        <v>1</v>
      </c>
      <c r="F62" s="18"/>
      <c r="G62" s="6">
        <v>12</v>
      </c>
      <c r="H62" s="6">
        <v>1</v>
      </c>
      <c r="I62" s="7">
        <v>6</v>
      </c>
      <c r="J62" s="27">
        <v>31</v>
      </c>
      <c r="K62" s="18"/>
      <c r="L62" s="26">
        <v>12</v>
      </c>
      <c r="M62" s="7">
        <f>796+708+467+329+60+87+264+364+356+20+4+6</f>
        <v>3461</v>
      </c>
      <c r="N62" s="27">
        <f>6339+5656+3753+2609+448+675+1816+2430+1068+117+22+31</f>
        <v>24964</v>
      </c>
    </row>
    <row r="63" spans="1:14" ht="18.75" customHeight="1">
      <c r="A63" s="14">
        <v>60</v>
      </c>
      <c r="B63" s="30" t="s">
        <v>105</v>
      </c>
      <c r="C63" s="31" t="s">
        <v>106</v>
      </c>
      <c r="D63" s="5">
        <v>38758</v>
      </c>
      <c r="E63" s="20">
        <v>4</v>
      </c>
      <c r="F63" s="18"/>
      <c r="G63" s="6">
        <v>20</v>
      </c>
      <c r="H63" s="6">
        <v>2</v>
      </c>
      <c r="I63" s="7">
        <v>115</v>
      </c>
      <c r="J63" s="27">
        <v>636</v>
      </c>
      <c r="K63" s="18"/>
      <c r="L63" s="26">
        <v>20</v>
      </c>
      <c r="M63" s="7">
        <f>1552+1090+669+166+430+252+1516+804+308+163+443+768+612+467+81+595+318+329+55+115</f>
        <v>10733</v>
      </c>
      <c r="N63" s="27">
        <f>12456+7990+4147+1031+2942.5+1687.5+5526.5+3841.5+1352.5+925+2425+2735+1963+2610.5+374+1948+1054+1475.5+196+636</f>
        <v>57316.5</v>
      </c>
    </row>
    <row r="64" spans="1:14" ht="18.75" customHeight="1">
      <c r="A64" s="14">
        <v>61</v>
      </c>
      <c r="B64" s="30" t="s">
        <v>107</v>
      </c>
      <c r="C64" s="31" t="s">
        <v>108</v>
      </c>
      <c r="D64" s="5">
        <v>38779</v>
      </c>
      <c r="E64" s="20">
        <v>10</v>
      </c>
      <c r="F64" s="18"/>
      <c r="G64" s="6">
        <v>18</v>
      </c>
      <c r="H64" s="6">
        <v>2</v>
      </c>
      <c r="I64" s="7">
        <v>361</v>
      </c>
      <c r="J64" s="27">
        <v>2033</v>
      </c>
      <c r="K64" s="18"/>
      <c r="L64" s="26">
        <v>18</v>
      </c>
      <c r="M64" s="7">
        <f>2548+994+309+438+475+587+190+1491+27+979+277+594+475+870+277+75+26+361</f>
        <v>10993</v>
      </c>
      <c r="N64" s="27">
        <f>19635+7029.5+1939.5+1932.5+1425+2285+846+5995.5+272.5+3026+831+1782+1425+2693.5+831+321+104+2033</f>
        <v>54407</v>
      </c>
    </row>
    <row r="65" spans="1:14" ht="18.75" customHeight="1">
      <c r="A65" s="14">
        <v>62</v>
      </c>
      <c r="B65" s="30" t="s">
        <v>109</v>
      </c>
      <c r="C65" s="31" t="s">
        <v>110</v>
      </c>
      <c r="D65" s="5">
        <v>38786</v>
      </c>
      <c r="E65" s="20">
        <v>6</v>
      </c>
      <c r="F65" s="18"/>
      <c r="G65" s="6">
        <v>7</v>
      </c>
      <c r="H65" s="6">
        <v>6</v>
      </c>
      <c r="I65" s="7">
        <v>332</v>
      </c>
      <c r="J65" s="27">
        <v>2312</v>
      </c>
      <c r="K65" s="18"/>
      <c r="L65" s="26">
        <v>7</v>
      </c>
      <c r="M65" s="7">
        <f>1039+275+26+515+419+32+332</f>
        <v>2638</v>
      </c>
      <c r="N65" s="27">
        <f>9397.5+2137+188+1545+1416+96+2312</f>
        <v>17091.5</v>
      </c>
    </row>
    <row r="66" spans="1:14" ht="18.75" customHeight="1">
      <c r="A66" s="14">
        <v>63</v>
      </c>
      <c r="B66" s="30" t="s">
        <v>111</v>
      </c>
      <c r="C66" s="31" t="s">
        <v>21</v>
      </c>
      <c r="D66" s="5">
        <v>38814</v>
      </c>
      <c r="E66" s="20">
        <v>14</v>
      </c>
      <c r="F66" s="18"/>
      <c r="G66" s="6">
        <v>13</v>
      </c>
      <c r="H66" s="6">
        <v>1</v>
      </c>
      <c r="I66" s="7">
        <v>149</v>
      </c>
      <c r="J66" s="27">
        <v>596</v>
      </c>
      <c r="K66" s="18"/>
      <c r="L66" s="26">
        <v>13</v>
      </c>
      <c r="M66" s="7">
        <f>4620+1821+1003+1445+1813+1225+30+68+737+144+310+211+149</f>
        <v>13576</v>
      </c>
      <c r="N66" s="27">
        <f>43111+13278+6067.5+7325+7474+6516.5+154+328+3068+571+1240+894+596</f>
        <v>90623</v>
      </c>
    </row>
    <row r="67" spans="1:14" ht="18.75" customHeight="1">
      <c r="A67" s="14">
        <v>64</v>
      </c>
      <c r="B67" s="30" t="s">
        <v>112</v>
      </c>
      <c r="C67" s="31" t="s">
        <v>113</v>
      </c>
      <c r="D67" s="5">
        <v>38828</v>
      </c>
      <c r="E67" s="20">
        <v>6</v>
      </c>
      <c r="F67" s="18"/>
      <c r="G67" s="6">
        <v>11</v>
      </c>
      <c r="H67" s="6">
        <v>1</v>
      </c>
      <c r="I67" s="7">
        <v>11</v>
      </c>
      <c r="J67" s="27">
        <v>84</v>
      </c>
      <c r="K67" s="18"/>
      <c r="L67" s="26">
        <v>11</v>
      </c>
      <c r="M67" s="7">
        <f>1055+574+361+886+56+580+32+529+180+158+11</f>
        <v>4422</v>
      </c>
      <c r="N67" s="27">
        <f>8964+4246+2175+6296+364+3248+189+2148.5+879.5+474+84</f>
        <v>29068</v>
      </c>
    </row>
    <row r="68" spans="1:14" ht="18.75" customHeight="1">
      <c r="A68" s="14">
        <v>65</v>
      </c>
      <c r="B68" s="30" t="s">
        <v>114</v>
      </c>
      <c r="C68" s="31" t="s">
        <v>115</v>
      </c>
      <c r="D68" s="5">
        <v>38835</v>
      </c>
      <c r="E68" s="20">
        <v>5</v>
      </c>
      <c r="F68" s="18"/>
      <c r="G68" s="6"/>
      <c r="H68" s="6"/>
      <c r="I68" s="7"/>
      <c r="J68" s="27"/>
      <c r="K68" s="18"/>
      <c r="L68" s="26">
        <v>9</v>
      </c>
      <c r="M68" s="7">
        <f>103+657+317+178+15+682+143+159+211+277</f>
        <v>2742</v>
      </c>
      <c r="N68" s="27">
        <f>497.5+5960+2567+1138+75+2686+941.5+877+1134+831</f>
        <v>16707</v>
      </c>
    </row>
    <row r="69" spans="1:14" ht="18.75" customHeight="1">
      <c r="A69" s="14">
        <v>66</v>
      </c>
      <c r="B69" s="30" t="s">
        <v>116</v>
      </c>
      <c r="C69" s="31" t="s">
        <v>24</v>
      </c>
      <c r="D69" s="5">
        <v>38849</v>
      </c>
      <c r="E69" s="20">
        <v>4</v>
      </c>
      <c r="F69" s="18"/>
      <c r="G69" s="6"/>
      <c r="H69" s="6"/>
      <c r="I69" s="7"/>
      <c r="J69" s="27"/>
      <c r="K69" s="18"/>
      <c r="L69" s="26">
        <v>7</v>
      </c>
      <c r="M69" s="7">
        <f>1678+1149+734+247+1506+495+228+65</f>
        <v>6102</v>
      </c>
      <c r="N69" s="27">
        <f>12183.25+8569+5406+1833+4570+3387+1518.5+434.5</f>
        <v>37901.25</v>
      </c>
    </row>
    <row r="70" spans="1:14" ht="18.75" customHeight="1">
      <c r="A70" s="14">
        <v>67</v>
      </c>
      <c r="B70" s="30" t="s">
        <v>117</v>
      </c>
      <c r="C70" s="31" t="s">
        <v>26</v>
      </c>
      <c r="D70" s="5">
        <v>38849</v>
      </c>
      <c r="E70" s="20">
        <v>1</v>
      </c>
      <c r="F70" s="18"/>
      <c r="G70" s="6">
        <v>5</v>
      </c>
      <c r="H70" s="6">
        <v>1</v>
      </c>
      <c r="I70" s="7">
        <v>11</v>
      </c>
      <c r="J70" s="27">
        <v>77</v>
      </c>
      <c r="K70" s="18"/>
      <c r="L70" s="26">
        <v>5</v>
      </c>
      <c r="M70" s="7">
        <f>772+80+66+24+317+11</f>
        <v>1270</v>
      </c>
      <c r="N70" s="27">
        <f>3427.5+602+330+168+951+77</f>
        <v>5555.5</v>
      </c>
    </row>
    <row r="71" spans="1:14" ht="18.75" customHeight="1">
      <c r="A71" s="14">
        <v>68</v>
      </c>
      <c r="B71" s="30" t="s">
        <v>118</v>
      </c>
      <c r="C71" s="31" t="s">
        <v>119</v>
      </c>
      <c r="D71" s="5">
        <v>38856</v>
      </c>
      <c r="E71" s="20">
        <v>10</v>
      </c>
      <c r="F71" s="18"/>
      <c r="G71" s="6"/>
      <c r="H71" s="6"/>
      <c r="I71" s="7"/>
      <c r="J71" s="27"/>
      <c r="K71" s="18"/>
      <c r="L71" s="26">
        <v>7</v>
      </c>
      <c r="M71" s="7">
        <f>3022+1231+222+243+253+158+356</f>
        <v>5485</v>
      </c>
      <c r="N71" s="27">
        <f>21534.5+7198.5+1602+1559+1382+790+1068</f>
        <v>35134</v>
      </c>
    </row>
    <row r="72" spans="1:14" ht="18.75" customHeight="1">
      <c r="A72" s="14">
        <v>69</v>
      </c>
      <c r="B72" s="30" t="s">
        <v>120</v>
      </c>
      <c r="C72" s="31" t="s">
        <v>121</v>
      </c>
      <c r="D72" s="5">
        <v>38863</v>
      </c>
      <c r="E72" s="20">
        <v>35</v>
      </c>
      <c r="F72" s="18"/>
      <c r="G72" s="6">
        <v>7</v>
      </c>
      <c r="H72" s="6">
        <v>32</v>
      </c>
      <c r="I72" s="7">
        <v>6684</v>
      </c>
      <c r="J72" s="27">
        <v>36570.5</v>
      </c>
      <c r="K72" s="18"/>
      <c r="L72" s="26">
        <v>7</v>
      </c>
      <c r="M72" s="7">
        <f>19608+17668+11309+10378+6088+6513+6684</f>
        <v>78248</v>
      </c>
      <c r="N72" s="27">
        <f>149883.5+135641.5+82301.5+72589.5+39819+39540+36570.5</f>
        <v>556345.5</v>
      </c>
    </row>
    <row r="73" spans="1:14" ht="18.75" customHeight="1">
      <c r="A73" s="14">
        <v>70</v>
      </c>
      <c r="B73" s="30" t="s">
        <v>122</v>
      </c>
      <c r="C73" s="31" t="s">
        <v>21</v>
      </c>
      <c r="D73" s="5">
        <v>38870</v>
      </c>
      <c r="E73" s="20">
        <v>5</v>
      </c>
      <c r="F73" s="18"/>
      <c r="G73" s="6">
        <v>6</v>
      </c>
      <c r="H73" s="6">
        <v>5</v>
      </c>
      <c r="I73" s="7">
        <v>996</v>
      </c>
      <c r="J73" s="27">
        <v>7379.5</v>
      </c>
      <c r="K73" s="18"/>
      <c r="L73" s="26">
        <v>6</v>
      </c>
      <c r="M73" s="7">
        <f>2709+885+473+442+218+235+996</f>
        <v>5958</v>
      </c>
      <c r="N73" s="27">
        <f>20882.25+8209.5+3896+2400+1136+1611+7379.5</f>
        <v>45514.25</v>
      </c>
    </row>
    <row r="74" spans="1:14" ht="18.75" customHeight="1">
      <c r="A74" s="14">
        <v>71</v>
      </c>
      <c r="B74" s="30" t="s">
        <v>124</v>
      </c>
      <c r="C74" s="31" t="s">
        <v>37</v>
      </c>
      <c r="D74" s="5">
        <v>38877</v>
      </c>
      <c r="E74" s="20">
        <v>64</v>
      </c>
      <c r="F74" s="18"/>
      <c r="G74" s="6">
        <v>5</v>
      </c>
      <c r="H74" s="6">
        <v>39</v>
      </c>
      <c r="I74" s="7">
        <v>2315</v>
      </c>
      <c r="J74" s="27">
        <v>12618.5</v>
      </c>
      <c r="K74" s="18"/>
      <c r="L74" s="26">
        <v>5</v>
      </c>
      <c r="M74" s="7">
        <f>14426+9567+3182+3017+2315</f>
        <v>32507</v>
      </c>
      <c r="N74" s="27">
        <f>94169.5+63426.5+19841+16453.5+12618.5</f>
        <v>206509</v>
      </c>
    </row>
    <row r="75" spans="1:14" ht="18.75" customHeight="1">
      <c r="A75" s="14">
        <v>72</v>
      </c>
      <c r="B75" s="30" t="s">
        <v>125</v>
      </c>
      <c r="C75" s="31" t="s">
        <v>119</v>
      </c>
      <c r="D75" s="5">
        <v>38891</v>
      </c>
      <c r="E75" s="20">
        <v>1</v>
      </c>
      <c r="F75" s="18"/>
      <c r="G75" s="6"/>
      <c r="H75" s="6"/>
      <c r="I75" s="7"/>
      <c r="J75" s="27"/>
      <c r="K75" s="18"/>
      <c r="L75" s="26">
        <v>2</v>
      </c>
      <c r="M75" s="7">
        <f>883+117+49</f>
        <v>1049</v>
      </c>
      <c r="N75" s="27">
        <f>3624+741+309</f>
        <v>4674</v>
      </c>
    </row>
    <row r="76" spans="1:14" ht="18.75" customHeight="1">
      <c r="A76" s="14">
        <v>73</v>
      </c>
      <c r="B76" s="30" t="s">
        <v>126</v>
      </c>
      <c r="C76" s="31" t="s">
        <v>121</v>
      </c>
      <c r="D76" s="5">
        <v>38891</v>
      </c>
      <c r="E76" s="20">
        <v>45</v>
      </c>
      <c r="F76" s="18"/>
      <c r="G76" s="6">
        <v>3</v>
      </c>
      <c r="H76" s="6">
        <v>47</v>
      </c>
      <c r="I76" s="7">
        <v>13506</v>
      </c>
      <c r="J76" s="27">
        <v>83531.5</v>
      </c>
      <c r="K76" s="18"/>
      <c r="L76" s="26">
        <v>3</v>
      </c>
      <c r="M76" s="7">
        <f>20153+14417+13506</f>
        <v>48076</v>
      </c>
      <c r="N76" s="27">
        <f>154658.5+107804+83531.5</f>
        <v>345994</v>
      </c>
    </row>
    <row r="77" spans="1:14" ht="18.75" customHeight="1">
      <c r="A77" s="14">
        <v>74</v>
      </c>
      <c r="B77" s="30" t="s">
        <v>129</v>
      </c>
      <c r="C77" s="31" t="s">
        <v>130</v>
      </c>
      <c r="D77" s="5">
        <v>38898</v>
      </c>
      <c r="E77" s="20">
        <v>5</v>
      </c>
      <c r="F77" s="18"/>
      <c r="G77" s="6">
        <v>2</v>
      </c>
      <c r="H77" s="6">
        <v>5</v>
      </c>
      <c r="I77" s="7">
        <v>441</v>
      </c>
      <c r="J77" s="27">
        <v>3573</v>
      </c>
      <c r="K77" s="18"/>
      <c r="L77" s="26">
        <v>2</v>
      </c>
      <c r="M77" s="7">
        <f>756+441</f>
        <v>1197</v>
      </c>
      <c r="N77" s="27">
        <f>6551.5+3573</f>
        <v>10124.5</v>
      </c>
    </row>
    <row r="78" spans="1:14" ht="18.75" customHeight="1">
      <c r="A78" s="14">
        <v>75</v>
      </c>
      <c r="B78" s="30" t="s">
        <v>127</v>
      </c>
      <c r="C78" s="31" t="s">
        <v>128</v>
      </c>
      <c r="D78" s="5">
        <v>38898</v>
      </c>
      <c r="E78" s="20">
        <v>47</v>
      </c>
      <c r="F78" s="18"/>
      <c r="G78" s="6">
        <v>2</v>
      </c>
      <c r="H78" s="6">
        <v>48</v>
      </c>
      <c r="I78" s="7">
        <v>9021</v>
      </c>
      <c r="J78" s="27">
        <v>66057</v>
      </c>
      <c r="K78" s="18"/>
      <c r="L78" s="26">
        <v>2</v>
      </c>
      <c r="M78" s="7">
        <f>11470+9021</f>
        <v>20491</v>
      </c>
      <c r="N78" s="27">
        <f>88058+66057</f>
        <v>154115</v>
      </c>
    </row>
    <row r="79" spans="1:14" ht="18.75" customHeight="1">
      <c r="A79" s="14">
        <v>76</v>
      </c>
      <c r="B79" s="30" t="s">
        <v>139</v>
      </c>
      <c r="C79" s="31" t="s">
        <v>130</v>
      </c>
      <c r="D79" s="5">
        <v>38905</v>
      </c>
      <c r="E79" s="20">
        <v>5</v>
      </c>
      <c r="F79" s="18"/>
      <c r="G79" s="6">
        <v>1</v>
      </c>
      <c r="H79" s="6">
        <v>5</v>
      </c>
      <c r="I79" s="7">
        <v>922</v>
      </c>
      <c r="J79" s="27">
        <v>8511</v>
      </c>
      <c r="K79" s="18"/>
      <c r="L79" s="26">
        <v>1</v>
      </c>
      <c r="M79" s="7">
        <f>922</f>
        <v>922</v>
      </c>
      <c r="N79" s="27">
        <f>8511</f>
        <v>8511</v>
      </c>
    </row>
    <row r="80" spans="1:14" ht="18.75" customHeight="1" thickBot="1">
      <c r="A80" s="14">
        <v>77</v>
      </c>
      <c r="B80" s="30" t="s">
        <v>138</v>
      </c>
      <c r="C80" s="31" t="s">
        <v>140</v>
      </c>
      <c r="D80" s="5">
        <v>38905</v>
      </c>
      <c r="E80" s="20">
        <v>10</v>
      </c>
      <c r="F80" s="18"/>
      <c r="G80" s="6">
        <v>1</v>
      </c>
      <c r="H80" s="6">
        <v>10</v>
      </c>
      <c r="I80" s="7">
        <v>1361</v>
      </c>
      <c r="J80" s="27">
        <v>13259</v>
      </c>
      <c r="K80" s="18"/>
      <c r="L80" s="26">
        <v>1</v>
      </c>
      <c r="M80" s="7">
        <f>1361</f>
        <v>1361</v>
      </c>
      <c r="N80" s="27">
        <f>13259</f>
        <v>13259</v>
      </c>
    </row>
    <row r="81" spans="2:14" ht="19.5" customHeight="1" thickBot="1">
      <c r="B81" s="64" t="s">
        <v>7</v>
      </c>
      <c r="C81" s="70"/>
      <c r="D81" s="70"/>
      <c r="E81" s="11">
        <f>SUM(E4:E80)</f>
        <v>614</v>
      </c>
      <c r="F81" s="16"/>
      <c r="G81" s="15"/>
      <c r="H81" s="11">
        <f>SUM(H4:H80)</f>
        <v>214</v>
      </c>
      <c r="I81" s="11">
        <f>SUM(I4:I80)</f>
        <v>37051</v>
      </c>
      <c r="J81" s="29">
        <f>SUM(J4:J80)</f>
        <v>241210</v>
      </c>
      <c r="K81" s="16"/>
      <c r="L81" s="11"/>
      <c r="M81" s="11">
        <f>SUM(M4:M80)</f>
        <v>935755</v>
      </c>
      <c r="N81" s="29">
        <f>SUM(N4:N80)</f>
        <v>5628617.3</v>
      </c>
    </row>
  </sheetData>
  <mergeCells count="4">
    <mergeCell ref="L2:N2"/>
    <mergeCell ref="B81:D81"/>
    <mergeCell ref="G2:J2"/>
    <mergeCell ref="B2:E2"/>
  </mergeCells>
  <printOptions horizontalCentered="1"/>
  <pageMargins left="0.15748031496062992" right="0.15748031496062992" top="0.984251968503937" bottom="0.984251968503937" header="0.5118110236220472" footer="0.5118110236220472"/>
  <pageSetup fitToHeight="1" fitToWidth="1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Kemal Ural (Bir Film)</dc:creator>
  <cp:keywords/>
  <dc:description/>
  <cp:lastModifiedBy>Kemal Ural</cp:lastModifiedBy>
  <cp:lastPrinted>2006-07-17T07:31:07Z</cp:lastPrinted>
  <dcterms:created xsi:type="dcterms:W3CDTF">2004-03-26T15:51:12Z</dcterms:created>
  <dcterms:modified xsi:type="dcterms:W3CDTF">2006-07-17T07:32:51Z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-1901753874</vt:i4>
  </property>
  <property fmtid="{D5CDD505-2E9C-101B-9397-08002B2CF9AE}" pid="3" name="_EmailSubject">
    <vt:lpwstr>Bir Film 2006/28. Hafta Seyirci ve Hasılat</vt:lpwstr>
  </property>
  <property fmtid="{D5CDD505-2E9C-101B-9397-08002B2CF9AE}" pid="4" name="_AuthorEmail">
    <vt:lpwstr>kemal.ural@birfilm.com</vt:lpwstr>
  </property>
  <property fmtid="{D5CDD505-2E9C-101B-9397-08002B2CF9AE}" pid="5" name="_AuthorEmailDisplayName">
    <vt:lpwstr>Kemal Ural</vt:lpwstr>
  </property>
  <property fmtid="{D5CDD505-2E9C-101B-9397-08002B2CF9AE}" pid="6" name="_PreviousAdHocReviewCycleID">
    <vt:i4>297796455</vt:i4>
  </property>
</Properties>
</file>