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6" activeTab="0"/>
  </bookViews>
  <sheets>
    <sheet name="30 Jun' - 06 JUL (WK 27)" sheetId="1" r:id="rId1"/>
    <sheet name="30 Dec' - 06 Jul' (Annual)" sheetId="2" r:id="rId2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'30 Jun'' - 06 JUL (WK 27)'!$A$1:$P$134</definedName>
  </definedNames>
  <calcPr fullCalcOnLoad="1"/>
</workbook>
</file>

<file path=xl/sharedStrings.xml><?xml version="1.0" encoding="utf-8"?>
<sst xmlns="http://schemas.openxmlformats.org/spreadsheetml/2006/main" count="789" uniqueCount="296">
  <si>
    <t>HACIVAT KARAGOZ NEDEN OLDURULDU?</t>
  </si>
  <si>
    <t>KURTLAR VADISI IRAK</t>
  </si>
  <si>
    <t>This Week's Total</t>
  </si>
  <si>
    <t>Films</t>
  </si>
  <si>
    <t>Admission</t>
  </si>
  <si>
    <t>EXCHANGE RATES</t>
  </si>
  <si>
    <t>Buying</t>
  </si>
  <si>
    <t>Selling</t>
  </si>
  <si>
    <t>Avg. Ticket</t>
  </si>
  <si>
    <t>USD</t>
  </si>
  <si>
    <t>EUR</t>
  </si>
  <si>
    <t>GBP</t>
  </si>
  <si>
    <t>CHF</t>
  </si>
  <si>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</si>
  <si>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</si>
  <si>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</si>
  <si>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</si>
  <si>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</si>
  <si>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</si>
  <si>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</si>
  <si>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</si>
  <si>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</si>
  <si>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HOSTEL</t>
  </si>
  <si>
    <t>FUN WITH DICK &amp; JANE</t>
  </si>
  <si>
    <t>RUMOR HAS IT</t>
  </si>
  <si>
    <t>DABBE</t>
  </si>
  <si>
    <t>WALK THE LINE</t>
  </si>
  <si>
    <t>ZATHURA</t>
  </si>
  <si>
    <t># of
Screen</t>
  </si>
  <si>
    <t>Weeks in      Release</t>
  </si>
  <si>
    <t># of Last Weeks New Releases</t>
  </si>
  <si>
    <t>Total Admission of New Releases</t>
  </si>
  <si>
    <t>WARNER BROS.</t>
  </si>
  <si>
    <t>OZEN FILM</t>
  </si>
  <si>
    <t>U.I.P.</t>
  </si>
  <si>
    <t>KENDA</t>
  </si>
  <si>
    <t>UMUT SANAT</t>
  </si>
  <si>
    <t>CHANTIER FILMS</t>
  </si>
  <si>
    <t>CHICKEN LITTLE</t>
  </si>
  <si>
    <t>BAMBI 2</t>
  </si>
  <si>
    <t>*Sorted according to Week Total G.B.O. - Haftalık toplam hasılat sütununa göre sıralanmıştır.</t>
  </si>
  <si>
    <t>KORKUYORUM ANNE</t>
  </si>
  <si>
    <t>BEYZA'NIN KADINLARI</t>
  </si>
  <si>
    <t>MEDYAVIZYON</t>
  </si>
  <si>
    <t>LAST WEEK</t>
  </si>
  <si>
    <t>TOTAL</t>
  </si>
  <si>
    <t>DISTRIBUTORS CHART</t>
  </si>
  <si>
    <t>THIS WEEKS</t>
  </si>
  <si>
    <t>BROKEBACK MOUNTAIN</t>
  </si>
  <si>
    <t>CAPOTE</t>
  </si>
  <si>
    <t>HOODWINKED</t>
  </si>
  <si>
    <t>CRY_WOLF</t>
  </si>
  <si>
    <t>16 BLOCKS</t>
  </si>
  <si>
    <t>PINK PANTHER</t>
  </si>
  <si>
    <t>Company</t>
  </si>
  <si>
    <t>Distributor</t>
  </si>
  <si>
    <t>BASIC INSTINCT 2</t>
  </si>
  <si>
    <t>UNP</t>
  </si>
  <si>
    <t>C2 PICTURES</t>
  </si>
  <si>
    <t>V FOR VENDETTA</t>
  </si>
  <si>
    <t>WB</t>
  </si>
  <si>
    <t>UIP</t>
  </si>
  <si>
    <t>ALTIOKLAR</t>
  </si>
  <si>
    <t>OZEN</t>
  </si>
  <si>
    <t>FOX</t>
  </si>
  <si>
    <t>CASANOVA</t>
  </si>
  <si>
    <t>BUENA VISTA</t>
  </si>
  <si>
    <t>COLUMBIA</t>
  </si>
  <si>
    <t>J PLAN</t>
  </si>
  <si>
    <t>PANA</t>
  </si>
  <si>
    <t>FOCUS</t>
  </si>
  <si>
    <t>ATLANTIK</t>
  </si>
  <si>
    <t>UNIVERSAL</t>
  </si>
  <si>
    <t>CHANTIER</t>
  </si>
  <si>
    <t>PRA</t>
  </si>
  <si>
    <t>PARAMOUNT</t>
  </si>
  <si>
    <t>OZEN - UMUT</t>
  </si>
  <si>
    <t>DREAMWORKS</t>
  </si>
  <si>
    <t>SAME PERIOD LAST YEAR</t>
  </si>
  <si>
    <t>U.N.P.</t>
  </si>
  <si>
    <t>R FILM</t>
  </si>
  <si>
    <t>GEN</t>
  </si>
  <si>
    <t>TIGLON</t>
  </si>
  <si>
    <t>WOLF CREEK</t>
  </si>
  <si>
    <t>WEINSTEIN CO.</t>
  </si>
  <si>
    <t>IFR</t>
  </si>
  <si>
    <t>FIDA</t>
  </si>
  <si>
    <t>ASK THE DUST</t>
  </si>
  <si>
    <t>PHANTOM OF THE OPERA, THE</t>
  </si>
  <si>
    <t>BABAM VE OGLUM</t>
  </si>
  <si>
    <t>Weekly Movie Magazine Antrakt Presents - Haftalık Antrakt Sinema Gazetesi Sunar</t>
  </si>
  <si>
    <t>LUCKY NUMBER SLEVIN</t>
  </si>
  <si>
    <t>DESCENT, THE</t>
  </si>
  <si>
    <t>EIGHT BELOW</t>
  </si>
  <si>
    <t>WHEN A STRANGER CALLS</t>
  </si>
  <si>
    <t>SLITHER</t>
  </si>
  <si>
    <t>35 MILIM</t>
  </si>
  <si>
    <t>INSIDE MAN</t>
  </si>
  <si>
    <t>FINAL DESTINATION 3</t>
  </si>
  <si>
    <t>TWO FOR THE MONEY</t>
  </si>
  <si>
    <t>DATE MOVIE</t>
  </si>
  <si>
    <t>PI FILM</t>
  </si>
  <si>
    <t>MATADOR</t>
  </si>
  <si>
    <t>ANNE YA DA LEYLA</t>
  </si>
  <si>
    <t>SINEMA AJANS</t>
  </si>
  <si>
    <t>AVSAR FILM</t>
  </si>
  <si>
    <t>HILL HAVE EYES, THE</t>
  </si>
  <si>
    <t>MERCHANT OF VENICE</t>
  </si>
  <si>
    <t>NEW FILMS</t>
  </si>
  <si>
    <t>WILD, THE</t>
  </si>
  <si>
    <t>WORLD'S FASTEST INDIAN</t>
  </si>
  <si>
    <t>FILMPOP</t>
  </si>
  <si>
    <t>ROAD TO GUANTANAMO, THE</t>
  </si>
  <si>
    <t>ODYSSEY</t>
  </si>
  <si>
    <t>PRIDE&amp;PREJUDICE</t>
  </si>
  <si>
    <t>NANNY  MCHPEE</t>
  </si>
  <si>
    <t>DA VINCI CODE</t>
  </si>
  <si>
    <t>KISIK ATESTE 15 DAKIKA</t>
  </si>
  <si>
    <t>ICE AGE 2: THE MELTDOWN</t>
  </si>
  <si>
    <t>VIZYON</t>
  </si>
  <si>
    <t>WEATHER MAN</t>
  </si>
  <si>
    <t>WHAT THE BLEEP DO WE KNOW?</t>
  </si>
  <si>
    <t>BEE SEESON</t>
  </si>
  <si>
    <t>BIR FILM</t>
  </si>
  <si>
    <t>LE TEMPS QUI RESTE</t>
  </si>
  <si>
    <t>ALLEGRO</t>
  </si>
  <si>
    <t>CELLULOID</t>
  </si>
  <si>
    <t>DANDELION</t>
  </si>
  <si>
    <t>LE GRAND VOYAGE</t>
  </si>
  <si>
    <t>DARK HORSE</t>
  </si>
  <si>
    <t>TRUST</t>
  </si>
  <si>
    <t>FALSCHER BEKENNER</t>
  </si>
  <si>
    <t>TRUST FILMS</t>
  </si>
  <si>
    <t>STOLEN EYES</t>
  </si>
  <si>
    <t>YAKA FILM</t>
  </si>
  <si>
    <t>MON ANGE</t>
  </si>
  <si>
    <t>MK2</t>
  </si>
  <si>
    <t>JOYEUX NOEL</t>
  </si>
  <si>
    <t>FILMS DIST.</t>
  </si>
  <si>
    <t>ENTRE SES MAINS</t>
  </si>
  <si>
    <t>4</t>
  </si>
  <si>
    <t>7</t>
  </si>
  <si>
    <t>5</t>
  </si>
  <si>
    <t>Screen Avg. (Adm.)</t>
  </si>
  <si>
    <t>Release Date</t>
  </si>
  <si>
    <t>Week in Release</t>
  </si>
  <si>
    <t>Avg. Ticket Price</t>
  </si>
  <si>
    <t>G.B.O. YTL</t>
  </si>
  <si>
    <t>HABABAM SINIFI UCBUCUK</t>
  </si>
  <si>
    <t>ARZU - FIDA</t>
  </si>
  <si>
    <t>KELOGLAN KARA PRENS'E KARSI</t>
  </si>
  <si>
    <t>ENERGY</t>
  </si>
  <si>
    <t>NARNIA</t>
  </si>
  <si>
    <t>MUNICH</t>
  </si>
  <si>
    <t>MEMOIRS OF A GEISHA</t>
  </si>
  <si>
    <t>FOG, THE</t>
  </si>
  <si>
    <t>NEW WORLD, THE</t>
  </si>
  <si>
    <t>TIGER AND THE SNOW, THE</t>
  </si>
  <si>
    <t>SYRIANA</t>
  </si>
  <si>
    <t>PROOF</t>
  </si>
  <si>
    <t>METRO</t>
  </si>
  <si>
    <t>AEON FLUX</t>
  </si>
  <si>
    <t>BIG MOMMA'S HOUSE 2</t>
  </si>
  <si>
    <t>FAMILY STONE,THE</t>
  </si>
  <si>
    <t>DREAMER</t>
  </si>
  <si>
    <t>PINEMA</t>
  </si>
  <si>
    <t>SAINT ANGE</t>
  </si>
  <si>
    <t>JARHEAD</t>
  </si>
  <si>
    <t>DUN GECE BIR RUYA GORDUM</t>
  </si>
  <si>
    <t>TRAVMA</t>
  </si>
  <si>
    <t>GOOD NIGHT &amp; GOOD LUCK</t>
  </si>
  <si>
    <t>RED SHOES</t>
  </si>
  <si>
    <t>CINECLICK ASIA</t>
  </si>
  <si>
    <t>CACHE</t>
  </si>
  <si>
    <t>BELGE FILM</t>
  </si>
  <si>
    <t>SQUID AND THE WHALE, THE</t>
  </si>
  <si>
    <t>BARBAR FILM</t>
  </si>
  <si>
    <t>SONY PICTURES</t>
  </si>
  <si>
    <t>ME AND YOU AND EVERYONE WE KNOW</t>
  </si>
  <si>
    <t>LADIES IN LAVENDER</t>
  </si>
  <si>
    <t>LAKESHORE</t>
  </si>
  <si>
    <t>OYUN</t>
  </si>
  <si>
    <t>SINE FILM</t>
  </si>
  <si>
    <t>SEX &amp; PHILOSOPHY</t>
  </si>
  <si>
    <t>WILD BUNCH</t>
  </si>
  <si>
    <t>LES TEMPS QUI CHANGENT</t>
  </si>
  <si>
    <t>FRANCE</t>
  </si>
  <si>
    <t>FATELESS</t>
  </si>
  <si>
    <t>H20</t>
  </si>
  <si>
    <t>RABBIT ON THE MOON</t>
  </si>
  <si>
    <t>LIMON - CAPITOL</t>
  </si>
  <si>
    <t>ZOZO</t>
  </si>
  <si>
    <t>HAYALEVI</t>
  </si>
  <si>
    <t>ENEL MUNDO E CADA RATO</t>
  </si>
  <si>
    <t>UNICEF</t>
  </si>
  <si>
    <t>CERTI BAMBINI</t>
  </si>
  <si>
    <t># of Films</t>
  </si>
  <si>
    <t># of Total
Prints</t>
  </si>
  <si>
    <t>LOCAL FILMS</t>
  </si>
  <si>
    <t>FOREIGN FILMS</t>
  </si>
  <si>
    <t>All Week's Total in 2006</t>
  </si>
  <si>
    <t>SHE'S THE MAN</t>
  </si>
  <si>
    <t>DERAILED</t>
  </si>
  <si>
    <t>ETERNAL SUNSHINE OF THE SPOTLESS MIND</t>
  </si>
  <si>
    <t>X MEN: THE LAST STAND</t>
  </si>
  <si>
    <t>OMEN 666</t>
  </si>
  <si>
    <t>SHAGGY DOG</t>
  </si>
  <si>
    <t>CONSTANT GARDENER</t>
  </si>
  <si>
    <t>PEINDRE OU FAIRE L'AMOUR</t>
  </si>
  <si>
    <t>SUGAR WORKZ</t>
  </si>
  <si>
    <t>C.R.A.Z.Y.</t>
  </si>
  <si>
    <t>10</t>
  </si>
  <si>
    <t>8</t>
  </si>
  <si>
    <t>15.06.2006 - 15.30</t>
  </si>
  <si>
    <t>FAILURE TO LAUNCH</t>
  </si>
  <si>
    <t>FIREWALL</t>
  </si>
  <si>
    <t>BANDIDAS</t>
  </si>
  <si>
    <t>HOWL'S MOVING CASTLE</t>
  </si>
  <si>
    <t>TRANSAMERICA</t>
  </si>
  <si>
    <t>12</t>
  </si>
  <si>
    <t>MISSION IMPOSSIBLE 3</t>
  </si>
  <si>
    <t>REZO</t>
  </si>
  <si>
    <t>TF1</t>
  </si>
  <si>
    <t>11</t>
  </si>
  <si>
    <t>MAN ABOUT TOWN</t>
  </si>
  <si>
    <t>MEDYAPIM</t>
  </si>
  <si>
    <t>BARBAR</t>
  </si>
  <si>
    <t>CONTENT</t>
  </si>
  <si>
    <t>SKY FIGHTERS</t>
  </si>
  <si>
    <t>COMBIEN TU M'AIMES</t>
  </si>
  <si>
    <t>ONE AND ONLY, THE</t>
  </si>
  <si>
    <t>46</t>
  </si>
  <si>
    <t>MATCHPOINT</t>
  </si>
  <si>
    <t>73 FILMS SHOWN</t>
  </si>
  <si>
    <t>POSEIDON</t>
  </si>
  <si>
    <t>TEXAS CHAINSAW MASSACRE, THE</t>
  </si>
  <si>
    <t>DOMINO</t>
  </si>
  <si>
    <t>SUMMIT</t>
  </si>
  <si>
    <t>PARADISE NOW</t>
  </si>
  <si>
    <t>PATHE</t>
  </si>
  <si>
    <t>1</t>
  </si>
  <si>
    <t>TAKESHIS</t>
  </si>
  <si>
    <t>LA FEMME DE GILLES</t>
  </si>
  <si>
    <t>PYRAMIDE</t>
  </si>
  <si>
    <t>-</t>
  </si>
  <si>
    <t>2006 Türkiye Annual Box Office Report / 30 Dec' - 06 Jul' '06</t>
  </si>
  <si>
    <t>87 FILMS SHOWN</t>
  </si>
  <si>
    <t>HARRY POTTER 4</t>
  </si>
  <si>
    <t>DONGEL KARHANESI</t>
  </si>
  <si>
    <t>M.VİZYON - REPLİK</t>
  </si>
  <si>
    <t>CHARLIE &amp; THE CHOCOLATE FACTORY</t>
  </si>
  <si>
    <t>MELISSA P.</t>
  </si>
  <si>
    <t>FROSTBITE</t>
  </si>
  <si>
    <t>CINEMEDYA</t>
  </si>
  <si>
    <t>SHEITAN</t>
  </si>
  <si>
    <t>31</t>
  </si>
  <si>
    <t>YOUNG ADAM</t>
  </si>
  <si>
    <t>LIMON</t>
  </si>
  <si>
    <t>AS IT IS IN HEAVEN</t>
  </si>
  <si>
    <t>JEUX D'ENFANTS</t>
  </si>
  <si>
    <t>IM JULI</t>
  </si>
  <si>
    <t>BAVARIA</t>
  </si>
  <si>
    <t>WEDDING DATE,THE</t>
  </si>
  <si>
    <t>15</t>
  </si>
  <si>
    <t>SEPTEMBER 11</t>
  </si>
  <si>
    <t>MANDERLAY</t>
  </si>
  <si>
    <t>BIR F. - ERMAN F.</t>
  </si>
  <si>
    <t>ROMANCE&amp;CIGARETTES</t>
  </si>
  <si>
    <t>D PRODUCTIONS</t>
  </si>
  <si>
    <t>VA, VIE &amp; DEVIENS</t>
  </si>
  <si>
    <t>ERMAN F.</t>
  </si>
  <si>
    <t>THUMBSUCKER</t>
  </si>
  <si>
    <t>AVŞAR FILM - TMC</t>
  </si>
  <si>
    <t>JE NE SUIS PAS LA POUR ETRE AIME</t>
  </si>
  <si>
    <t>LES TEXTILES</t>
  </si>
  <si>
    <t>ITALIAN FOR BEGINNERS</t>
  </si>
  <si>
    <t>BIN JIP</t>
  </si>
  <si>
    <t>BOW, THE</t>
  </si>
  <si>
    <t>SAMARITAN GIRL</t>
  </si>
  <si>
    <t>STRAY DOGS</t>
  </si>
  <si>
    <t>TIM BURTON'S CORPSE BRIDE</t>
  </si>
  <si>
    <t>MUST LOVE DOGS</t>
  </si>
  <si>
    <t>HABABAM SINIFI UC BUCUK</t>
  </si>
  <si>
    <t>MADAGASCAR</t>
  </si>
  <si>
    <t>GODSEND</t>
  </si>
  <si>
    <t>LIONS GATE</t>
  </si>
  <si>
    <t>NIGHTWATCH</t>
  </si>
  <si>
    <t>WALLACE&amp;GROMIT</t>
  </si>
  <si>
    <t>1,5878</t>
  </si>
  <si>
    <t>1,5955</t>
  </si>
  <si>
    <t>2,0222</t>
  </si>
  <si>
    <t>2,0320</t>
  </si>
  <si>
    <t>2,9125</t>
  </si>
  <si>
    <t>2,9277</t>
  </si>
  <si>
    <t>1,2870</t>
  </si>
  <si>
    <t>1,2953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</si>
</sst>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</numFmts>
  <fonts count="37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b/>
      <sz val="8"/>
      <name val="Trebuchet MS"/>
      <family val="0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sz val="20"/>
      <color indexed="44"/>
      <name val="GoudyLight"/>
      <family val="0"/>
    </font>
    <font>
      <i/>
      <sz val="9"/>
      <name val="Arial"/>
      <family val="2"/>
    </font>
    <font>
      <b/>
      <sz val="10"/>
      <color indexed="9"/>
      <name val="Trebuchet MS"/>
      <family val="2"/>
    </font>
    <font>
      <b/>
      <sz val="10"/>
      <color indexed="10"/>
      <name val="Trebuchet MS"/>
      <family val="2"/>
    </font>
    <font>
      <b/>
      <sz val="14"/>
      <color indexed="18"/>
      <name val="Impact"/>
      <family val="2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name val="Verdana"/>
      <family val="0"/>
    </font>
    <font>
      <b/>
      <sz val="10"/>
      <color indexed="18"/>
      <name val="Trebuchet MS"/>
      <family val="0"/>
    </font>
    <font>
      <sz val="8"/>
      <color indexed="10"/>
      <name val="Trebuchet MS"/>
      <family val="0"/>
    </font>
    <font>
      <sz val="10"/>
      <name val="Century Gothic"/>
      <family val="2"/>
    </font>
    <font>
      <sz val="10"/>
      <color indexed="10"/>
      <name val="Trebuchet MS"/>
      <family val="2"/>
    </font>
    <font>
      <sz val="10"/>
      <color indexed="9"/>
      <name val="Trebuchet MS"/>
      <family val="2"/>
    </font>
    <font>
      <b/>
      <sz val="8"/>
      <name val="Albertus Extra Bold"/>
      <family val="0"/>
    </font>
    <font>
      <sz val="25"/>
      <color indexed="9"/>
      <name val="Impact"/>
      <family val="0"/>
    </font>
    <font>
      <sz val="8"/>
      <name val="Arial"/>
      <family val="2"/>
    </font>
    <font>
      <b/>
      <sz val="10"/>
      <color indexed="9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47">
    <border>
      <left/>
      <right/>
      <top/>
      <bottom/>
      <diagonal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hair"/>
      <right style="hair"/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2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43" fontId="3" fillId="0" borderId="0" xfId="15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192" fontId="13" fillId="0" borderId="0" xfId="15" applyNumberFormat="1" applyFont="1" applyFill="1" applyBorder="1" applyAlignment="1" applyProtection="1">
      <alignment vertical="center"/>
      <protection/>
    </xf>
    <xf numFmtId="0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right" vertical="center"/>
      <protection locked="0"/>
    </xf>
    <xf numFmtId="0" fontId="13" fillId="0" borderId="3" xfId="0" applyFont="1" applyFill="1" applyBorder="1" applyAlignment="1" applyProtection="1">
      <alignment horizontal="right" vertical="center"/>
      <protection locked="0"/>
    </xf>
    <xf numFmtId="0" fontId="13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horizontal="right" vertical="center"/>
      <protection locked="0"/>
    </xf>
    <xf numFmtId="0" fontId="12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left" vertical="center" indent="1"/>
      <protection locked="0"/>
    </xf>
    <xf numFmtId="0" fontId="13" fillId="0" borderId="7" xfId="0" applyFont="1" applyFill="1" applyBorder="1" applyAlignment="1" applyProtection="1">
      <alignment horizontal="left" vertical="center" indent="1"/>
      <protection locked="0"/>
    </xf>
    <xf numFmtId="0" fontId="13" fillId="0" borderId="4" xfId="0" applyFont="1" applyFill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9" fillId="0" borderId="8" xfId="0" applyFont="1" applyFill="1" applyBorder="1" applyAlignment="1" applyProtection="1">
      <alignment vertical="center"/>
      <protection locked="0"/>
    </xf>
    <xf numFmtId="3" fontId="13" fillId="0" borderId="7" xfId="0" applyNumberFormat="1" applyFont="1" applyFill="1" applyBorder="1" applyAlignment="1" applyProtection="1">
      <alignment horizontal="center" vertical="center"/>
      <protection locked="0"/>
    </xf>
    <xf numFmtId="184" fontId="19" fillId="0" borderId="9" xfId="0" applyNumberFormat="1" applyFont="1" applyFill="1" applyBorder="1" applyAlignment="1" applyProtection="1">
      <alignment horizontal="center" vertical="center"/>
      <protection locked="0"/>
    </xf>
    <xf numFmtId="184" fontId="3" fillId="0" borderId="0" xfId="0" applyNumberFormat="1" applyFont="1" applyFill="1" applyBorder="1" applyAlignment="1" applyProtection="1">
      <alignment horizontal="center" vertical="center"/>
      <protection/>
    </xf>
    <xf numFmtId="184" fontId="13" fillId="0" borderId="0" xfId="0" applyNumberFormat="1" applyFont="1" applyFill="1" applyBorder="1" applyAlignment="1" applyProtection="1">
      <alignment horizontal="center" vertical="center"/>
      <protection locked="0"/>
    </xf>
    <xf numFmtId="18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9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22" fillId="2" borderId="10" xfId="0" applyFont="1" applyFill="1" applyBorder="1" applyAlignment="1">
      <alignment horizontal="center" vertical="center"/>
    </xf>
    <xf numFmtId="3" fontId="22" fillId="2" borderId="10" xfId="0" applyNumberFormat="1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vertical="center"/>
    </xf>
    <xf numFmtId="184" fontId="19" fillId="0" borderId="9" xfId="0" applyNumberFormat="1" applyFont="1" applyFill="1" applyBorder="1" applyAlignment="1">
      <alignment horizontal="center" vertical="center"/>
    </xf>
    <xf numFmtId="184" fontId="13" fillId="0" borderId="7" xfId="0" applyNumberFormat="1" applyFont="1" applyFill="1" applyBorder="1" applyAlignment="1" applyProtection="1">
      <alignment horizontal="center" vertical="center"/>
      <protection locked="0"/>
    </xf>
    <xf numFmtId="184" fontId="13" fillId="0" borderId="4" xfId="0" applyNumberFormat="1" applyFont="1" applyFill="1" applyBorder="1" applyAlignment="1" applyProtection="1">
      <alignment horizontal="center" vertical="center"/>
      <protection locked="0"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13" fillId="0" borderId="0" xfId="0" applyNumberFormat="1" applyFont="1" applyFill="1" applyBorder="1" applyAlignment="1" applyProtection="1">
      <alignment horizontal="right" vertical="center"/>
      <protection locked="0"/>
    </xf>
    <xf numFmtId="187" fontId="7" fillId="0" borderId="0" xfId="0" applyNumberFormat="1" applyFont="1" applyFill="1" applyBorder="1" applyAlignment="1" applyProtection="1">
      <alignment horizontal="right" vertical="center"/>
      <protection locked="0"/>
    </xf>
    <xf numFmtId="193" fontId="4" fillId="0" borderId="0" xfId="0" applyNumberFormat="1" applyFont="1" applyFill="1" applyBorder="1" applyAlignment="1" applyProtection="1">
      <alignment horizontal="right" vertical="center"/>
      <protection/>
    </xf>
    <xf numFmtId="192" fontId="13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vertical="center" wrapText="1"/>
      <protection locked="0"/>
    </xf>
    <xf numFmtId="0" fontId="19" fillId="0" borderId="11" xfId="0" applyFont="1" applyFill="1" applyBorder="1" applyAlignment="1" applyProtection="1">
      <alignment vertical="center"/>
      <protection locked="0"/>
    </xf>
    <xf numFmtId="0" fontId="19" fillId="0" borderId="9" xfId="0" applyFont="1" applyFill="1" applyBorder="1" applyAlignment="1" applyProtection="1">
      <alignment horizontal="center" vertical="center"/>
      <protection locked="0"/>
    </xf>
    <xf numFmtId="187" fontId="24" fillId="0" borderId="0" xfId="0" applyNumberFormat="1" applyFont="1" applyFill="1" applyBorder="1" applyAlignment="1" applyProtection="1">
      <alignment horizontal="right" vertical="center"/>
      <protection/>
    </xf>
    <xf numFmtId="187" fontId="25" fillId="0" borderId="0" xfId="0" applyNumberFormat="1" applyFont="1" applyFill="1" applyBorder="1" applyAlignment="1" applyProtection="1">
      <alignment horizontal="right" vertical="center"/>
      <protection locked="0"/>
    </xf>
    <xf numFmtId="187" fontId="26" fillId="0" borderId="0" xfId="0" applyNumberFormat="1" applyFont="1" applyFill="1" applyBorder="1" applyAlignment="1" applyProtection="1">
      <alignment horizontal="right" vertical="center"/>
      <protection locked="0"/>
    </xf>
    <xf numFmtId="187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9" xfId="0" applyNumberFormat="1" applyFont="1" applyFill="1" applyBorder="1" applyAlignment="1">
      <alignment horizontal="center" vertical="center"/>
    </xf>
    <xf numFmtId="192" fontId="3" fillId="0" borderId="0" xfId="0" applyNumberFormat="1" applyFont="1" applyFill="1" applyBorder="1" applyAlignment="1" applyProtection="1">
      <alignment vertical="center"/>
      <protection/>
    </xf>
    <xf numFmtId="192" fontId="7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187" fontId="28" fillId="0" borderId="0" xfId="0" applyNumberFormat="1" applyFont="1" applyFill="1" applyBorder="1" applyAlignment="1" applyProtection="1">
      <alignment horizontal="right" vertical="center"/>
      <protection locked="0"/>
    </xf>
    <xf numFmtId="192" fontId="19" fillId="0" borderId="0" xfId="0" applyNumberFormat="1" applyFont="1" applyFill="1" applyBorder="1" applyAlignment="1" applyProtection="1">
      <alignment vertical="center"/>
      <protection locked="0"/>
    </xf>
    <xf numFmtId="187" fontId="19" fillId="0" borderId="0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184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4" xfId="0" applyFont="1" applyFill="1" applyBorder="1" applyAlignment="1" applyProtection="1">
      <alignment horizontal="center" vertical="center"/>
      <protection locked="0"/>
    </xf>
    <xf numFmtId="0" fontId="19" fillId="0" borderId="1" xfId="0" applyNumberFormat="1" applyFont="1" applyFill="1" applyBorder="1" applyAlignment="1" applyProtection="1">
      <alignment horizontal="center" vertical="center"/>
      <protection locked="0"/>
    </xf>
    <xf numFmtId="187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right" vertical="center"/>
      <protection locked="0"/>
    </xf>
    <xf numFmtId="0" fontId="19" fillId="0" borderId="6" xfId="0" applyNumberFormat="1" applyFont="1" applyFill="1" applyBorder="1" applyAlignment="1" applyProtection="1">
      <alignment horizontal="center" vertical="center"/>
      <protection locked="0"/>
    </xf>
    <xf numFmtId="4" fontId="18" fillId="0" borderId="6" xfId="0" applyNumberFormat="1" applyFont="1" applyFill="1" applyBorder="1" applyAlignment="1" applyProtection="1">
      <alignment horizontal="right" vertical="center" indent="1"/>
      <protection locked="0"/>
    </xf>
    <xf numFmtId="193" fontId="19" fillId="0" borderId="6" xfId="0" applyNumberFormat="1" applyFont="1" applyFill="1" applyBorder="1" applyAlignment="1" applyProtection="1">
      <alignment horizontal="right" vertical="center" indent="1"/>
      <protection locked="0"/>
    </xf>
    <xf numFmtId="192" fontId="19" fillId="0" borderId="15" xfId="0" applyNumberFormat="1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horizontal="right" vertical="center"/>
      <protection locked="0"/>
    </xf>
    <xf numFmtId="0" fontId="19" fillId="0" borderId="7" xfId="0" applyNumberFormat="1" applyFont="1" applyFill="1" applyBorder="1" applyAlignment="1" applyProtection="1">
      <alignment horizontal="center" vertical="center"/>
      <protection locked="0"/>
    </xf>
    <xf numFmtId="4" fontId="18" fillId="0" borderId="7" xfId="0" applyNumberFormat="1" applyFont="1" applyFill="1" applyBorder="1" applyAlignment="1" applyProtection="1">
      <alignment horizontal="right" vertical="center" indent="1"/>
      <protection locked="0"/>
    </xf>
    <xf numFmtId="193" fontId="19" fillId="0" borderId="7" xfId="0" applyNumberFormat="1" applyFont="1" applyFill="1" applyBorder="1" applyAlignment="1" applyProtection="1">
      <alignment horizontal="right" vertical="center" indent="1"/>
      <protection locked="0"/>
    </xf>
    <xf numFmtId="192" fontId="19" fillId="0" borderId="17" xfId="0" applyNumberFormat="1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right" vertical="center"/>
      <protection locked="0"/>
    </xf>
    <xf numFmtId="49" fontId="19" fillId="0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4" xfId="0" applyFont="1" applyFill="1" applyBorder="1" applyAlignment="1" applyProtection="1">
      <alignment horizontal="left" vertical="center"/>
      <protection locked="0"/>
    </xf>
    <xf numFmtId="0" fontId="19" fillId="0" borderId="4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184" fontId="19" fillId="0" borderId="19" xfId="0" applyNumberFormat="1" applyFont="1" applyFill="1" applyBorder="1" applyAlignment="1" applyProtection="1">
      <alignment horizontal="center" vertical="center"/>
      <protection locked="0"/>
    </xf>
    <xf numFmtId="193" fontId="5" fillId="0" borderId="20" xfId="0" applyNumberFormat="1" applyFont="1" applyFill="1" applyBorder="1" applyAlignment="1" applyProtection="1">
      <alignment horizontal="center" vertical="center" wrapText="1"/>
      <protection/>
    </xf>
    <xf numFmtId="192" fontId="5" fillId="0" borderId="20" xfId="0" applyNumberFormat="1" applyFont="1" applyFill="1" applyBorder="1" applyAlignment="1" applyProtection="1">
      <alignment horizontal="center" vertical="center" wrapText="1"/>
      <protection/>
    </xf>
    <xf numFmtId="192" fontId="5" fillId="0" borderId="21" xfId="0" applyNumberFormat="1" applyFont="1" applyFill="1" applyBorder="1" applyAlignment="1" applyProtection="1">
      <alignment horizontal="center" vertical="center" wrapText="1"/>
      <protection/>
    </xf>
    <xf numFmtId="49" fontId="19" fillId="0" borderId="9" xfId="0" applyNumberFormat="1" applyFont="1" applyFill="1" applyBorder="1" applyAlignment="1">
      <alignment horizontal="center" vertical="center"/>
    </xf>
    <xf numFmtId="3" fontId="19" fillId="0" borderId="9" xfId="0" applyNumberFormat="1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vertical="center"/>
    </xf>
    <xf numFmtId="184" fontId="32" fillId="2" borderId="9" xfId="0" applyNumberFormat="1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3" fontId="32" fillId="2" borderId="9" xfId="0" applyNumberFormat="1" applyFont="1" applyFill="1" applyBorder="1" applyAlignment="1">
      <alignment horizontal="center" vertical="center"/>
    </xf>
    <xf numFmtId="192" fontId="32" fillId="2" borderId="9" xfId="0" applyNumberFormat="1" applyFont="1" applyFill="1" applyBorder="1" applyAlignment="1">
      <alignment vertical="center"/>
    </xf>
    <xf numFmtId="49" fontId="19" fillId="0" borderId="9" xfId="0" applyNumberFormat="1" applyFont="1" applyFill="1" applyBorder="1" applyAlignment="1" applyProtection="1">
      <alignment horizontal="left" vertical="center"/>
      <protection locked="0"/>
    </xf>
    <xf numFmtId="0" fontId="19" fillId="0" borderId="9" xfId="0" applyFont="1" applyFill="1" applyBorder="1" applyAlignment="1" applyProtection="1">
      <alignment horizontal="left" vertical="center"/>
      <protection locked="0"/>
    </xf>
    <xf numFmtId="49" fontId="19" fillId="0" borderId="9" xfId="0" applyNumberFormat="1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193" fontId="12" fillId="0" borderId="0" xfId="0" applyNumberFormat="1" applyFont="1" applyFill="1" applyBorder="1" applyAlignment="1" applyProtection="1">
      <alignment horizontal="right" vertical="center"/>
      <protection locked="0"/>
    </xf>
    <xf numFmtId="193" fontId="13" fillId="0" borderId="0" xfId="0" applyNumberFormat="1" applyFont="1" applyFill="1" applyBorder="1" applyAlignment="1" applyProtection="1">
      <alignment horizontal="right" vertical="center"/>
      <protection locked="0"/>
    </xf>
    <xf numFmtId="193" fontId="3" fillId="0" borderId="0" xfId="0" applyNumberFormat="1" applyFont="1" applyFill="1" applyBorder="1" applyAlignment="1" applyProtection="1">
      <alignment horizontal="right" vertical="center"/>
      <protection/>
    </xf>
    <xf numFmtId="193" fontId="32" fillId="2" borderId="9" xfId="0" applyNumberFormat="1" applyFont="1" applyFill="1" applyBorder="1" applyAlignment="1">
      <alignment horizontal="right" vertical="center"/>
    </xf>
    <xf numFmtId="193" fontId="19" fillId="0" borderId="0" xfId="0" applyNumberFormat="1" applyFont="1" applyFill="1" applyBorder="1" applyAlignment="1" applyProtection="1">
      <alignment horizontal="right" vertical="center"/>
      <protection locked="0"/>
    </xf>
    <xf numFmtId="193" fontId="7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87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30" fillId="0" borderId="24" xfId="0" applyFont="1" applyFill="1" applyBorder="1" applyAlignment="1" applyProtection="1">
      <alignment horizontal="center" vertical="center"/>
      <protection/>
    </xf>
    <xf numFmtId="0" fontId="30" fillId="0" borderId="8" xfId="0" applyFont="1" applyFill="1" applyBorder="1" applyAlignment="1" applyProtection="1">
      <alignment vertical="center"/>
      <protection/>
    </xf>
    <xf numFmtId="0" fontId="19" fillId="2" borderId="8" xfId="0" applyFont="1" applyFill="1" applyBorder="1" applyAlignment="1" applyProtection="1">
      <alignment vertical="center"/>
      <protection locked="0"/>
    </xf>
    <xf numFmtId="0" fontId="19" fillId="2" borderId="11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>
      <alignment vertical="center"/>
    </xf>
    <xf numFmtId="184" fontId="32" fillId="2" borderId="10" xfId="0" applyNumberFormat="1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horizontal="center" vertical="center"/>
    </xf>
    <xf numFmtId="3" fontId="32" fillId="2" borderId="10" xfId="0" applyNumberFormat="1" applyFont="1" applyFill="1" applyBorder="1" applyAlignment="1">
      <alignment horizontal="center" vertical="center"/>
    </xf>
    <xf numFmtId="193" fontId="32" fillId="2" borderId="10" xfId="0" applyNumberFormat="1" applyFont="1" applyFill="1" applyBorder="1" applyAlignment="1">
      <alignment horizontal="right" vertical="center"/>
    </xf>
    <xf numFmtId="192" fontId="32" fillId="2" borderId="10" xfId="0" applyNumberFormat="1" applyFont="1" applyFill="1" applyBorder="1" applyAlignment="1">
      <alignment vertical="center"/>
    </xf>
    <xf numFmtId="0" fontId="33" fillId="0" borderId="0" xfId="0" applyFont="1" applyAlignment="1">
      <alignment horizontal="right" vertical="center"/>
    </xf>
    <xf numFmtId="0" fontId="35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18" fillId="0" borderId="0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>
      <alignment vertical="center"/>
    </xf>
    <xf numFmtId="0" fontId="19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84" fontId="19" fillId="0" borderId="9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right" vertical="center"/>
    </xf>
    <xf numFmtId="0" fontId="19" fillId="0" borderId="9" xfId="0" applyNumberFormat="1" applyFont="1" applyFill="1" applyBorder="1" applyAlignment="1" applyProtection="1">
      <alignment horizontal="center" vertical="center"/>
      <protection locked="0"/>
    </xf>
    <xf numFmtId="3" fontId="19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right" vertical="center"/>
    </xf>
    <xf numFmtId="0" fontId="23" fillId="2" borderId="11" xfId="0" applyFont="1" applyFill="1" applyBorder="1" applyAlignment="1">
      <alignment vertical="center"/>
    </xf>
    <xf numFmtId="3" fontId="22" fillId="2" borderId="10" xfId="0" applyNumberFormat="1" applyFont="1" applyFill="1" applyBorder="1" applyAlignment="1">
      <alignment horizontal="right" vertical="center" indent="1"/>
    </xf>
    <xf numFmtId="2" fontId="22" fillId="2" borderId="25" xfId="0" applyNumberFormat="1" applyFont="1" applyFill="1" applyBorder="1" applyAlignment="1">
      <alignment horizontal="right" vertical="center" indent="1"/>
    </xf>
    <xf numFmtId="0" fontId="3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3" fontId="14" fillId="0" borderId="0" xfId="0" applyNumberFormat="1" applyFont="1" applyFill="1" applyAlignment="1">
      <alignment horizontal="right" vertical="center" indent="1"/>
    </xf>
    <xf numFmtId="2" fontId="0" fillId="0" borderId="0" xfId="0" applyNumberFormat="1" applyFont="1" applyFill="1" applyAlignment="1">
      <alignment horizontal="right" vertical="center" indent="1"/>
    </xf>
    <xf numFmtId="0" fontId="5" fillId="0" borderId="0" xfId="0" applyFont="1" applyFill="1" applyAlignment="1">
      <alignment horizontal="right" vertical="center"/>
    </xf>
    <xf numFmtId="0" fontId="5" fillId="0" borderId="22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36" fillId="0" borderId="0" xfId="0" applyFont="1" applyFill="1" applyAlignment="1">
      <alignment horizontal="right" vertical="center"/>
    </xf>
    <xf numFmtId="0" fontId="5" fillId="0" borderId="23" xfId="0" applyNumberFormat="1" applyFont="1" applyFill="1" applyBorder="1" applyAlignment="1">
      <alignment vertical="center" wrapText="1"/>
    </xf>
    <xf numFmtId="0" fontId="5" fillId="0" borderId="20" xfId="0" applyNumberFormat="1" applyFont="1" applyFill="1" applyBorder="1" applyAlignment="1">
      <alignment horizontal="center" wrapText="1"/>
    </xf>
    <xf numFmtId="3" fontId="5" fillId="0" borderId="20" xfId="0" applyNumberFormat="1" applyFont="1" applyFill="1" applyBorder="1" applyAlignment="1" applyProtection="1">
      <alignment horizontal="right" vertical="center" wrapText="1" indent="1"/>
      <protection/>
    </xf>
    <xf numFmtId="0" fontId="19" fillId="0" borderId="2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3" fontId="19" fillId="0" borderId="19" xfId="0" applyNumberFormat="1" applyFont="1" applyBorder="1" applyAlignment="1">
      <alignment horizontal="center" vertical="center"/>
    </xf>
    <xf numFmtId="3" fontId="19" fillId="0" borderId="19" xfId="0" applyNumberFormat="1" applyFont="1" applyBorder="1" applyAlignment="1">
      <alignment horizontal="right" vertical="center" indent="1"/>
    </xf>
    <xf numFmtId="2" fontId="19" fillId="0" borderId="26" xfId="0" applyNumberFormat="1" applyFont="1" applyBorder="1" applyAlignment="1">
      <alignment horizontal="right" vertical="center" indent="1"/>
    </xf>
    <xf numFmtId="0" fontId="0" fillId="0" borderId="0" xfId="0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3" fontId="19" fillId="0" borderId="28" xfId="0" applyNumberFormat="1" applyFont="1" applyBorder="1" applyAlignment="1">
      <alignment horizontal="center" vertical="center"/>
    </xf>
    <xf numFmtId="3" fontId="19" fillId="0" borderId="28" xfId="0" applyNumberFormat="1" applyFont="1" applyBorder="1" applyAlignment="1">
      <alignment horizontal="right" vertical="center" indent="1"/>
    </xf>
    <xf numFmtId="2" fontId="19" fillId="0" borderId="29" xfId="0" applyNumberFormat="1" applyFont="1" applyBorder="1" applyAlignment="1">
      <alignment horizontal="right" vertical="center" indent="1"/>
    </xf>
    <xf numFmtId="0" fontId="22" fillId="2" borderId="30" xfId="0" applyFont="1" applyFill="1" applyBorder="1" applyAlignment="1">
      <alignment vertical="center"/>
    </xf>
    <xf numFmtId="0" fontId="22" fillId="2" borderId="31" xfId="0" applyFont="1" applyFill="1" applyBorder="1" applyAlignment="1">
      <alignment vertical="center"/>
    </xf>
    <xf numFmtId="0" fontId="22" fillId="2" borderId="31" xfId="0" applyFont="1" applyFill="1" applyBorder="1" applyAlignment="1">
      <alignment horizontal="center" vertical="center"/>
    </xf>
    <xf numFmtId="3" fontId="22" fillId="2" borderId="31" xfId="0" applyNumberFormat="1" applyFont="1" applyFill="1" applyBorder="1" applyAlignment="1">
      <alignment horizontal="center" vertical="center"/>
    </xf>
    <xf numFmtId="3" fontId="22" fillId="2" borderId="31" xfId="0" applyNumberFormat="1" applyFont="1" applyFill="1" applyBorder="1" applyAlignment="1">
      <alignment horizontal="right" vertical="center" indent="1"/>
    </xf>
    <xf numFmtId="2" fontId="22" fillId="2" borderId="32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187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horizontal="right" vertical="center" indent="1"/>
    </xf>
    <xf numFmtId="2" fontId="0" fillId="0" borderId="0" xfId="0" applyNumberFormat="1" applyAlignment="1">
      <alignment horizontal="right" vertical="center" inden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alignment horizontal="right" vertical="center"/>
      <protection/>
    </xf>
    <xf numFmtId="187" fontId="22" fillId="2" borderId="9" xfId="0" applyNumberFormat="1" applyFont="1" applyFill="1" applyBorder="1" applyAlignment="1">
      <alignment horizontal="right" vertical="center"/>
    </xf>
    <xf numFmtId="187" fontId="22" fillId="2" borderId="10" xfId="0" applyNumberFormat="1" applyFont="1" applyFill="1" applyBorder="1" applyAlignment="1">
      <alignment horizontal="right" vertical="center"/>
    </xf>
    <xf numFmtId="187" fontId="32" fillId="2" borderId="9" xfId="0" applyNumberFormat="1" applyFont="1" applyFill="1" applyBorder="1" applyAlignment="1">
      <alignment horizontal="right" vertical="center"/>
    </xf>
    <xf numFmtId="187" fontId="32" fillId="2" borderId="10" xfId="0" applyNumberFormat="1" applyFont="1" applyFill="1" applyBorder="1" applyAlignment="1">
      <alignment horizontal="right" vertical="center"/>
    </xf>
    <xf numFmtId="187" fontId="13" fillId="0" borderId="0" xfId="15" applyNumberFormat="1" applyFont="1" applyFill="1" applyBorder="1" applyAlignment="1" applyProtection="1">
      <alignment horizontal="right" vertical="center"/>
      <protection/>
    </xf>
    <xf numFmtId="192" fontId="3" fillId="0" borderId="0" xfId="0" applyNumberFormat="1" applyFont="1" applyFill="1" applyBorder="1" applyAlignment="1" applyProtection="1">
      <alignment horizontal="right" vertical="center"/>
      <protection/>
    </xf>
    <xf numFmtId="192" fontId="32" fillId="2" borderId="33" xfId="0" applyNumberFormat="1" applyFont="1" applyFill="1" applyBorder="1" applyAlignment="1">
      <alignment horizontal="right" vertical="center"/>
    </xf>
    <xf numFmtId="192" fontId="32" fillId="2" borderId="25" xfId="0" applyNumberFormat="1" applyFont="1" applyFill="1" applyBorder="1" applyAlignment="1">
      <alignment horizontal="right" vertical="center"/>
    </xf>
    <xf numFmtId="192" fontId="13" fillId="0" borderId="0" xfId="0" applyNumberFormat="1" applyFont="1" applyFill="1" applyBorder="1" applyAlignment="1" applyProtection="1">
      <alignment horizontal="right" vertical="center"/>
      <protection locked="0"/>
    </xf>
    <xf numFmtId="192" fontId="19" fillId="0" borderId="0" xfId="0" applyNumberFormat="1" applyFont="1" applyFill="1" applyBorder="1" applyAlignment="1" applyProtection="1">
      <alignment horizontal="right" vertical="center"/>
      <protection locked="0"/>
    </xf>
    <xf numFmtId="192" fontId="7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23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 applyProtection="1">
      <alignment horizontal="center" vertical="center" wrapText="1"/>
      <protection/>
    </xf>
    <xf numFmtId="193" fontId="32" fillId="2" borderId="34" xfId="0" applyNumberFormat="1" applyFont="1" applyFill="1" applyBorder="1" applyAlignment="1">
      <alignment horizontal="right" vertical="center"/>
    </xf>
    <xf numFmtId="49" fontId="19" fillId="0" borderId="9" xfId="15" applyNumberFormat="1" applyFont="1" applyFill="1" applyBorder="1" applyAlignment="1">
      <alignment horizontal="center" vertical="center"/>
    </xf>
    <xf numFmtId="0" fontId="31" fillId="2" borderId="24" xfId="0" applyFont="1" applyFill="1" applyBorder="1" applyAlignment="1" applyProtection="1">
      <alignment vertical="center"/>
      <protection locked="0"/>
    </xf>
    <xf numFmtId="0" fontId="31" fillId="2" borderId="19" xfId="0" applyFont="1" applyFill="1" applyBorder="1" applyAlignment="1">
      <alignment vertical="center"/>
    </xf>
    <xf numFmtId="184" fontId="31" fillId="2" borderId="19" xfId="0" applyNumberFormat="1" applyFont="1" applyFill="1" applyBorder="1" applyAlignment="1">
      <alignment horizontal="center" vertical="center"/>
    </xf>
    <xf numFmtId="0" fontId="31" fillId="2" borderId="19" xfId="0" applyFont="1" applyFill="1" applyBorder="1" applyAlignment="1">
      <alignment horizontal="center" vertical="center"/>
    </xf>
    <xf numFmtId="3" fontId="31" fillId="2" borderId="19" xfId="0" applyNumberFormat="1" applyFont="1" applyFill="1" applyBorder="1" applyAlignment="1">
      <alignment horizontal="center" vertical="center"/>
    </xf>
    <xf numFmtId="187" fontId="23" fillId="2" borderId="19" xfId="0" applyNumberFormat="1" applyFont="1" applyFill="1" applyBorder="1" applyAlignment="1">
      <alignment horizontal="right" vertical="center"/>
    </xf>
    <xf numFmtId="193" fontId="31" fillId="2" borderId="19" xfId="0" applyNumberFormat="1" applyFont="1" applyFill="1" applyBorder="1" applyAlignment="1">
      <alignment horizontal="right" vertical="center"/>
    </xf>
    <xf numFmtId="192" fontId="31" fillId="2" borderId="19" xfId="0" applyNumberFormat="1" applyFont="1" applyFill="1" applyBorder="1" applyAlignment="1">
      <alignment vertical="center"/>
    </xf>
    <xf numFmtId="187" fontId="31" fillId="2" borderId="19" xfId="0" applyNumberFormat="1" applyFont="1" applyFill="1" applyBorder="1" applyAlignment="1">
      <alignment horizontal="right" vertical="center"/>
    </xf>
    <xf numFmtId="192" fontId="31" fillId="2" borderId="26" xfId="0" applyNumberFormat="1" applyFont="1" applyFill="1" applyBorder="1" applyAlignment="1">
      <alignment horizontal="right" vertical="center"/>
    </xf>
    <xf numFmtId="0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35" xfId="0" applyNumberFormat="1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vertical="center"/>
    </xf>
    <xf numFmtId="0" fontId="13" fillId="0" borderId="36" xfId="0" applyFont="1" applyFill="1" applyBorder="1" applyAlignment="1" applyProtection="1">
      <alignment vertical="center"/>
      <protection/>
    </xf>
    <xf numFmtId="0" fontId="13" fillId="0" borderId="37" xfId="0" applyFont="1" applyFill="1" applyBorder="1" applyAlignment="1">
      <alignment vertical="center"/>
    </xf>
    <xf numFmtId="0" fontId="23" fillId="2" borderId="24" xfId="0" applyFont="1" applyFill="1" applyBorder="1" applyAlignment="1">
      <alignment vertical="center"/>
    </xf>
    <xf numFmtId="0" fontId="23" fillId="2" borderId="19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vertical="center"/>
    </xf>
    <xf numFmtId="3" fontId="23" fillId="2" borderId="19" xfId="0" applyNumberFormat="1" applyFont="1" applyFill="1" applyBorder="1" applyAlignment="1">
      <alignment horizontal="center" vertical="center"/>
    </xf>
    <xf numFmtId="3" fontId="23" fillId="2" borderId="19" xfId="0" applyNumberFormat="1" applyFont="1" applyFill="1" applyBorder="1" applyAlignment="1">
      <alignment horizontal="right" vertical="center" indent="1"/>
    </xf>
    <xf numFmtId="2" fontId="23" fillId="2" borderId="26" xfId="0" applyNumberFormat="1" applyFont="1" applyFill="1" applyBorder="1" applyAlignment="1">
      <alignment horizontal="right" vertical="center" indent="1"/>
    </xf>
    <xf numFmtId="4" fontId="0" fillId="0" borderId="0" xfId="0" applyNumberFormat="1" applyAlignment="1">
      <alignment horizontal="center" vertical="center"/>
    </xf>
    <xf numFmtId="193" fontId="0" fillId="0" borderId="0" xfId="0" applyNumberFormat="1" applyAlignment="1">
      <alignment horizontal="center" vertical="center"/>
    </xf>
    <xf numFmtId="49" fontId="29" fillId="0" borderId="6" xfId="0" applyNumberFormat="1" applyFont="1" applyFill="1" applyBorder="1" applyAlignment="1" applyProtection="1">
      <alignment horizontal="center" vertical="center"/>
      <protection locked="0"/>
    </xf>
    <xf numFmtId="49" fontId="29" fillId="0" borderId="15" xfId="0" applyNumberFormat="1" applyFont="1" applyFill="1" applyBorder="1" applyAlignment="1" applyProtection="1">
      <alignment horizontal="center" vertical="center"/>
      <protection locked="0"/>
    </xf>
    <xf numFmtId="49" fontId="29" fillId="0" borderId="7" xfId="0" applyNumberFormat="1" applyFont="1" applyFill="1" applyBorder="1" applyAlignment="1" applyProtection="1">
      <alignment horizontal="center" vertical="center"/>
      <protection locked="0"/>
    </xf>
    <xf numFmtId="49" fontId="29" fillId="0" borderId="17" xfId="0" applyNumberFormat="1" applyFont="1" applyFill="1" applyBorder="1" applyAlignment="1" applyProtection="1">
      <alignment horizontal="center" vertical="center"/>
      <protection locked="0"/>
    </xf>
    <xf numFmtId="49" fontId="19" fillId="0" borderId="9" xfId="0" applyNumberFormat="1" applyFont="1" applyFill="1" applyBorder="1" applyAlignment="1" applyProtection="1">
      <alignment horizontal="center" vertical="center"/>
      <protection locked="0"/>
    </xf>
    <xf numFmtId="0" fontId="13" fillId="0" borderId="38" xfId="0" applyFont="1" applyFill="1" applyBorder="1" applyAlignment="1">
      <alignment vertical="center"/>
    </xf>
    <xf numFmtId="200" fontId="5" fillId="0" borderId="20" xfId="0" applyNumberFormat="1" applyFont="1" applyFill="1" applyBorder="1" applyAlignment="1" applyProtection="1">
      <alignment horizontal="center" vertical="center" wrapText="1"/>
      <protection/>
    </xf>
    <xf numFmtId="200" fontId="23" fillId="2" borderId="19" xfId="0" applyNumberFormat="1" applyFont="1" applyFill="1" applyBorder="1" applyAlignment="1">
      <alignment vertical="center"/>
    </xf>
    <xf numFmtId="200" fontId="22" fillId="2" borderId="10" xfId="0" applyNumberFormat="1" applyFont="1" applyFill="1" applyBorder="1" applyAlignment="1">
      <alignment vertical="center"/>
    </xf>
    <xf numFmtId="200" fontId="14" fillId="0" borderId="0" xfId="0" applyNumberFormat="1" applyFont="1" applyFill="1" applyAlignment="1">
      <alignment vertical="center"/>
    </xf>
    <xf numFmtId="200" fontId="18" fillId="0" borderId="19" xfId="0" applyNumberFormat="1" applyFont="1" applyBorder="1" applyAlignment="1">
      <alignment vertical="center"/>
    </xf>
    <xf numFmtId="200" fontId="18" fillId="0" borderId="28" xfId="0" applyNumberFormat="1" applyFont="1" applyBorder="1" applyAlignment="1">
      <alignment vertical="center"/>
    </xf>
    <xf numFmtId="200" fontId="22" fillId="2" borderId="31" xfId="0" applyNumberFormat="1" applyFont="1" applyFill="1" applyBorder="1" applyAlignment="1">
      <alignment vertical="center"/>
    </xf>
    <xf numFmtId="200" fontId="14" fillId="0" borderId="0" xfId="0" applyNumberFormat="1" applyFont="1" applyAlignment="1">
      <alignment vertical="center"/>
    </xf>
    <xf numFmtId="0" fontId="19" fillId="0" borderId="19" xfId="0" applyFont="1" applyFill="1" applyBorder="1" applyAlignment="1">
      <alignment horizontal="center" vertical="center"/>
    </xf>
    <xf numFmtId="184" fontId="19" fillId="0" borderId="10" xfId="0" applyNumberFormat="1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184" fontId="5" fillId="0" borderId="18" xfId="0" applyNumberFormat="1" applyFont="1" applyFill="1" applyBorder="1" applyAlignment="1" applyProtection="1">
      <alignment horizontal="center" vertical="center" wrapText="1"/>
      <protection/>
    </xf>
    <xf numFmtId="184" fontId="0" fillId="0" borderId="20" xfId="0" applyNumberFormat="1" applyBorder="1" applyAlignment="1">
      <alignment horizontal="center" wrapText="1"/>
    </xf>
    <xf numFmtId="2" fontId="19" fillId="0" borderId="9" xfId="15" applyNumberFormat="1" applyFont="1" applyFill="1" applyBorder="1" applyAlignment="1" applyProtection="1">
      <alignment horizontal="right" vertical="center"/>
      <protection/>
    </xf>
    <xf numFmtId="2" fontId="19" fillId="0" borderId="9" xfId="22" applyNumberFormat="1" applyFont="1" applyFill="1" applyBorder="1" applyAlignment="1" applyProtection="1">
      <alignment horizontal="right" vertical="center"/>
      <protection/>
    </xf>
    <xf numFmtId="2" fontId="19" fillId="0" borderId="19" xfId="15" applyNumberFormat="1" applyFont="1" applyFill="1" applyBorder="1" applyAlignment="1" applyProtection="1">
      <alignment horizontal="right" vertical="center"/>
      <protection/>
    </xf>
    <xf numFmtId="2" fontId="19" fillId="0" borderId="26" xfId="15" applyNumberFormat="1" applyFont="1" applyFill="1" applyBorder="1" applyAlignment="1" applyProtection="1">
      <alignment horizontal="right" vertical="center"/>
      <protection/>
    </xf>
    <xf numFmtId="2" fontId="19" fillId="0" borderId="33" xfId="15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4" fontId="5" fillId="0" borderId="18" xfId="0" applyNumberFormat="1" applyFont="1" applyFill="1" applyBorder="1" applyAlignment="1" applyProtection="1">
      <alignment horizontal="center" vertical="center" wrapText="1"/>
      <protection/>
    </xf>
    <xf numFmtId="2" fontId="19" fillId="0" borderId="10" xfId="15" applyNumberFormat="1" applyFont="1" applyFill="1" applyBorder="1" applyAlignment="1" applyProtection="1">
      <alignment horizontal="right" vertical="center"/>
      <protection/>
    </xf>
    <xf numFmtId="2" fontId="19" fillId="0" borderId="25" xfId="15" applyNumberFormat="1" applyFont="1" applyFill="1" applyBorder="1" applyAlignment="1" applyProtection="1">
      <alignment horizontal="right" vertical="center"/>
      <protection/>
    </xf>
    <xf numFmtId="0" fontId="19" fillId="0" borderId="9" xfId="0" applyFont="1" applyFill="1" applyBorder="1" applyAlignment="1">
      <alignment vertical="center"/>
    </xf>
    <xf numFmtId="3" fontId="19" fillId="0" borderId="9" xfId="0" applyNumberFormat="1" applyFont="1" applyFill="1" applyBorder="1" applyAlignment="1">
      <alignment vertical="center"/>
    </xf>
    <xf numFmtId="0" fontId="19" fillId="0" borderId="9" xfId="0" applyFont="1" applyFill="1" applyBorder="1" applyAlignment="1" applyProtection="1">
      <alignment vertical="center"/>
      <protection locked="0"/>
    </xf>
    <xf numFmtId="184" fontId="19" fillId="0" borderId="9" xfId="0" applyNumberFormat="1" applyFont="1" applyFill="1" applyBorder="1" applyAlignment="1" applyProtection="1">
      <alignment vertical="center"/>
      <protection locked="0"/>
    </xf>
    <xf numFmtId="49" fontId="19" fillId="0" borderId="9" xfId="0" applyNumberFormat="1" applyFont="1" applyFill="1" applyBorder="1" applyAlignment="1">
      <alignment vertical="center"/>
    </xf>
    <xf numFmtId="49" fontId="19" fillId="0" borderId="9" xfId="0" applyNumberFormat="1" applyFont="1" applyFill="1" applyBorder="1" applyAlignment="1" applyProtection="1">
      <alignment vertical="center"/>
      <protection locked="0"/>
    </xf>
    <xf numFmtId="3" fontId="19" fillId="0" borderId="9" xfId="0" applyNumberFormat="1" applyFont="1" applyFill="1" applyBorder="1" applyAlignment="1" applyProtection="1">
      <alignment vertical="center"/>
      <protection locked="0"/>
    </xf>
    <xf numFmtId="0" fontId="19" fillId="0" borderId="9" xfId="0" applyNumberFormat="1" applyFont="1" applyFill="1" applyBorder="1" applyAlignment="1">
      <alignment vertical="center"/>
    </xf>
    <xf numFmtId="0" fontId="19" fillId="0" borderId="9" xfId="0" applyNumberFormat="1" applyFont="1" applyFill="1" applyBorder="1" applyAlignment="1" applyProtection="1">
      <alignment vertical="center"/>
      <protection locked="0"/>
    </xf>
    <xf numFmtId="49" fontId="19" fillId="0" borderId="9" xfId="15" applyNumberFormat="1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49" fontId="19" fillId="0" borderId="10" xfId="0" applyNumberFormat="1" applyFont="1" applyFill="1" applyBorder="1" applyAlignment="1">
      <alignment vertical="center"/>
    </xf>
    <xf numFmtId="193" fontId="19" fillId="0" borderId="7" xfId="0" applyNumberFormat="1" applyFont="1" applyFill="1" applyBorder="1" applyAlignment="1" applyProtection="1">
      <alignment vertical="center"/>
      <protection locked="0"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wrapText="1"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Border="1" applyAlignment="1">
      <alignment horizontal="center" wrapText="1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84" fontId="18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/>
    </xf>
    <xf numFmtId="0" fontId="0" fillId="0" borderId="39" xfId="0" applyFont="1" applyBorder="1" applyAlignment="1">
      <alignment/>
    </xf>
    <xf numFmtId="0" fontId="20" fillId="2" borderId="0" xfId="0" applyFont="1" applyFill="1" applyBorder="1" applyAlignment="1" applyProtection="1">
      <alignment horizontal="center" vertical="center"/>
      <protection/>
    </xf>
    <xf numFmtId="0" fontId="20" fillId="2" borderId="0" xfId="0" applyFont="1" applyFill="1" applyAlignment="1">
      <alignment horizontal="center" vertical="center"/>
    </xf>
    <xf numFmtId="184" fontId="12" fillId="0" borderId="22" xfId="0" applyNumberFormat="1" applyFont="1" applyFill="1" applyBorder="1" applyAlignment="1" applyProtection="1">
      <alignment horizontal="center" vertical="center"/>
      <protection locked="0"/>
    </xf>
    <xf numFmtId="184" fontId="0" fillId="0" borderId="40" xfId="0" applyNumberFormat="1" applyBorder="1" applyAlignment="1">
      <alignment horizontal="center" vertical="center"/>
    </xf>
    <xf numFmtId="184" fontId="0" fillId="0" borderId="41" xfId="0" applyNumberFormat="1" applyBorder="1" applyAlignment="1">
      <alignment horizontal="center" vertical="center"/>
    </xf>
    <xf numFmtId="184" fontId="0" fillId="0" borderId="42" xfId="0" applyNumberFormat="1" applyBorder="1" applyAlignment="1">
      <alignment horizontal="center" vertical="center"/>
    </xf>
    <xf numFmtId="0" fontId="21" fillId="0" borderId="0" xfId="0" applyFont="1" applyBorder="1" applyAlignment="1" applyProtection="1">
      <alignment vertical="center" wrapText="1"/>
      <protection locked="0"/>
    </xf>
    <xf numFmtId="181" fontId="5" fillId="0" borderId="18" xfId="0" applyNumberFormat="1" applyFont="1" applyFill="1" applyBorder="1" applyAlignment="1" applyProtection="1">
      <alignment horizontal="center" vertical="center" wrapText="1"/>
      <protection/>
    </xf>
    <xf numFmtId="181" fontId="5" fillId="0" borderId="39" xfId="0" applyNumberFormat="1" applyFont="1" applyFill="1" applyBorder="1" applyAlignment="1" applyProtection="1">
      <alignment horizontal="center" vertical="center" wrapText="1"/>
      <protection/>
    </xf>
    <xf numFmtId="43" fontId="5" fillId="0" borderId="18" xfId="15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2" fontId="5" fillId="0" borderId="39" xfId="0" applyNumberFormat="1" applyFont="1" applyFill="1" applyBorder="1" applyAlignment="1" applyProtection="1">
      <alignment horizontal="right" vertical="center" wrapText="1" indent="1"/>
      <protection/>
    </xf>
    <xf numFmtId="2" fontId="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wrapText="1"/>
    </xf>
    <xf numFmtId="0" fontId="34" fillId="3" borderId="43" xfId="0" applyFont="1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2" fontId="5" fillId="0" borderId="39" xfId="0" applyNumberFormat="1" applyFont="1" applyFill="1" applyBorder="1" applyAlignment="1" applyProtection="1">
      <alignment horizontal="center" vertical="center" wrapText="1"/>
      <protection/>
    </xf>
    <xf numFmtId="2" fontId="5" fillId="0" borderId="21" xfId="0" applyNumberFormat="1" applyFont="1" applyFill="1" applyBorder="1" applyAlignment="1" applyProtection="1">
      <alignment horizontal="center" vertical="center" wrapText="1"/>
      <protection/>
    </xf>
    <xf numFmtId="3" fontId="19" fillId="0" borderId="9" xfId="0" applyNumberFormat="1" applyFont="1" applyFill="1" applyBorder="1" applyAlignment="1" applyProtection="1">
      <alignment horizontal="left" vertical="center"/>
      <protection locked="0"/>
    </xf>
    <xf numFmtId="200" fontId="19" fillId="0" borderId="9" xfId="15" applyNumberFormat="1" applyFont="1" applyFill="1" applyBorder="1" applyAlignment="1" applyProtection="1">
      <alignment horizontal="right" vertical="center"/>
      <protection locked="0"/>
    </xf>
    <xf numFmtId="185" fontId="19" fillId="0" borderId="9" xfId="15" applyNumberFormat="1" applyFont="1" applyFill="1" applyBorder="1" applyAlignment="1" applyProtection="1">
      <alignment horizontal="right" vertical="center"/>
      <protection locked="0"/>
    </xf>
    <xf numFmtId="185" fontId="19" fillId="0" borderId="9" xfId="15" applyNumberFormat="1" applyFont="1" applyFill="1" applyBorder="1" applyAlignment="1" applyProtection="1">
      <alignment horizontal="right" vertical="center"/>
      <protection/>
    </xf>
    <xf numFmtId="3" fontId="19" fillId="0" borderId="9" xfId="0" applyNumberFormat="1" applyFont="1" applyFill="1" applyBorder="1" applyAlignment="1">
      <alignment horizontal="left" vertical="center"/>
    </xf>
    <xf numFmtId="200" fontId="19" fillId="0" borderId="9" xfId="0" applyNumberFormat="1" applyFont="1" applyFill="1" applyBorder="1" applyAlignment="1">
      <alignment horizontal="right" vertical="center"/>
    </xf>
    <xf numFmtId="185" fontId="19" fillId="0" borderId="9" xfId="0" applyNumberFormat="1" applyFont="1" applyFill="1" applyBorder="1" applyAlignment="1">
      <alignment horizontal="right" vertical="center"/>
    </xf>
    <xf numFmtId="185" fontId="19" fillId="0" borderId="9" xfId="22" applyNumberFormat="1" applyFont="1" applyFill="1" applyBorder="1" applyAlignment="1" applyProtection="1">
      <alignment horizontal="right" vertical="center"/>
      <protection/>
    </xf>
    <xf numFmtId="200" fontId="19" fillId="0" borderId="9" xfId="15" applyNumberFormat="1" applyFont="1" applyFill="1" applyBorder="1" applyAlignment="1" applyProtection="1">
      <alignment horizontal="right" vertical="center"/>
      <protection/>
    </xf>
    <xf numFmtId="200" fontId="19" fillId="0" borderId="9" xfId="15" applyNumberFormat="1" applyFont="1" applyFill="1" applyBorder="1" applyAlignment="1">
      <alignment horizontal="right" vertical="center"/>
    </xf>
    <xf numFmtId="3" fontId="19" fillId="0" borderId="19" xfId="0" applyNumberFormat="1" applyFont="1" applyFill="1" applyBorder="1" applyAlignment="1" applyProtection="1">
      <alignment horizontal="left" vertical="center"/>
      <protection locked="0"/>
    </xf>
    <xf numFmtId="3" fontId="19" fillId="0" borderId="19" xfId="0" applyNumberFormat="1" applyFont="1" applyFill="1" applyBorder="1" applyAlignment="1" applyProtection="1">
      <alignment vertical="center"/>
      <protection locked="0"/>
    </xf>
    <xf numFmtId="3" fontId="19" fillId="0" borderId="19" xfId="0" applyNumberFormat="1" applyFont="1" applyFill="1" applyBorder="1" applyAlignment="1" applyProtection="1">
      <alignment horizontal="center" vertical="center"/>
      <protection locked="0"/>
    </xf>
    <xf numFmtId="200" fontId="19" fillId="0" borderId="19" xfId="15" applyNumberFormat="1" applyFont="1" applyFill="1" applyBorder="1" applyAlignment="1" applyProtection="1">
      <alignment horizontal="right" vertical="center"/>
      <protection locked="0"/>
    </xf>
    <xf numFmtId="185" fontId="19" fillId="0" borderId="19" xfId="15" applyNumberFormat="1" applyFont="1" applyFill="1" applyBorder="1" applyAlignment="1" applyProtection="1">
      <alignment horizontal="right" vertical="center"/>
      <protection locked="0"/>
    </xf>
    <xf numFmtId="185" fontId="19" fillId="0" borderId="19" xfId="15" applyNumberFormat="1" applyFont="1" applyFill="1" applyBorder="1" applyAlignment="1" applyProtection="1">
      <alignment horizontal="right" vertical="center"/>
      <protection/>
    </xf>
    <xf numFmtId="185" fontId="19" fillId="0" borderId="10" xfId="0" applyNumberFormat="1" applyFont="1" applyFill="1" applyBorder="1" applyAlignment="1">
      <alignment horizontal="right" vertical="center"/>
    </xf>
    <xf numFmtId="185" fontId="19" fillId="0" borderId="10" xfId="15" applyNumberFormat="1" applyFont="1" applyFill="1" applyBorder="1" applyAlignment="1" applyProtection="1">
      <alignment horizontal="right" vertical="center"/>
      <protection/>
    </xf>
    <xf numFmtId="49" fontId="19" fillId="0" borderId="10" xfId="0" applyNumberFormat="1" applyFont="1" applyFill="1" applyBorder="1" applyAlignment="1">
      <alignment horizontal="left" vertical="center"/>
    </xf>
    <xf numFmtId="200" fontId="19" fillId="0" borderId="10" xfId="0" applyNumberFormat="1" applyFont="1" applyFill="1" applyBorder="1" applyAlignment="1">
      <alignment horizontal="right" vertical="center"/>
    </xf>
    <xf numFmtId="200" fontId="18" fillId="0" borderId="19" xfId="15" applyNumberFormat="1" applyFont="1" applyFill="1" applyBorder="1" applyAlignment="1" applyProtection="1">
      <alignment horizontal="right" vertical="center"/>
      <protection locked="0"/>
    </xf>
    <xf numFmtId="200" fontId="18" fillId="0" borderId="9" xfId="15" applyNumberFormat="1" applyFont="1" applyFill="1" applyBorder="1" applyAlignment="1" applyProtection="1">
      <alignment horizontal="right" vertical="center"/>
      <protection locked="0"/>
    </xf>
    <xf numFmtId="200" fontId="18" fillId="0" borderId="9" xfId="0" applyNumberFormat="1" applyFont="1" applyFill="1" applyBorder="1" applyAlignment="1">
      <alignment horizontal="right" vertical="center"/>
    </xf>
    <xf numFmtId="200" fontId="18" fillId="0" borderId="9" xfId="15" applyNumberFormat="1" applyFont="1" applyFill="1" applyBorder="1" applyAlignment="1" applyProtection="1">
      <alignment horizontal="right" vertical="center"/>
      <protection/>
    </xf>
    <xf numFmtId="200" fontId="18" fillId="0" borderId="9" xfId="15" applyNumberFormat="1" applyFont="1" applyFill="1" applyBorder="1" applyAlignment="1">
      <alignment horizontal="right" vertical="center"/>
    </xf>
    <xf numFmtId="200" fontId="18" fillId="0" borderId="10" xfId="0" applyNumberFormat="1" applyFont="1" applyFill="1" applyBorder="1" applyAlignment="1">
      <alignment horizontal="right" vertical="center"/>
    </xf>
    <xf numFmtId="184" fontId="19" fillId="0" borderId="9" xfId="0" applyNumberFormat="1" applyFont="1" applyFill="1" applyBorder="1" applyAlignment="1">
      <alignment vertical="center"/>
    </xf>
    <xf numFmtId="185" fontId="19" fillId="0" borderId="9" xfId="15" applyNumberFormat="1" applyFont="1" applyFill="1" applyBorder="1" applyAlignment="1">
      <alignment vertical="center"/>
    </xf>
    <xf numFmtId="185" fontId="19" fillId="0" borderId="9" xfId="0" applyNumberFormat="1" applyFont="1" applyFill="1" applyBorder="1" applyAlignment="1">
      <alignment vertical="center"/>
    </xf>
    <xf numFmtId="185" fontId="19" fillId="0" borderId="9" xfId="15" applyNumberFormat="1" applyFont="1" applyFill="1" applyBorder="1" applyAlignment="1" applyProtection="1">
      <alignment vertical="center"/>
      <protection locked="0"/>
    </xf>
    <xf numFmtId="192" fontId="19" fillId="0" borderId="33" xfId="15" applyNumberFormat="1" applyFont="1" applyFill="1" applyBorder="1" applyAlignment="1" applyProtection="1">
      <alignment vertical="center"/>
      <protection/>
    </xf>
    <xf numFmtId="192" fontId="19" fillId="0" borderId="33" xfId="22" applyNumberFormat="1" applyFont="1" applyFill="1" applyBorder="1" applyAlignment="1" applyProtection="1">
      <alignment vertical="center"/>
      <protection/>
    </xf>
    <xf numFmtId="0" fontId="19" fillId="0" borderId="9" xfId="0" applyNumberFormat="1" applyFont="1" applyFill="1" applyBorder="1" applyAlignment="1">
      <alignment horizontal="left" vertical="center"/>
    </xf>
    <xf numFmtId="185" fontId="19" fillId="0" borderId="9" xfId="0" applyNumberFormat="1" applyFont="1" applyFill="1" applyBorder="1" applyAlignment="1" applyProtection="1">
      <alignment vertical="center"/>
      <protection locked="0"/>
    </xf>
    <xf numFmtId="0" fontId="19" fillId="0" borderId="9" xfId="0" applyNumberFormat="1" applyFont="1" applyFill="1" applyBorder="1" applyAlignment="1" applyProtection="1">
      <alignment horizontal="left" vertical="center"/>
      <protection locked="0"/>
    </xf>
    <xf numFmtId="184" fontId="19" fillId="0" borderId="9" xfId="15" applyNumberFormat="1" applyFont="1" applyFill="1" applyBorder="1" applyAlignment="1">
      <alignment vertical="center"/>
    </xf>
    <xf numFmtId="49" fontId="19" fillId="0" borderId="9" xfId="15" applyNumberFormat="1" applyFont="1" applyFill="1" applyBorder="1" applyAlignment="1">
      <alignment horizontal="left" vertical="center"/>
    </xf>
    <xf numFmtId="0" fontId="19" fillId="0" borderId="9" xfId="19" applyFont="1" applyFill="1" applyBorder="1" applyAlignment="1" applyProtection="1">
      <alignment horizontal="left" vertical="center"/>
      <protection locked="0"/>
    </xf>
    <xf numFmtId="197" fontId="19" fillId="0" borderId="9" xfId="0" applyNumberFormat="1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/>
    </xf>
    <xf numFmtId="184" fontId="19" fillId="0" borderId="10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185" fontId="19" fillId="0" borderId="10" xfId="15" applyNumberFormat="1" applyFont="1" applyFill="1" applyBorder="1" applyAlignment="1">
      <alignment vertical="center"/>
    </xf>
    <xf numFmtId="192" fontId="19" fillId="0" borderId="25" xfId="22" applyNumberFormat="1" applyFont="1" applyFill="1" applyBorder="1" applyAlignment="1" applyProtection="1">
      <alignment vertical="center"/>
      <protection/>
    </xf>
    <xf numFmtId="184" fontId="19" fillId="0" borderId="19" xfId="0" applyNumberFormat="1" applyFont="1" applyFill="1" applyBorder="1" applyAlignment="1">
      <alignment vertical="center"/>
    </xf>
    <xf numFmtId="0" fontId="19" fillId="0" borderId="19" xfId="0" applyFont="1" applyFill="1" applyBorder="1" applyAlignment="1">
      <alignment horizontal="left" vertical="center"/>
    </xf>
    <xf numFmtId="185" fontId="19" fillId="0" borderId="19" xfId="15" applyNumberFormat="1" applyFont="1" applyFill="1" applyBorder="1" applyAlignment="1">
      <alignment vertical="center"/>
    </xf>
    <xf numFmtId="192" fontId="19" fillId="0" borderId="26" xfId="22" applyNumberFormat="1" applyFont="1" applyFill="1" applyBorder="1" applyAlignment="1" applyProtection="1">
      <alignment vertical="center"/>
      <protection/>
    </xf>
    <xf numFmtId="200" fontId="18" fillId="0" borderId="19" xfId="15" applyNumberFormat="1" applyFont="1" applyFill="1" applyBorder="1" applyAlignment="1">
      <alignment vertical="center"/>
    </xf>
    <xf numFmtId="200" fontId="18" fillId="0" borderId="9" xfId="0" applyNumberFormat="1" applyFont="1" applyFill="1" applyBorder="1" applyAlignment="1">
      <alignment vertical="center"/>
    </xf>
    <xf numFmtId="200" fontId="18" fillId="0" borderId="9" xfId="15" applyNumberFormat="1" applyFont="1" applyFill="1" applyBorder="1" applyAlignment="1" applyProtection="1">
      <alignment vertical="center"/>
      <protection locked="0"/>
    </xf>
    <xf numFmtId="200" fontId="18" fillId="0" borderId="9" xfId="15" applyNumberFormat="1" applyFont="1" applyFill="1" applyBorder="1" applyAlignment="1">
      <alignment vertical="center"/>
    </xf>
    <xf numFmtId="200" fontId="18" fillId="0" borderId="9" xfId="15" applyNumberFormat="1" applyFont="1" applyFill="1" applyBorder="1" applyAlignment="1" applyProtection="1">
      <alignment vertical="center"/>
      <protection/>
    </xf>
    <xf numFmtId="200" fontId="18" fillId="0" borderId="9" xfId="0" applyNumberFormat="1" applyFont="1" applyFill="1" applyBorder="1" applyAlignment="1" applyProtection="1">
      <alignment vertical="center"/>
      <protection locked="0"/>
    </xf>
    <xf numFmtId="200" fontId="18" fillId="0" borderId="10" xfId="15" applyNumberFormat="1" applyFont="1" applyFill="1" applyBorder="1" applyAlignment="1">
      <alignment vertical="center"/>
    </xf>
    <xf numFmtId="0" fontId="19" fillId="0" borderId="46" xfId="0" applyFont="1" applyBorder="1" applyAlignment="1">
      <alignment horizontal="right" vertical="center"/>
    </xf>
    <xf numFmtId="0" fontId="19" fillId="0" borderId="2" xfId="0" applyFont="1" applyFill="1" applyBorder="1" applyAlignment="1" applyProtection="1">
      <alignment horizontal="right" vertical="center"/>
      <protection locked="0"/>
    </xf>
    <xf numFmtId="0" fontId="19" fillId="0" borderId="7" xfId="0" applyNumberFormat="1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horizontal="right" vertical="center"/>
      <protection locked="0"/>
    </xf>
    <xf numFmtId="0" fontId="19" fillId="0" borderId="13" xfId="0" applyFont="1" applyFill="1" applyBorder="1" applyAlignment="1" applyProtection="1">
      <alignment horizontal="right" vertical="center"/>
      <protection locked="0"/>
    </xf>
    <xf numFmtId="0" fontId="19" fillId="0" borderId="4" xfId="0" applyNumberFormat="1" applyFont="1" applyFill="1" applyBorder="1" applyAlignment="1" applyProtection="1">
      <alignment horizontal="center" vertical="center"/>
      <protection locked="0"/>
    </xf>
    <xf numFmtId="193" fontId="19" fillId="0" borderId="4" xfId="0" applyNumberFormat="1" applyFont="1" applyFill="1" applyBorder="1" applyAlignment="1" applyProtection="1">
      <alignment vertical="center"/>
      <protection locked="0"/>
    </xf>
    <xf numFmtId="2" fontId="14" fillId="0" borderId="0" xfId="0" applyNumberFormat="1" applyFont="1" applyFill="1" applyAlignment="1">
      <alignment vertical="center"/>
    </xf>
    <xf numFmtId="0" fontId="0" fillId="0" borderId="44" xfId="0" applyBorder="1" applyAlignment="1">
      <alignment/>
    </xf>
    <xf numFmtId="0" fontId="19" fillId="0" borderId="6" xfId="0" applyFont="1" applyBorder="1" applyAlignment="1">
      <alignment horizontal="center" vertical="center"/>
    </xf>
    <xf numFmtId="0" fontId="0" fillId="0" borderId="0" xfId="0" applyBorder="1" applyAlignment="1">
      <alignment/>
    </xf>
    <xf numFmtId="184" fontId="18" fillId="0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/>
    </xf>
    <xf numFmtId="4" fontId="32" fillId="4" borderId="6" xfId="0" applyNumberFormat="1" applyFont="1" applyFill="1" applyBorder="1" applyAlignment="1" applyProtection="1">
      <alignment vertical="center"/>
      <protection locked="0"/>
    </xf>
    <xf numFmtId="193" fontId="32" fillId="4" borderId="6" xfId="0" applyNumberFormat="1" applyFont="1" applyFill="1" applyBorder="1" applyAlignment="1" applyProtection="1">
      <alignment vertical="center"/>
      <protection locked="0"/>
    </xf>
    <xf numFmtId="200" fontId="19" fillId="0" borderId="6" xfId="0" applyNumberFormat="1" applyFont="1" applyFill="1" applyBorder="1" applyAlignment="1" applyProtection="1">
      <alignment vertical="center"/>
      <protection locked="0"/>
    </xf>
    <xf numFmtId="4" fontId="19" fillId="0" borderId="7" xfId="0" applyNumberFormat="1" applyFont="1" applyFill="1" applyBorder="1" applyAlignment="1" applyProtection="1">
      <alignment vertical="center"/>
      <protection locked="0"/>
    </xf>
    <xf numFmtId="200" fontId="19" fillId="0" borderId="7" xfId="0" applyNumberFormat="1" applyFont="1" applyFill="1" applyBorder="1" applyAlignment="1" applyProtection="1">
      <alignment vertical="center"/>
      <protection locked="0"/>
    </xf>
    <xf numFmtId="0" fontId="32" fillId="4" borderId="7" xfId="0" applyNumberFormat="1" applyFont="1" applyFill="1" applyBorder="1" applyAlignment="1" applyProtection="1">
      <alignment horizontal="center" vertical="center"/>
      <protection locked="0"/>
    </xf>
    <xf numFmtId="200" fontId="32" fillId="4" borderId="17" xfId="0" applyNumberFormat="1" applyFont="1" applyFill="1" applyBorder="1" applyAlignment="1" applyProtection="1">
      <alignment vertical="center"/>
      <protection locked="0"/>
    </xf>
    <xf numFmtId="200" fontId="19" fillId="0" borderId="17" xfId="0" applyNumberFormat="1" applyFont="1" applyFill="1" applyBorder="1" applyAlignment="1" applyProtection="1">
      <alignment vertical="center"/>
      <protection locked="0"/>
    </xf>
    <xf numFmtId="4" fontId="19" fillId="0" borderId="4" xfId="0" applyNumberFormat="1" applyFont="1" applyFill="1" applyBorder="1" applyAlignment="1" applyProtection="1">
      <alignment vertical="center"/>
      <protection locked="0"/>
    </xf>
    <xf numFmtId="200" fontId="19" fillId="0" borderId="1" xfId="0" applyNumberFormat="1" applyFont="1" applyFill="1" applyBorder="1" applyAlignment="1" applyProtection="1">
      <alignment vertical="center"/>
      <protection locked="0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Sayf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325880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466725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0953750" y="466725"/>
          <a:ext cx="2266950" cy="600075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 : 27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30  JUN' - 06 JUL' 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1"/>
  <sheetViews>
    <sheetView showGridLines="0" tabSelected="1" zoomScale="50" zoomScaleNormal="5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3" sqref="C3:C4"/>
    </sheetView>
  </sheetViews>
  <sheetFormatPr defaultColWidth="9.140625" defaultRowHeight="12.75"/>
  <cols>
    <col min="1" max="1" width="4.421875" style="89" bestFit="1" customWidth="1"/>
    <col min="2" max="2" width="1.28515625" style="6" customWidth="1"/>
    <col min="3" max="3" width="41.57421875" style="5" bestFit="1" customWidth="1"/>
    <col min="4" max="4" width="9.8515625" style="30" bestFit="1" customWidth="1"/>
    <col min="5" max="5" width="16.00390625" style="35" customWidth="1"/>
    <col min="6" max="6" width="18.421875" style="35" bestFit="1" customWidth="1"/>
    <col min="7" max="7" width="12.57421875" style="8" customWidth="1"/>
    <col min="8" max="8" width="7.8515625" style="8" bestFit="1" customWidth="1"/>
    <col min="9" max="9" width="8.8515625" style="8" customWidth="1"/>
    <col min="10" max="10" width="15.00390625" style="53" bestFit="1" customWidth="1"/>
    <col min="11" max="11" width="9.00390625" style="111" bestFit="1" customWidth="1"/>
    <col min="12" max="12" width="12.57421875" style="111" customWidth="1"/>
    <col min="13" max="13" width="6.8515625" style="57" bestFit="1" customWidth="1"/>
    <col min="14" max="14" width="15.8515625" style="44" bestFit="1" customWidth="1"/>
    <col min="15" max="15" width="12.140625" style="111" bestFit="1" customWidth="1"/>
    <col min="16" max="16" width="6.8515625" style="192" bestFit="1" customWidth="1"/>
    <col min="17" max="16384" width="9.140625" style="5" customWidth="1"/>
  </cols>
  <sheetData>
    <row r="1" spans="1:16" s="3" customFormat="1" ht="95.25" customHeight="1">
      <c r="A1" s="85"/>
      <c r="B1" s="1"/>
      <c r="C1" s="2"/>
      <c r="D1" s="28"/>
      <c r="E1" s="33"/>
      <c r="F1" s="33"/>
      <c r="G1" s="7"/>
      <c r="H1" s="7"/>
      <c r="I1" s="7"/>
      <c r="J1" s="51"/>
      <c r="K1" s="108"/>
      <c r="L1" s="108"/>
      <c r="M1" s="56"/>
      <c r="N1" s="42"/>
      <c r="O1" s="45"/>
      <c r="P1" s="187"/>
    </row>
    <row r="2" spans="1:16" s="24" customFormat="1" ht="39.75" customHeight="1" thickBot="1">
      <c r="A2" s="273" t="s">
        <v>90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</row>
    <row r="3" spans="1:16" s="114" customFormat="1" ht="14.25">
      <c r="A3" s="112"/>
      <c r="B3" s="113"/>
      <c r="C3" s="282" t="s">
        <v>13</v>
      </c>
      <c r="D3" s="238" t="s">
        <v>14</v>
      </c>
      <c r="E3" s="265" t="s">
        <v>55</v>
      </c>
      <c r="F3" s="265" t="s">
        <v>54</v>
      </c>
      <c r="G3" s="263" t="s">
        <v>15</v>
      </c>
      <c r="H3" s="263" t="s">
        <v>28</v>
      </c>
      <c r="I3" s="263" t="s">
        <v>29</v>
      </c>
      <c r="J3" s="247" t="s">
        <v>16</v>
      </c>
      <c r="K3" s="247"/>
      <c r="L3" s="247"/>
      <c r="M3" s="247"/>
      <c r="N3" s="280" t="s">
        <v>17</v>
      </c>
      <c r="O3" s="280"/>
      <c r="P3" s="281"/>
    </row>
    <row r="4" spans="1:16" s="114" customFormat="1" ht="51.75" customHeight="1" thickBot="1">
      <c r="A4" s="115"/>
      <c r="B4" s="116"/>
      <c r="C4" s="264"/>
      <c r="D4" s="239"/>
      <c r="E4" s="266"/>
      <c r="F4" s="266"/>
      <c r="G4" s="264"/>
      <c r="H4" s="264"/>
      <c r="I4" s="264"/>
      <c r="J4" s="117" t="s">
        <v>18</v>
      </c>
      <c r="K4" s="92" t="s">
        <v>19</v>
      </c>
      <c r="L4" s="92" t="s">
        <v>143</v>
      </c>
      <c r="M4" s="93" t="s">
        <v>20</v>
      </c>
      <c r="N4" s="117" t="s">
        <v>18</v>
      </c>
      <c r="O4" s="92" t="s">
        <v>19</v>
      </c>
      <c r="P4" s="94" t="s">
        <v>21</v>
      </c>
    </row>
    <row r="5" spans="1:16" s="4" customFormat="1" ht="15">
      <c r="A5" s="86">
        <v>1</v>
      </c>
      <c r="B5" s="118"/>
      <c r="C5" s="304" t="s">
        <v>234</v>
      </c>
      <c r="D5" s="91">
        <v>38891</v>
      </c>
      <c r="E5" s="305" t="s">
        <v>60</v>
      </c>
      <c r="F5" s="305" t="s">
        <v>32</v>
      </c>
      <c r="G5" s="306">
        <v>134</v>
      </c>
      <c r="H5" s="306">
        <v>168</v>
      </c>
      <c r="I5" s="306">
        <v>2</v>
      </c>
      <c r="J5" s="314">
        <f>438090+738</f>
        <v>438828</v>
      </c>
      <c r="K5" s="308">
        <f>58080+141</f>
        <v>58221</v>
      </c>
      <c r="L5" s="309">
        <f>K5/H5</f>
        <v>346.55357142857144</v>
      </c>
      <c r="M5" s="242">
        <f>J5/K5</f>
        <v>7.537280362755706</v>
      </c>
      <c r="N5" s="307">
        <f>694435+438090+738</f>
        <v>1133263</v>
      </c>
      <c r="O5" s="308">
        <f>90541+58080+141</f>
        <v>148762</v>
      </c>
      <c r="P5" s="243">
        <f>+N5/O5</f>
        <v>7.617960231779621</v>
      </c>
    </row>
    <row r="6" spans="1:16" s="4" customFormat="1" ht="15">
      <c r="A6" s="86">
        <v>2</v>
      </c>
      <c r="B6" s="119"/>
      <c r="C6" s="294" t="s">
        <v>251</v>
      </c>
      <c r="D6" s="27">
        <v>38898</v>
      </c>
      <c r="E6" s="256" t="s">
        <v>60</v>
      </c>
      <c r="F6" s="256" t="s">
        <v>67</v>
      </c>
      <c r="G6" s="140">
        <v>52</v>
      </c>
      <c r="H6" s="140">
        <v>55</v>
      </c>
      <c r="I6" s="140">
        <v>1</v>
      </c>
      <c r="J6" s="315">
        <v>178154.5</v>
      </c>
      <c r="K6" s="296">
        <v>22672</v>
      </c>
      <c r="L6" s="297">
        <f>K6/H6</f>
        <v>412.2181818181818</v>
      </c>
      <c r="M6" s="240">
        <f>J6/K6</f>
        <v>7.8579084333098095</v>
      </c>
      <c r="N6" s="295">
        <v>178154.5</v>
      </c>
      <c r="O6" s="296">
        <v>22672</v>
      </c>
      <c r="P6" s="244">
        <f>+N6/O6</f>
        <v>7.8579084333098095</v>
      </c>
    </row>
    <row r="7" spans="1:16" s="4" customFormat="1" ht="15">
      <c r="A7" s="86">
        <v>3</v>
      </c>
      <c r="B7" s="119"/>
      <c r="C7" s="294" t="s">
        <v>116</v>
      </c>
      <c r="D7" s="27">
        <v>38856</v>
      </c>
      <c r="E7" s="256" t="s">
        <v>60</v>
      </c>
      <c r="F7" s="256" t="s">
        <v>67</v>
      </c>
      <c r="G7" s="140">
        <v>195</v>
      </c>
      <c r="H7" s="140">
        <v>82</v>
      </c>
      <c r="I7" s="140">
        <v>7</v>
      </c>
      <c r="J7" s="315">
        <f>104472.5+6467-1313</f>
        <v>109626.5</v>
      </c>
      <c r="K7" s="296">
        <f>18970+1209-234</f>
        <v>19945</v>
      </c>
      <c r="L7" s="297">
        <f>K7/H7</f>
        <v>243.23170731707316</v>
      </c>
      <c r="M7" s="240">
        <f>J7/K7</f>
        <v>5.496440210579093</v>
      </c>
      <c r="N7" s="295">
        <f>3570701+1526862+890553+1110.5+642057+1962.5+391828+1004+177766+104472.5+6467-1313</f>
        <v>7313470.5</v>
      </c>
      <c r="O7" s="296">
        <f>473308+203407+120258+125+93991+244+58773+32636+18970+1209-234</f>
        <v>1002687</v>
      </c>
      <c r="P7" s="244">
        <f>+N7/O7</f>
        <v>7.293871866295264</v>
      </c>
    </row>
    <row r="8" spans="1:16" s="4" customFormat="1" ht="15">
      <c r="A8" s="86">
        <v>4</v>
      </c>
      <c r="B8" s="119"/>
      <c r="C8" s="104" t="s">
        <v>235</v>
      </c>
      <c r="D8" s="39">
        <v>38891</v>
      </c>
      <c r="E8" s="254" t="s">
        <v>123</v>
      </c>
      <c r="F8" s="254" t="s">
        <v>70</v>
      </c>
      <c r="G8" s="96">
        <v>45</v>
      </c>
      <c r="H8" s="96">
        <v>47</v>
      </c>
      <c r="I8" s="96">
        <v>2</v>
      </c>
      <c r="J8" s="316">
        <v>107804</v>
      </c>
      <c r="K8" s="300">
        <v>14417</v>
      </c>
      <c r="L8" s="297">
        <f>K8/H8</f>
        <v>306.74468085106383</v>
      </c>
      <c r="M8" s="240">
        <f>J8/K8</f>
        <v>7.477561212457515</v>
      </c>
      <c r="N8" s="299">
        <f>154658.5+107804</f>
        <v>262462.5</v>
      </c>
      <c r="O8" s="300">
        <f>20153+14417</f>
        <v>34570</v>
      </c>
      <c r="P8" s="244">
        <f>+N8/O8</f>
        <v>7.592204223315013</v>
      </c>
    </row>
    <row r="9" spans="1:16" s="10" customFormat="1" ht="15">
      <c r="A9" s="86">
        <v>5</v>
      </c>
      <c r="B9" s="25"/>
      <c r="C9" s="104" t="s">
        <v>252</v>
      </c>
      <c r="D9" s="39">
        <v>38898</v>
      </c>
      <c r="E9" s="254" t="s">
        <v>123</v>
      </c>
      <c r="F9" s="254" t="s">
        <v>253</v>
      </c>
      <c r="G9" s="96">
        <v>47</v>
      </c>
      <c r="H9" s="96">
        <v>47</v>
      </c>
      <c r="I9" s="96">
        <v>1</v>
      </c>
      <c r="J9" s="316">
        <v>88058</v>
      </c>
      <c r="K9" s="300">
        <v>11470</v>
      </c>
      <c r="L9" s="297">
        <f>K9/H9</f>
        <v>244.04255319148936</v>
      </c>
      <c r="M9" s="240">
        <f>J9/K9</f>
        <v>7.677244986922406</v>
      </c>
      <c r="N9" s="299">
        <f>88058</f>
        <v>88058</v>
      </c>
      <c r="O9" s="300">
        <f>11470</f>
        <v>11470</v>
      </c>
      <c r="P9" s="244">
        <f>+N9/O9</f>
        <v>7.677244986922406</v>
      </c>
    </row>
    <row r="10" spans="1:16" s="10" customFormat="1" ht="15">
      <c r="A10" s="86">
        <v>6</v>
      </c>
      <c r="B10" s="25"/>
      <c r="C10" s="298" t="s">
        <v>205</v>
      </c>
      <c r="D10" s="39">
        <v>38874</v>
      </c>
      <c r="E10" s="251" t="s">
        <v>63</v>
      </c>
      <c r="F10" s="251" t="s">
        <v>64</v>
      </c>
      <c r="G10" s="96">
        <v>66</v>
      </c>
      <c r="H10" s="96">
        <v>64</v>
      </c>
      <c r="I10" s="96">
        <v>4</v>
      </c>
      <c r="J10" s="316">
        <v>85103</v>
      </c>
      <c r="K10" s="300">
        <v>14294</v>
      </c>
      <c r="L10" s="301">
        <f>+K10/H10</f>
        <v>223.34375</v>
      </c>
      <c r="M10" s="241">
        <f>+J10/K10</f>
        <v>5.953756821043795</v>
      </c>
      <c r="N10" s="299">
        <f>298281+498557+283775.5+118453+85103</f>
        <v>1284169.5</v>
      </c>
      <c r="O10" s="300">
        <f>42602+67227+38732+16300+14294</f>
        <v>179155</v>
      </c>
      <c r="P10" s="244">
        <f>+N10/O10</f>
        <v>7.167924422985683</v>
      </c>
    </row>
    <row r="11" spans="1:16" s="10" customFormat="1" ht="15">
      <c r="A11" s="86">
        <v>7</v>
      </c>
      <c r="B11" s="25"/>
      <c r="C11" s="294" t="s">
        <v>254</v>
      </c>
      <c r="D11" s="27">
        <v>38898</v>
      </c>
      <c r="E11" s="256" t="s">
        <v>96</v>
      </c>
      <c r="F11" s="256" t="s">
        <v>176</v>
      </c>
      <c r="G11" s="140" t="s">
        <v>255</v>
      </c>
      <c r="H11" s="140" t="s">
        <v>255</v>
      </c>
      <c r="I11" s="140" t="s">
        <v>240</v>
      </c>
      <c r="J11" s="315">
        <v>57728.5</v>
      </c>
      <c r="K11" s="296">
        <v>7058</v>
      </c>
      <c r="L11" s="297">
        <f>K11/H11</f>
        <v>227.67741935483872</v>
      </c>
      <c r="M11" s="240">
        <f>J11/K11</f>
        <v>8.179158401813545</v>
      </c>
      <c r="N11" s="295">
        <v>57728.5</v>
      </c>
      <c r="O11" s="296">
        <v>7058</v>
      </c>
      <c r="P11" s="244">
        <f>+N11/O11</f>
        <v>8.179158401813545</v>
      </c>
    </row>
    <row r="12" spans="1:16" s="10" customFormat="1" ht="15">
      <c r="A12" s="86">
        <v>8</v>
      </c>
      <c r="B12" s="25"/>
      <c r="C12" s="298" t="s">
        <v>204</v>
      </c>
      <c r="D12" s="39">
        <v>38863</v>
      </c>
      <c r="E12" s="251" t="s">
        <v>63</v>
      </c>
      <c r="F12" s="251" t="s">
        <v>64</v>
      </c>
      <c r="G12" s="96">
        <v>61</v>
      </c>
      <c r="H12" s="96">
        <v>61</v>
      </c>
      <c r="I12" s="96">
        <v>6</v>
      </c>
      <c r="J12" s="316">
        <v>54951.5</v>
      </c>
      <c r="K12" s="300">
        <v>9892</v>
      </c>
      <c r="L12" s="301">
        <f>+K12/H12</f>
        <v>162.1639344262295</v>
      </c>
      <c r="M12" s="241">
        <f>+J12/K12</f>
        <v>5.555145572179539</v>
      </c>
      <c r="N12" s="299">
        <f>666456+404849+225072+162061.5+76866+54951.5</f>
        <v>1590256</v>
      </c>
      <c r="O12" s="300">
        <f>83759+51381+29986+23774+12608+9892</f>
        <v>211400</v>
      </c>
      <c r="P12" s="244">
        <f>+N12/O12</f>
        <v>7.522497634815515</v>
      </c>
    </row>
    <row r="13" spans="1:16" s="10" customFormat="1" ht="15">
      <c r="A13" s="86">
        <v>9</v>
      </c>
      <c r="B13" s="25"/>
      <c r="C13" s="294" t="s">
        <v>236</v>
      </c>
      <c r="D13" s="27">
        <v>38891</v>
      </c>
      <c r="E13" s="256" t="s">
        <v>43</v>
      </c>
      <c r="F13" s="256" t="s">
        <v>237</v>
      </c>
      <c r="G13" s="140">
        <v>55</v>
      </c>
      <c r="H13" s="140">
        <v>57</v>
      </c>
      <c r="I13" s="140">
        <v>2</v>
      </c>
      <c r="J13" s="317">
        <v>44281</v>
      </c>
      <c r="K13" s="297">
        <v>6209</v>
      </c>
      <c r="L13" s="301">
        <f>IF(J13&lt;&gt;0,K13/H13,"")</f>
        <v>108.9298245614035</v>
      </c>
      <c r="M13" s="241">
        <f>IF(J13&lt;&gt;0,J13/K13,"")</f>
        <v>7.131744242229022</v>
      </c>
      <c r="N13" s="302">
        <f>67295+44281</f>
        <v>111576</v>
      </c>
      <c r="O13" s="300">
        <f>8542+6209</f>
        <v>14751</v>
      </c>
      <c r="P13" s="244">
        <f>+N13/O13</f>
        <v>7.563961765304048</v>
      </c>
    </row>
    <row r="14" spans="1:16" s="10" customFormat="1" ht="15">
      <c r="A14" s="86">
        <v>10</v>
      </c>
      <c r="B14" s="25"/>
      <c r="C14" s="298" t="s">
        <v>267</v>
      </c>
      <c r="D14" s="39">
        <v>38898</v>
      </c>
      <c r="E14" s="256" t="s">
        <v>96</v>
      </c>
      <c r="F14" s="251" t="s">
        <v>268</v>
      </c>
      <c r="G14" s="96">
        <v>7</v>
      </c>
      <c r="H14" s="96">
        <v>7</v>
      </c>
      <c r="I14" s="96">
        <v>1</v>
      </c>
      <c r="J14" s="316">
        <v>44130</v>
      </c>
      <c r="K14" s="300">
        <v>5201</v>
      </c>
      <c r="L14" s="301">
        <f>+K14/H14</f>
        <v>743</v>
      </c>
      <c r="M14" s="241">
        <f>+J14/K14</f>
        <v>8.484906748702173</v>
      </c>
      <c r="N14" s="299">
        <v>44130</v>
      </c>
      <c r="O14" s="300">
        <v>5201</v>
      </c>
      <c r="P14" s="244">
        <f>+N14/O14</f>
        <v>8.484906748702173</v>
      </c>
    </row>
    <row r="15" spans="1:16" s="10" customFormat="1" ht="15">
      <c r="A15" s="86">
        <v>11</v>
      </c>
      <c r="B15" s="25"/>
      <c r="C15" s="298" t="s">
        <v>214</v>
      </c>
      <c r="D15" s="39">
        <v>38877</v>
      </c>
      <c r="E15" s="251" t="s">
        <v>61</v>
      </c>
      <c r="F15" s="251" t="s">
        <v>66</v>
      </c>
      <c r="G15" s="96">
        <v>60</v>
      </c>
      <c r="H15" s="96">
        <v>54</v>
      </c>
      <c r="I15" s="96">
        <v>4</v>
      </c>
      <c r="J15" s="316">
        <v>43943</v>
      </c>
      <c r="K15" s="300">
        <v>7178</v>
      </c>
      <c r="L15" s="297">
        <f>K15/H15</f>
        <v>132.92592592592592</v>
      </c>
      <c r="M15" s="240">
        <f>J15/K15</f>
        <v>6.12190025076623</v>
      </c>
      <c r="N15" s="299">
        <v>590750</v>
      </c>
      <c r="O15" s="300">
        <v>71240</v>
      </c>
      <c r="P15" s="244">
        <f>+N15/O15</f>
        <v>8.292391914654688</v>
      </c>
    </row>
    <row r="16" spans="1:16" s="10" customFormat="1" ht="15">
      <c r="A16" s="86">
        <v>12</v>
      </c>
      <c r="B16" s="25"/>
      <c r="C16" s="104" t="s">
        <v>203</v>
      </c>
      <c r="D16" s="39">
        <v>38863</v>
      </c>
      <c r="E16" s="254" t="s">
        <v>123</v>
      </c>
      <c r="F16" s="254" t="s">
        <v>70</v>
      </c>
      <c r="G16" s="96">
        <v>35</v>
      </c>
      <c r="H16" s="96">
        <v>33</v>
      </c>
      <c r="I16" s="96">
        <v>6</v>
      </c>
      <c r="J16" s="316">
        <v>39540</v>
      </c>
      <c r="K16" s="300">
        <v>6513</v>
      </c>
      <c r="L16" s="297">
        <f>K16/H16</f>
        <v>197.36363636363637</v>
      </c>
      <c r="M16" s="240">
        <f>J16/K16</f>
        <v>6.070935052970981</v>
      </c>
      <c r="N16" s="299">
        <f>149883.5+135641.5+82301.5+72589.5+39819+39540</f>
        <v>519775</v>
      </c>
      <c r="O16" s="300">
        <f>19608+17668+11309+10378+6088+6513</f>
        <v>71564</v>
      </c>
      <c r="P16" s="244">
        <f>+N16/O16</f>
        <v>7.263079201833324</v>
      </c>
    </row>
    <row r="17" spans="1:16" s="10" customFormat="1" ht="15">
      <c r="A17" s="86">
        <v>13</v>
      </c>
      <c r="B17" s="25"/>
      <c r="C17" s="298" t="s">
        <v>89</v>
      </c>
      <c r="D17" s="39">
        <v>38674</v>
      </c>
      <c r="E17" s="251" t="s">
        <v>63</v>
      </c>
      <c r="F17" s="251" t="s">
        <v>105</v>
      </c>
      <c r="G17" s="96">
        <v>135</v>
      </c>
      <c r="H17" s="96">
        <v>25</v>
      </c>
      <c r="I17" s="96">
        <v>33</v>
      </c>
      <c r="J17" s="316">
        <v>27062</v>
      </c>
      <c r="K17" s="300">
        <v>8998</v>
      </c>
      <c r="L17" s="301">
        <f>+K17/H17</f>
        <v>359.92</v>
      </c>
      <c r="M17" s="241">
        <f>+J17/K17</f>
        <v>3.007557234941098</v>
      </c>
      <c r="N17" s="299">
        <f>574568+1404261+2751877+3258896.5+2619095+1721177.5+1470030+1888546+1731654+1414026+1497050.5+996634+787201+777126+643480+509219.5+398974.5+275448+165366.5+73833.5+34414.5+18373+9776.5+10959.5+18948+5394+25647+638+416+7529+65562+23630+27062</f>
        <v>25206814</v>
      </c>
      <c r="O17" s="300">
        <f>74406+182802+367017+453161+369242+239307+216443+244832+235512+212084+230729+167361+134787+155924+132040+97910+71996+60438+31787+16691+9973+5959+2986+3569+5752+1319+6383+116+74+2435+21718+7677+8998</f>
        <v>3771428</v>
      </c>
      <c r="P17" s="244">
        <f>+N17/O17</f>
        <v>6.683625936913021</v>
      </c>
    </row>
    <row r="18" spans="1:16" s="10" customFormat="1" ht="15">
      <c r="A18" s="86">
        <v>14</v>
      </c>
      <c r="B18" s="25"/>
      <c r="C18" s="298" t="s">
        <v>216</v>
      </c>
      <c r="D18" s="39">
        <v>38877</v>
      </c>
      <c r="E18" s="251" t="s">
        <v>63</v>
      </c>
      <c r="F18" s="251" t="s">
        <v>76</v>
      </c>
      <c r="G18" s="96">
        <v>50</v>
      </c>
      <c r="H18" s="96">
        <v>44</v>
      </c>
      <c r="I18" s="96">
        <v>4</v>
      </c>
      <c r="J18" s="316">
        <v>22039</v>
      </c>
      <c r="K18" s="300">
        <v>4465</v>
      </c>
      <c r="L18" s="301">
        <f>+K18/H18</f>
        <v>101.47727272727273</v>
      </c>
      <c r="M18" s="241">
        <f>+J18/K18</f>
        <v>4.935946248600224</v>
      </c>
      <c r="N18" s="299">
        <f>105526.5+80630+23538+22039</f>
        <v>231733.5</v>
      </c>
      <c r="O18" s="300">
        <f>13528+10356+3577+4465</f>
        <v>31926</v>
      </c>
      <c r="P18" s="244">
        <f>+N18/O18</f>
        <v>7.2584570569441835</v>
      </c>
    </row>
    <row r="19" spans="1:16" s="10" customFormat="1" ht="15">
      <c r="A19" s="86">
        <v>15</v>
      </c>
      <c r="B19" s="25"/>
      <c r="C19" s="298" t="s">
        <v>206</v>
      </c>
      <c r="D19" s="39">
        <v>38870</v>
      </c>
      <c r="E19" s="251" t="s">
        <v>61</v>
      </c>
      <c r="F19" s="251" t="s">
        <v>66</v>
      </c>
      <c r="G19" s="96">
        <v>82</v>
      </c>
      <c r="H19" s="96">
        <v>40</v>
      </c>
      <c r="I19" s="96">
        <v>5</v>
      </c>
      <c r="J19" s="316">
        <v>17606</v>
      </c>
      <c r="K19" s="300">
        <v>3477</v>
      </c>
      <c r="L19" s="297">
        <f>K19/H19</f>
        <v>86.925</v>
      </c>
      <c r="M19" s="240">
        <f>J19/K19</f>
        <v>5.0635605406960025</v>
      </c>
      <c r="N19" s="299">
        <v>408906</v>
      </c>
      <c r="O19" s="300">
        <v>57393</v>
      </c>
      <c r="P19" s="244">
        <f>+N19/O19</f>
        <v>7.124666771209032</v>
      </c>
    </row>
    <row r="20" spans="1:16" s="10" customFormat="1" ht="15">
      <c r="A20" s="86">
        <v>16</v>
      </c>
      <c r="B20" s="25"/>
      <c r="C20" s="104" t="s">
        <v>217</v>
      </c>
      <c r="D20" s="39">
        <v>38877</v>
      </c>
      <c r="E20" s="254" t="s">
        <v>123</v>
      </c>
      <c r="F20" s="254" t="s">
        <v>184</v>
      </c>
      <c r="G20" s="96">
        <v>64</v>
      </c>
      <c r="H20" s="96">
        <v>50</v>
      </c>
      <c r="I20" s="96">
        <v>4</v>
      </c>
      <c r="J20" s="316">
        <v>16453.5</v>
      </c>
      <c r="K20" s="300">
        <v>3017</v>
      </c>
      <c r="L20" s="297">
        <f>K20/H20</f>
        <v>60.34</v>
      </c>
      <c r="M20" s="240">
        <f>J20/K20</f>
        <v>5.453596287703016</v>
      </c>
      <c r="N20" s="299">
        <f>94169.5+63426.5+19841+16453.5</f>
        <v>193890.5</v>
      </c>
      <c r="O20" s="300">
        <f>14426+9567+3182+3017</f>
        <v>30192</v>
      </c>
      <c r="P20" s="244">
        <f>+N20/O20</f>
        <v>6.421916401695814</v>
      </c>
    </row>
    <row r="21" spans="1:16" s="10" customFormat="1" ht="15">
      <c r="A21" s="86">
        <v>17</v>
      </c>
      <c r="B21" s="25"/>
      <c r="C21" s="298" t="s">
        <v>282</v>
      </c>
      <c r="D21" s="39">
        <v>38723</v>
      </c>
      <c r="E21" s="251" t="s">
        <v>63</v>
      </c>
      <c r="F21" s="251" t="s">
        <v>149</v>
      </c>
      <c r="G21" s="96">
        <v>280</v>
      </c>
      <c r="H21" s="96">
        <v>1</v>
      </c>
      <c r="I21" s="96">
        <v>16</v>
      </c>
      <c r="J21" s="316">
        <v>14256</v>
      </c>
      <c r="K21" s="300">
        <v>3564</v>
      </c>
      <c r="L21" s="301">
        <f>+K21/H21</f>
        <v>3564</v>
      </c>
      <c r="M21" s="241">
        <f>+J21/K21</f>
        <v>4</v>
      </c>
      <c r="N21" s="299">
        <f>5592380+3880622.5+1673082.62+1119075.5+434517.5+130151.5+6347.5+744.5+27+2593+460+255+1561+9584+3764+14256</f>
        <v>12869421.620000001</v>
      </c>
      <c r="O21" s="300">
        <f>871283+621889+270076+179456+67736+23058+1452+132+6+608+92+51+376+3188+1672+3564</f>
        <v>2044639</v>
      </c>
      <c r="P21" s="244">
        <f>+N21/O21</f>
        <v>6.294226814611284</v>
      </c>
    </row>
    <row r="22" spans="1:16" s="10" customFormat="1" ht="15">
      <c r="A22" s="86">
        <v>18</v>
      </c>
      <c r="B22" s="25"/>
      <c r="C22" s="298" t="s">
        <v>118</v>
      </c>
      <c r="D22" s="39">
        <v>38821</v>
      </c>
      <c r="E22" s="251" t="s">
        <v>63</v>
      </c>
      <c r="F22" s="251" t="s">
        <v>64</v>
      </c>
      <c r="G22" s="96">
        <v>118</v>
      </c>
      <c r="H22" s="96">
        <v>22</v>
      </c>
      <c r="I22" s="96">
        <v>12</v>
      </c>
      <c r="J22" s="316">
        <v>11925.5</v>
      </c>
      <c r="K22" s="300">
        <v>2116</v>
      </c>
      <c r="L22" s="301">
        <f>+K22/H22</f>
        <v>96.18181818181819</v>
      </c>
      <c r="M22" s="241">
        <f>+J22/K22</f>
        <v>5.635869565217392</v>
      </c>
      <c r="N22" s="299">
        <f>1908861+1583540+976953.5+606582.5+358386.5+257458.5+154619+107195+70567+37968.5+18157.5+11925.5</f>
        <v>6092214.5</v>
      </c>
      <c r="O22" s="300">
        <f>267837+226672+141343+93283+56706+48660+34140+24736+15604+6640+3341+2116</f>
        <v>921078</v>
      </c>
      <c r="P22" s="244">
        <f>+N22/O22</f>
        <v>6.6142221397102094</v>
      </c>
    </row>
    <row r="23" spans="1:16" s="10" customFormat="1" ht="15">
      <c r="A23" s="86">
        <v>19</v>
      </c>
      <c r="B23" s="25"/>
      <c r="C23" s="294" t="s">
        <v>215</v>
      </c>
      <c r="D23" s="27">
        <v>38877</v>
      </c>
      <c r="E23" s="256" t="s">
        <v>60</v>
      </c>
      <c r="F23" s="256" t="s">
        <v>32</v>
      </c>
      <c r="G23" s="140">
        <v>55</v>
      </c>
      <c r="H23" s="140">
        <v>27</v>
      </c>
      <c r="I23" s="140">
        <v>4</v>
      </c>
      <c r="J23" s="315">
        <v>10904.5</v>
      </c>
      <c r="K23" s="296">
        <v>2089</v>
      </c>
      <c r="L23" s="297">
        <f>K23/H23</f>
        <v>77.37037037037037</v>
      </c>
      <c r="M23" s="240">
        <f>J23/K23</f>
        <v>5.219961704164672</v>
      </c>
      <c r="N23" s="295">
        <f>146528+104613.5+29219+10904.5</f>
        <v>291265</v>
      </c>
      <c r="O23" s="296">
        <f>18308+13411+4628+2089</f>
        <v>38436</v>
      </c>
      <c r="P23" s="244">
        <f>+N23/O23</f>
        <v>7.577921740035383</v>
      </c>
    </row>
    <row r="24" spans="1:16" s="10" customFormat="1" ht="15">
      <c r="A24" s="86">
        <v>20</v>
      </c>
      <c r="B24" s="25"/>
      <c r="C24" s="294" t="s">
        <v>224</v>
      </c>
      <c r="D24" s="27">
        <v>38884</v>
      </c>
      <c r="E24" s="256" t="s">
        <v>60</v>
      </c>
      <c r="F24" s="256" t="s">
        <v>74</v>
      </c>
      <c r="G24" s="140">
        <v>24</v>
      </c>
      <c r="H24" s="140">
        <v>20</v>
      </c>
      <c r="I24" s="140">
        <v>3</v>
      </c>
      <c r="J24" s="315">
        <v>9794.5</v>
      </c>
      <c r="K24" s="296">
        <v>1458</v>
      </c>
      <c r="L24" s="297">
        <f>K24/H24</f>
        <v>72.9</v>
      </c>
      <c r="M24" s="240">
        <f>J24/K24</f>
        <v>6.717764060356653</v>
      </c>
      <c r="N24" s="295">
        <f>82801+37338.5+9794.5</f>
        <v>129934</v>
      </c>
      <c r="O24" s="296">
        <f>9055+4102+1458</f>
        <v>14615</v>
      </c>
      <c r="P24" s="244">
        <f>+N24/O24</f>
        <v>8.890455011974</v>
      </c>
    </row>
    <row r="25" spans="1:16" s="10" customFormat="1" ht="15">
      <c r="A25" s="86">
        <v>21</v>
      </c>
      <c r="B25" s="25"/>
      <c r="C25" s="294" t="s">
        <v>218</v>
      </c>
      <c r="D25" s="27">
        <v>38877</v>
      </c>
      <c r="E25" s="256" t="s">
        <v>226</v>
      </c>
      <c r="F25" s="256" t="s">
        <v>227</v>
      </c>
      <c r="G25" s="140" t="s">
        <v>219</v>
      </c>
      <c r="H25" s="140" t="s">
        <v>219</v>
      </c>
      <c r="I25" s="140" t="s">
        <v>140</v>
      </c>
      <c r="J25" s="315">
        <v>9741</v>
      </c>
      <c r="K25" s="296">
        <v>1455</v>
      </c>
      <c r="L25" s="297">
        <f>K25/H25</f>
        <v>121.25</v>
      </c>
      <c r="M25" s="240">
        <f>J25/K25</f>
        <v>6.6948453608247425</v>
      </c>
      <c r="N25" s="295">
        <v>81882.5</v>
      </c>
      <c r="O25" s="296">
        <v>10534</v>
      </c>
      <c r="P25" s="244">
        <f>+N25/O25</f>
        <v>7.773163090943611</v>
      </c>
    </row>
    <row r="26" spans="1:16" s="10" customFormat="1" ht="15">
      <c r="A26" s="86">
        <v>22</v>
      </c>
      <c r="B26" s="25"/>
      <c r="C26" s="294" t="s">
        <v>207</v>
      </c>
      <c r="D26" s="27">
        <v>38870</v>
      </c>
      <c r="E26" s="256" t="s">
        <v>60</v>
      </c>
      <c r="F26" s="256" t="s">
        <v>111</v>
      </c>
      <c r="G26" s="140">
        <v>40</v>
      </c>
      <c r="H26" s="140">
        <v>15</v>
      </c>
      <c r="I26" s="140">
        <v>5</v>
      </c>
      <c r="J26" s="315">
        <v>8393.5</v>
      </c>
      <c r="K26" s="296">
        <v>1529</v>
      </c>
      <c r="L26" s="297">
        <f>K26/H26</f>
        <v>101.93333333333334</v>
      </c>
      <c r="M26" s="240">
        <f>J26/K26</f>
        <v>5.489535644211903</v>
      </c>
      <c r="N26" s="295">
        <f>123140+96383.5+44072+11870.5+8393.5</f>
        <v>283859.5</v>
      </c>
      <c r="O26" s="296">
        <f>14489+11433+5334+1832+1529</f>
        <v>34617</v>
      </c>
      <c r="P26" s="244">
        <f>+N26/O26</f>
        <v>8.20000288875408</v>
      </c>
    </row>
    <row r="27" spans="1:16" s="10" customFormat="1" ht="15">
      <c r="A27" s="86">
        <v>23</v>
      </c>
      <c r="B27" s="25"/>
      <c r="C27" s="298" t="s">
        <v>98</v>
      </c>
      <c r="D27" s="39">
        <v>38835</v>
      </c>
      <c r="E27" s="251" t="s">
        <v>63</v>
      </c>
      <c r="F27" s="251" t="s">
        <v>105</v>
      </c>
      <c r="G27" s="96">
        <v>65</v>
      </c>
      <c r="H27" s="96">
        <v>14</v>
      </c>
      <c r="I27" s="96">
        <v>10</v>
      </c>
      <c r="J27" s="316">
        <v>6678.5</v>
      </c>
      <c r="K27" s="300">
        <v>1206</v>
      </c>
      <c r="L27" s="301">
        <f>+K27/H27</f>
        <v>86.14285714285714</v>
      </c>
      <c r="M27" s="241">
        <f>+J27/K27</f>
        <v>5.537728026533997</v>
      </c>
      <c r="N27" s="299">
        <f>931000.5+3911.5+6678.5</f>
        <v>941590.5</v>
      </c>
      <c r="O27" s="300">
        <f>51957+35225+20957+7725+6499+6734+4731+2957+723+1206</f>
        <v>138714</v>
      </c>
      <c r="P27" s="244">
        <f>+N27/O27</f>
        <v>6.787999048401748</v>
      </c>
    </row>
    <row r="28" spans="1:16" s="10" customFormat="1" ht="15">
      <c r="A28" s="86">
        <v>24</v>
      </c>
      <c r="B28" s="25"/>
      <c r="C28" s="104" t="s">
        <v>271</v>
      </c>
      <c r="D28" s="39">
        <v>38898</v>
      </c>
      <c r="E28" s="254" t="s">
        <v>123</v>
      </c>
      <c r="F28" s="254" t="s">
        <v>272</v>
      </c>
      <c r="G28" s="96">
        <v>5</v>
      </c>
      <c r="H28" s="96">
        <v>5</v>
      </c>
      <c r="I28" s="96">
        <v>1</v>
      </c>
      <c r="J28" s="316">
        <v>6551.5</v>
      </c>
      <c r="K28" s="300">
        <v>756</v>
      </c>
      <c r="L28" s="297">
        <f>K28/H28</f>
        <v>151.2</v>
      </c>
      <c r="M28" s="240">
        <f>J28/K28</f>
        <v>8.666005291005291</v>
      </c>
      <c r="N28" s="299">
        <f>6551.5</f>
        <v>6551.5</v>
      </c>
      <c r="O28" s="300">
        <f>756</f>
        <v>756</v>
      </c>
      <c r="P28" s="244">
        <f>+N28/O28</f>
        <v>8.666005291005291</v>
      </c>
    </row>
    <row r="29" spans="1:16" s="10" customFormat="1" ht="15">
      <c r="A29" s="86">
        <v>25</v>
      </c>
      <c r="B29" s="25"/>
      <c r="C29" s="298" t="s">
        <v>202</v>
      </c>
      <c r="D29" s="39">
        <v>38863</v>
      </c>
      <c r="E29" s="251" t="s">
        <v>61</v>
      </c>
      <c r="F29" s="251" t="s">
        <v>66</v>
      </c>
      <c r="G29" s="96">
        <v>47</v>
      </c>
      <c r="H29" s="96">
        <v>12</v>
      </c>
      <c r="I29" s="96">
        <v>6</v>
      </c>
      <c r="J29" s="316">
        <v>6343</v>
      </c>
      <c r="K29" s="300">
        <v>1290</v>
      </c>
      <c r="L29" s="297">
        <f>K29/H29</f>
        <v>107.5</v>
      </c>
      <c r="M29" s="240">
        <f>J29/K29</f>
        <v>4.917054263565891</v>
      </c>
      <c r="N29" s="299">
        <v>366737</v>
      </c>
      <c r="O29" s="300">
        <v>47306</v>
      </c>
      <c r="P29" s="244">
        <f>+N29/O29</f>
        <v>7.752441550754662</v>
      </c>
    </row>
    <row r="30" spans="1:16" s="10" customFormat="1" ht="15">
      <c r="A30" s="86">
        <v>26</v>
      </c>
      <c r="B30" s="25"/>
      <c r="C30" s="298" t="s">
        <v>117</v>
      </c>
      <c r="D30" s="39">
        <v>38856</v>
      </c>
      <c r="E30" s="251" t="s">
        <v>61</v>
      </c>
      <c r="F30" s="251" t="s">
        <v>225</v>
      </c>
      <c r="G30" s="96">
        <v>160</v>
      </c>
      <c r="H30" s="96">
        <v>16</v>
      </c>
      <c r="I30" s="96">
        <v>7</v>
      </c>
      <c r="J30" s="316">
        <v>6105</v>
      </c>
      <c r="K30" s="300">
        <v>1284</v>
      </c>
      <c r="L30" s="297">
        <f>K30/H30</f>
        <v>80.25</v>
      </c>
      <c r="M30" s="240">
        <f>J30/K30</f>
        <v>4.7546728971962615</v>
      </c>
      <c r="N30" s="299">
        <v>1138865</v>
      </c>
      <c r="O30" s="300">
        <v>176402</v>
      </c>
      <c r="P30" s="244">
        <f>+N30/O30</f>
        <v>6.456077595492115</v>
      </c>
    </row>
    <row r="31" spans="1:16" s="10" customFormat="1" ht="15">
      <c r="A31" s="86">
        <v>27</v>
      </c>
      <c r="B31" s="25"/>
      <c r="C31" s="294" t="s">
        <v>102</v>
      </c>
      <c r="D31" s="27">
        <v>38842</v>
      </c>
      <c r="E31" s="256" t="s">
        <v>60</v>
      </c>
      <c r="F31" s="256" t="s">
        <v>80</v>
      </c>
      <c r="G31" s="140">
        <v>14</v>
      </c>
      <c r="H31" s="140">
        <v>6</v>
      </c>
      <c r="I31" s="140">
        <v>9</v>
      </c>
      <c r="J31" s="315">
        <v>5736</v>
      </c>
      <c r="K31" s="296">
        <v>1003</v>
      </c>
      <c r="L31" s="297">
        <f>K31/H31</f>
        <v>167.16666666666666</v>
      </c>
      <c r="M31" s="240">
        <f>J31/K31</f>
        <v>5.718843469591226</v>
      </c>
      <c r="N31" s="295">
        <f>41489.5+21950+1583.5+1943+4071+3569+5471+652-603+5736</f>
        <v>85862</v>
      </c>
      <c r="O31" s="296">
        <f>4497+2417+200+294+1148+867+1264+152-128+1003</f>
        <v>11714</v>
      </c>
      <c r="P31" s="244">
        <f>+N31/O31</f>
        <v>7.329861703943998</v>
      </c>
    </row>
    <row r="32" spans="1:16" s="10" customFormat="1" ht="15">
      <c r="A32" s="86">
        <v>28</v>
      </c>
      <c r="B32" s="25"/>
      <c r="C32" s="294" t="s">
        <v>107</v>
      </c>
      <c r="D32" s="27">
        <v>38849</v>
      </c>
      <c r="E32" s="256" t="s">
        <v>60</v>
      </c>
      <c r="F32" s="256" t="s">
        <v>108</v>
      </c>
      <c r="G32" s="140">
        <v>14</v>
      </c>
      <c r="H32" s="140">
        <v>6</v>
      </c>
      <c r="I32" s="140">
        <v>11</v>
      </c>
      <c r="J32" s="315">
        <v>4957</v>
      </c>
      <c r="K32" s="296">
        <v>835</v>
      </c>
      <c r="L32" s="297">
        <f>K32/H32</f>
        <v>139.16666666666666</v>
      </c>
      <c r="M32" s="240">
        <f>J32/K32</f>
        <v>5.936526946107785</v>
      </c>
      <c r="N32" s="295">
        <f>93564+52250+16170+13446.5+8167+4768+4695.5+4957</f>
        <v>198018</v>
      </c>
      <c r="O32" s="296">
        <f>10662+5936+2085+2265+1476+901+664+835</f>
        <v>24824</v>
      </c>
      <c r="P32" s="244">
        <f>+N32/O32</f>
        <v>7.976877215597809</v>
      </c>
    </row>
    <row r="33" spans="1:16" s="10" customFormat="1" ht="15">
      <c r="A33" s="86">
        <v>29</v>
      </c>
      <c r="B33" s="25"/>
      <c r="C33" s="298" t="s">
        <v>92</v>
      </c>
      <c r="D33" s="39">
        <v>38828</v>
      </c>
      <c r="E33" s="251" t="s">
        <v>63</v>
      </c>
      <c r="F33" s="251" t="s">
        <v>76</v>
      </c>
      <c r="G33" s="96">
        <v>43</v>
      </c>
      <c r="H33" s="96">
        <v>11</v>
      </c>
      <c r="I33" s="96">
        <v>11</v>
      </c>
      <c r="J33" s="316">
        <v>4262.5</v>
      </c>
      <c r="K33" s="300">
        <v>750</v>
      </c>
      <c r="L33" s="301">
        <f>+K33/H33</f>
        <v>68.18181818181819</v>
      </c>
      <c r="M33" s="241">
        <f>+J33/K33</f>
        <v>5.683333333333334</v>
      </c>
      <c r="N33" s="299">
        <f>221837.5+151726+100334.5+58293.5+26175.5+11161+17463.5+3291+21578+7312+4262.5</f>
        <v>623435</v>
      </c>
      <c r="O33" s="300">
        <f>31465+21243+15047+11409+5192+2380+3862+919+4153+1349+750</f>
        <v>97769</v>
      </c>
      <c r="P33" s="244">
        <f>+N33/O33</f>
        <v>6.376612218596897</v>
      </c>
    </row>
    <row r="34" spans="1:16" s="10" customFormat="1" ht="15">
      <c r="A34" s="86">
        <v>30</v>
      </c>
      <c r="B34" s="25"/>
      <c r="C34" s="294" t="s">
        <v>201</v>
      </c>
      <c r="D34" s="27">
        <v>38863</v>
      </c>
      <c r="E34" s="256" t="s">
        <v>60</v>
      </c>
      <c r="F34" s="256" t="s">
        <v>80</v>
      </c>
      <c r="G34" s="140">
        <v>17</v>
      </c>
      <c r="H34" s="140">
        <v>8</v>
      </c>
      <c r="I34" s="140">
        <v>9</v>
      </c>
      <c r="J34" s="315">
        <v>3985.5</v>
      </c>
      <c r="K34" s="296">
        <v>666</v>
      </c>
      <c r="L34" s="297">
        <f>K34/H34</f>
        <v>83.25</v>
      </c>
      <c r="M34" s="240">
        <f>J34/K34</f>
        <v>5.9842342342342345</v>
      </c>
      <c r="N34" s="295">
        <f>28731.5+16998+5846.5+16940.5+5236+3985.5</f>
        <v>77738</v>
      </c>
      <c r="O34" s="296">
        <f>3778+2334+1022+2867+1066+666</f>
        <v>11733</v>
      </c>
      <c r="P34" s="244">
        <f>+N34/O34</f>
        <v>6.625585954146425</v>
      </c>
    </row>
    <row r="35" spans="1:16" s="10" customFormat="1" ht="15">
      <c r="A35" s="86">
        <v>31</v>
      </c>
      <c r="B35" s="25"/>
      <c r="C35" s="298" t="s">
        <v>208</v>
      </c>
      <c r="D35" s="39">
        <v>38870</v>
      </c>
      <c r="E35" s="256" t="s">
        <v>96</v>
      </c>
      <c r="F35" s="251" t="s">
        <v>209</v>
      </c>
      <c r="G35" s="96">
        <v>5</v>
      </c>
      <c r="H35" s="96">
        <v>5</v>
      </c>
      <c r="I35" s="96">
        <v>5</v>
      </c>
      <c r="J35" s="316">
        <v>3814.5</v>
      </c>
      <c r="K35" s="300">
        <v>608</v>
      </c>
      <c r="L35" s="301">
        <f>+K35/H35</f>
        <v>121.6</v>
      </c>
      <c r="M35" s="241">
        <f>+J35/K35</f>
        <v>6.2738486842105265</v>
      </c>
      <c r="N35" s="299">
        <v>41755</v>
      </c>
      <c r="O35" s="300">
        <v>5120</v>
      </c>
      <c r="P35" s="244">
        <f>+N35/O35</f>
        <v>8.1552734375</v>
      </c>
    </row>
    <row r="36" spans="1:16" s="10" customFormat="1" ht="15">
      <c r="A36" s="86">
        <v>32</v>
      </c>
      <c r="B36" s="25"/>
      <c r="C36" s="298" t="s">
        <v>109</v>
      </c>
      <c r="D36" s="39">
        <v>38821</v>
      </c>
      <c r="E36" s="251" t="s">
        <v>61</v>
      </c>
      <c r="F36" s="251" t="s">
        <v>66</v>
      </c>
      <c r="G36" s="96">
        <v>94</v>
      </c>
      <c r="H36" s="96">
        <v>6</v>
      </c>
      <c r="I36" s="96">
        <v>13</v>
      </c>
      <c r="J36" s="316">
        <v>3796</v>
      </c>
      <c r="K36" s="300">
        <v>555</v>
      </c>
      <c r="L36" s="297">
        <f>K36/H36</f>
        <v>92.5</v>
      </c>
      <c r="M36" s="240">
        <f>J36/K36</f>
        <v>6.83963963963964</v>
      </c>
      <c r="N36" s="299">
        <v>993995</v>
      </c>
      <c r="O36" s="300">
        <v>147012</v>
      </c>
      <c r="P36" s="244">
        <f>+N36/O36</f>
        <v>6.761318803907164</v>
      </c>
    </row>
    <row r="37" spans="1:16" s="10" customFormat="1" ht="15">
      <c r="A37" s="86">
        <v>33</v>
      </c>
      <c r="B37" s="25"/>
      <c r="C37" s="298" t="s">
        <v>229</v>
      </c>
      <c r="D37" s="39">
        <v>38849</v>
      </c>
      <c r="E37" s="251" t="s">
        <v>36</v>
      </c>
      <c r="F37" s="251" t="s">
        <v>76</v>
      </c>
      <c r="G37" s="96">
        <v>21</v>
      </c>
      <c r="H37" s="96">
        <v>6</v>
      </c>
      <c r="I37" s="96">
        <v>8</v>
      </c>
      <c r="J37" s="316">
        <v>3244</v>
      </c>
      <c r="K37" s="300">
        <v>641</v>
      </c>
      <c r="L37" s="301">
        <f>+K37/H37</f>
        <v>106.83333333333333</v>
      </c>
      <c r="M37" s="241">
        <f>+J37/K37</f>
        <v>5.060842433697348</v>
      </c>
      <c r="N37" s="299">
        <v>219360.79</v>
      </c>
      <c r="O37" s="300">
        <v>27763</v>
      </c>
      <c r="P37" s="244">
        <f>+N37/O37</f>
        <v>7.901191874077009</v>
      </c>
    </row>
    <row r="38" spans="1:16" s="10" customFormat="1" ht="15">
      <c r="A38" s="86">
        <v>34</v>
      </c>
      <c r="B38" s="25"/>
      <c r="C38" s="294" t="s">
        <v>50</v>
      </c>
      <c r="D38" s="27">
        <v>38800</v>
      </c>
      <c r="E38" s="256" t="s">
        <v>43</v>
      </c>
      <c r="F38" s="256" t="s">
        <v>84</v>
      </c>
      <c r="G38" s="140">
        <v>58</v>
      </c>
      <c r="H38" s="140">
        <v>6</v>
      </c>
      <c r="I38" s="140">
        <v>15</v>
      </c>
      <c r="J38" s="317">
        <v>3068</v>
      </c>
      <c r="K38" s="297">
        <v>640</v>
      </c>
      <c r="L38" s="301">
        <f>IF(J38&lt;&gt;0,K38/H38,"")</f>
        <v>106.66666666666667</v>
      </c>
      <c r="M38" s="241">
        <f>IF(J38&lt;&gt;0,J38/K38,"")</f>
        <v>4.79375</v>
      </c>
      <c r="N38" s="302">
        <f>350945.5+222517.5+139156.5+40897.5+38142.5+25481.5+16036.5+2540+5715.5+4760+5176+3952+1523+1314+3068</f>
        <v>861226</v>
      </c>
      <c r="O38" s="300">
        <f>46256+31606+20219+8293+8608+6050+3760+524+1828+885+1287+758+233+204+640</f>
        <v>131151</v>
      </c>
      <c r="P38" s="244">
        <f>+N38/O38</f>
        <v>6.566675053945453</v>
      </c>
    </row>
    <row r="39" spans="1:16" s="10" customFormat="1" ht="15">
      <c r="A39" s="86">
        <v>35</v>
      </c>
      <c r="B39" s="25"/>
      <c r="C39" s="294" t="s">
        <v>280</v>
      </c>
      <c r="D39" s="27">
        <v>38674</v>
      </c>
      <c r="E39" s="256" t="s">
        <v>60</v>
      </c>
      <c r="F39" s="256" t="s">
        <v>32</v>
      </c>
      <c r="G39" s="140">
        <v>1</v>
      </c>
      <c r="H39" s="140">
        <v>1</v>
      </c>
      <c r="I39" s="140">
        <v>19</v>
      </c>
      <c r="J39" s="315">
        <v>2734.5</v>
      </c>
      <c r="K39" s="296">
        <v>380</v>
      </c>
      <c r="L39" s="297">
        <f>K39/H39</f>
        <v>380</v>
      </c>
      <c r="M39" s="240">
        <f>J39/K39</f>
        <v>7.196052631578947</v>
      </c>
      <c r="N39" s="295">
        <f>5376+5780+1660+1145+1139+275+183+183+2020+2020+2020+2020+2020+2020+2020+2020+2020+2020+2734.5</f>
        <v>38675.5</v>
      </c>
      <c r="O39" s="296">
        <f>810+893+178+166+140+32+21+21+502+404+404+404+404+404+404+404+404+404+380</f>
        <v>6779</v>
      </c>
      <c r="P39" s="244">
        <f>+N39/O39</f>
        <v>5.705192506269361</v>
      </c>
    </row>
    <row r="40" spans="1:16" s="10" customFormat="1" ht="15">
      <c r="A40" s="86">
        <v>36</v>
      </c>
      <c r="B40" s="25"/>
      <c r="C40" s="298" t="s">
        <v>93</v>
      </c>
      <c r="D40" s="39">
        <v>38828</v>
      </c>
      <c r="E40" s="251" t="s">
        <v>61</v>
      </c>
      <c r="F40" s="251" t="s">
        <v>66</v>
      </c>
      <c r="G40" s="96">
        <v>46</v>
      </c>
      <c r="H40" s="96">
        <v>5</v>
      </c>
      <c r="I40" s="96">
        <v>11</v>
      </c>
      <c r="J40" s="316">
        <v>2592</v>
      </c>
      <c r="K40" s="300">
        <v>497</v>
      </c>
      <c r="L40" s="297">
        <f>K40/H40</f>
        <v>99.4</v>
      </c>
      <c r="M40" s="240">
        <f>J40/K40</f>
        <v>5.2152917505030185</v>
      </c>
      <c r="N40" s="299">
        <v>293141</v>
      </c>
      <c r="O40" s="300">
        <v>37807</v>
      </c>
      <c r="P40" s="244">
        <f>+N40/O40</f>
        <v>7.753617055042717</v>
      </c>
    </row>
    <row r="41" spans="1:16" s="10" customFormat="1" ht="15">
      <c r="A41" s="86">
        <v>37</v>
      </c>
      <c r="B41" s="25"/>
      <c r="C41" s="298" t="s">
        <v>220</v>
      </c>
      <c r="D41" s="39">
        <v>38842</v>
      </c>
      <c r="E41" s="251" t="s">
        <v>61</v>
      </c>
      <c r="F41" s="251" t="s">
        <v>75</v>
      </c>
      <c r="G41" s="96">
        <v>173</v>
      </c>
      <c r="H41" s="96">
        <v>5</v>
      </c>
      <c r="I41" s="96">
        <v>9</v>
      </c>
      <c r="J41" s="316">
        <v>2293</v>
      </c>
      <c r="K41" s="300">
        <v>417</v>
      </c>
      <c r="L41" s="297">
        <f>K41/H41</f>
        <v>83.4</v>
      </c>
      <c r="M41" s="240">
        <f>J41/K41</f>
        <v>5.4988009592326135</v>
      </c>
      <c r="N41" s="299">
        <v>2820172</v>
      </c>
      <c r="O41" s="300">
        <v>378489</v>
      </c>
      <c r="P41" s="244">
        <f>+N41/O41</f>
        <v>7.451133322236577</v>
      </c>
    </row>
    <row r="42" spans="1:16" s="10" customFormat="1" ht="15">
      <c r="A42" s="86">
        <v>38</v>
      </c>
      <c r="B42" s="25"/>
      <c r="C42" s="298" t="s">
        <v>106</v>
      </c>
      <c r="D42" s="39">
        <v>38849</v>
      </c>
      <c r="E42" s="251" t="s">
        <v>63</v>
      </c>
      <c r="F42" s="251" t="s">
        <v>64</v>
      </c>
      <c r="G42" s="96">
        <v>51</v>
      </c>
      <c r="H42" s="96">
        <v>11</v>
      </c>
      <c r="I42" s="96">
        <v>8</v>
      </c>
      <c r="J42" s="316">
        <v>2191.5</v>
      </c>
      <c r="K42" s="300">
        <v>385</v>
      </c>
      <c r="L42" s="301">
        <f>+K42/H42</f>
        <v>35</v>
      </c>
      <c r="M42" s="241">
        <f>+J42/K42</f>
        <v>5.6922077922077925</v>
      </c>
      <c r="N42" s="299">
        <f>165448.5+80304.5+33898+25466.5+45263+18896+5078+2191.5</f>
        <v>376546</v>
      </c>
      <c r="O42" s="300">
        <f>23339+10797+5046+5061+9442+3877+1054+385</f>
        <v>59001</v>
      </c>
      <c r="P42" s="244">
        <f>+N42/O42</f>
        <v>6.382027423264012</v>
      </c>
    </row>
    <row r="43" spans="1:16" s="10" customFormat="1" ht="15">
      <c r="A43" s="86">
        <v>39</v>
      </c>
      <c r="B43" s="25"/>
      <c r="C43" s="294" t="s">
        <v>91</v>
      </c>
      <c r="D43" s="27">
        <v>38828</v>
      </c>
      <c r="E43" s="256" t="s">
        <v>60</v>
      </c>
      <c r="F43" s="256" t="s">
        <v>74</v>
      </c>
      <c r="G43" s="140">
        <v>59</v>
      </c>
      <c r="H43" s="140">
        <v>4</v>
      </c>
      <c r="I43" s="140">
        <v>11</v>
      </c>
      <c r="J43" s="315">
        <v>2131.5</v>
      </c>
      <c r="K43" s="296">
        <v>353</v>
      </c>
      <c r="L43" s="297">
        <f>K43/H43</f>
        <v>88.25</v>
      </c>
      <c r="M43" s="240">
        <f>J43/K43</f>
        <v>6.038243626062323</v>
      </c>
      <c r="N43" s="295">
        <f>365673.5+242198.5+102288+967.5+39022+4819.5+5052.5+2597+1947+372+616+2131.5</f>
        <v>767685</v>
      </c>
      <c r="O43" s="296">
        <f>45213+29847+13085+1+6124+1313+1025+532+463+93+154+353</f>
        <v>98203</v>
      </c>
      <c r="P43" s="244">
        <f>+N43/O43</f>
        <v>7.817327372890849</v>
      </c>
    </row>
    <row r="44" spans="1:16" s="10" customFormat="1" ht="15">
      <c r="A44" s="86">
        <v>40</v>
      </c>
      <c r="B44" s="25"/>
      <c r="C44" s="298" t="s">
        <v>0</v>
      </c>
      <c r="D44" s="39">
        <v>38034</v>
      </c>
      <c r="E44" s="251" t="s">
        <v>35</v>
      </c>
      <c r="F44" s="251" t="s">
        <v>85</v>
      </c>
      <c r="G44" s="96">
        <v>164</v>
      </c>
      <c r="H44" s="96">
        <v>9</v>
      </c>
      <c r="I44" s="96">
        <v>19</v>
      </c>
      <c r="J44" s="316">
        <v>2052</v>
      </c>
      <c r="K44" s="300">
        <v>684</v>
      </c>
      <c r="L44" s="301">
        <f>+K44/H44</f>
        <v>76</v>
      </c>
      <c r="M44" s="241">
        <f>+J44/K44</f>
        <v>3</v>
      </c>
      <c r="N44" s="299">
        <v>4222687.5</v>
      </c>
      <c r="O44" s="300">
        <v>646274</v>
      </c>
      <c r="P44" s="244">
        <f>+N44/O44</f>
        <v>6.533896613510678</v>
      </c>
    </row>
    <row r="45" spans="1:16" s="10" customFormat="1" ht="15">
      <c r="A45" s="86">
        <v>41</v>
      </c>
      <c r="B45" s="25"/>
      <c r="C45" s="104" t="s">
        <v>129</v>
      </c>
      <c r="D45" s="39">
        <v>38723</v>
      </c>
      <c r="E45" s="254" t="s">
        <v>123</v>
      </c>
      <c r="F45" s="254" t="s">
        <v>130</v>
      </c>
      <c r="G45" s="96">
        <v>3</v>
      </c>
      <c r="H45" s="96">
        <v>3</v>
      </c>
      <c r="I45" s="96">
        <v>16</v>
      </c>
      <c r="J45" s="316">
        <v>2005</v>
      </c>
      <c r="K45" s="300">
        <v>313</v>
      </c>
      <c r="L45" s="297">
        <f>K45/H45</f>
        <v>104.33333333333333</v>
      </c>
      <c r="M45" s="240">
        <f>J45/K45</f>
        <v>6.405750798722044</v>
      </c>
      <c r="N45" s="299">
        <f>22570+12751+6691+4543+3462+1141+1389+1484.5+48+38+1782+1068+714+1188+2340+2005</f>
        <v>63214.5</v>
      </c>
      <c r="O45" s="300">
        <f>2787+1607+844+585+460+145+463+399+9+7+594+356+238+396+780+313</f>
        <v>9983</v>
      </c>
      <c r="P45" s="244">
        <f>+N45/O45</f>
        <v>6.332214765100671</v>
      </c>
    </row>
    <row r="46" spans="1:16" s="10" customFormat="1" ht="15">
      <c r="A46" s="86">
        <v>42</v>
      </c>
      <c r="B46" s="25"/>
      <c r="C46" s="298" t="s">
        <v>161</v>
      </c>
      <c r="D46" s="39">
        <v>38765</v>
      </c>
      <c r="E46" s="251" t="s">
        <v>61</v>
      </c>
      <c r="F46" s="251" t="s">
        <v>75</v>
      </c>
      <c r="G46" s="96">
        <v>41</v>
      </c>
      <c r="H46" s="96">
        <v>1</v>
      </c>
      <c r="I46" s="96">
        <v>41</v>
      </c>
      <c r="J46" s="318">
        <v>2001</v>
      </c>
      <c r="K46" s="300">
        <v>356</v>
      </c>
      <c r="L46" s="297">
        <f>K46/H46</f>
        <v>356</v>
      </c>
      <c r="M46" s="240">
        <f>J46/K46</f>
        <v>5.620786516853933</v>
      </c>
      <c r="N46" s="303">
        <v>336858</v>
      </c>
      <c r="O46" s="300">
        <v>46062</v>
      </c>
      <c r="P46" s="244">
        <f>+N46/O46</f>
        <v>7.313143154878207</v>
      </c>
    </row>
    <row r="47" spans="1:16" s="10" customFormat="1" ht="15">
      <c r="A47" s="86">
        <v>43</v>
      </c>
      <c r="B47" s="25"/>
      <c r="C47" s="298" t="s">
        <v>228</v>
      </c>
      <c r="D47" s="39">
        <v>38884</v>
      </c>
      <c r="E47" s="256" t="s">
        <v>96</v>
      </c>
      <c r="F47" s="251" t="s">
        <v>80</v>
      </c>
      <c r="G47" s="96">
        <v>10</v>
      </c>
      <c r="H47" s="96">
        <v>10</v>
      </c>
      <c r="I47" s="96">
        <v>3</v>
      </c>
      <c r="J47" s="316">
        <v>1944</v>
      </c>
      <c r="K47" s="300">
        <v>338</v>
      </c>
      <c r="L47" s="301">
        <f>+K47/H47</f>
        <v>33.8</v>
      </c>
      <c r="M47" s="241">
        <f>+J47/K47</f>
        <v>5.7514792899408285</v>
      </c>
      <c r="N47" s="299">
        <v>15973.5</v>
      </c>
      <c r="O47" s="300">
        <v>2276</v>
      </c>
      <c r="P47" s="244">
        <f>+N47/O47</f>
        <v>7.01823374340949</v>
      </c>
    </row>
    <row r="48" spans="1:16" s="10" customFormat="1" ht="15">
      <c r="A48" s="86">
        <v>44</v>
      </c>
      <c r="B48" s="25"/>
      <c r="C48" s="294" t="s">
        <v>99</v>
      </c>
      <c r="D48" s="27">
        <v>38835</v>
      </c>
      <c r="E48" s="256" t="s">
        <v>60</v>
      </c>
      <c r="F48" s="256" t="s">
        <v>111</v>
      </c>
      <c r="G48" s="140">
        <v>40</v>
      </c>
      <c r="H48" s="140">
        <v>2</v>
      </c>
      <c r="I48" s="140">
        <v>10</v>
      </c>
      <c r="J48" s="315">
        <v>1861.5</v>
      </c>
      <c r="K48" s="296">
        <v>373</v>
      </c>
      <c r="L48" s="297">
        <f>K48/H48</f>
        <v>186.5</v>
      </c>
      <c r="M48" s="240">
        <f>J48/K48</f>
        <v>4.990616621983914</v>
      </c>
      <c r="N48" s="295">
        <f>140527+60007+17227+3041.5+24+5449.5+8065.5+2589.5+722.5+832+1861.5</f>
        <v>240347</v>
      </c>
      <c r="O48" s="296">
        <f>16242+7267+2760+627+1138+1358+550+141+166+373</f>
        <v>30622</v>
      </c>
      <c r="P48" s="244">
        <f>+N48/O48</f>
        <v>7.848834171510679</v>
      </c>
    </row>
    <row r="49" spans="1:16" s="10" customFormat="1" ht="15">
      <c r="A49" s="86">
        <v>45</v>
      </c>
      <c r="B49" s="25"/>
      <c r="C49" s="298" t="s">
        <v>100</v>
      </c>
      <c r="D49" s="39">
        <v>38835</v>
      </c>
      <c r="E49" s="251" t="s">
        <v>63</v>
      </c>
      <c r="F49" s="251" t="s">
        <v>64</v>
      </c>
      <c r="G49" s="96">
        <v>15</v>
      </c>
      <c r="H49" s="96">
        <v>2</v>
      </c>
      <c r="I49" s="96">
        <v>10</v>
      </c>
      <c r="J49" s="316">
        <v>1829.5</v>
      </c>
      <c r="K49" s="300">
        <v>366</v>
      </c>
      <c r="L49" s="301">
        <f>+K49/H49</f>
        <v>183</v>
      </c>
      <c r="M49" s="241">
        <f>+J49/K49</f>
        <v>4.998633879781421</v>
      </c>
      <c r="N49" s="299">
        <f>60845.5+35645.5+5851+2968.5+2340.5+3653.5+711.5+2954.5+1334.5+1829.5</f>
        <v>118134.5</v>
      </c>
      <c r="O49" s="300">
        <f>6762+4054+1018+542+466+689+150+650+287+366</f>
        <v>14984</v>
      </c>
      <c r="P49" s="244">
        <f>+N49/O49</f>
        <v>7.8840429791777895</v>
      </c>
    </row>
    <row r="50" spans="1:16" s="10" customFormat="1" ht="15">
      <c r="A50" s="86">
        <v>46</v>
      </c>
      <c r="B50" s="25"/>
      <c r="C50" s="298" t="s">
        <v>273</v>
      </c>
      <c r="D50" s="39">
        <v>38828</v>
      </c>
      <c r="E50" s="251" t="s">
        <v>73</v>
      </c>
      <c r="F50" s="251" t="s">
        <v>221</v>
      </c>
      <c r="G50" s="96">
        <v>5</v>
      </c>
      <c r="H50" s="96">
        <v>3</v>
      </c>
      <c r="I50" s="96">
        <v>9</v>
      </c>
      <c r="J50" s="316">
        <v>1813</v>
      </c>
      <c r="K50" s="300">
        <v>341</v>
      </c>
      <c r="L50" s="301">
        <f>+K50/H50</f>
        <v>113.66666666666667</v>
      </c>
      <c r="M50" s="241">
        <f>+J50/K50</f>
        <v>5.316715542521994</v>
      </c>
      <c r="N50" s="299">
        <v>54201</v>
      </c>
      <c r="O50" s="300">
        <v>8011</v>
      </c>
      <c r="P50" s="244">
        <f>+N50/O50</f>
        <v>6.765821994757209</v>
      </c>
    </row>
    <row r="51" spans="1:16" s="10" customFormat="1" ht="15">
      <c r="A51" s="86">
        <v>47</v>
      </c>
      <c r="B51" s="25"/>
      <c r="C51" s="294" t="s">
        <v>94</v>
      </c>
      <c r="D51" s="27">
        <v>38821</v>
      </c>
      <c r="E51" s="256" t="s">
        <v>60</v>
      </c>
      <c r="F51" s="256" t="s">
        <v>67</v>
      </c>
      <c r="G51" s="140">
        <v>53</v>
      </c>
      <c r="H51" s="140">
        <v>3</v>
      </c>
      <c r="I51" s="140">
        <v>12</v>
      </c>
      <c r="J51" s="315">
        <v>1790.5</v>
      </c>
      <c r="K51" s="296">
        <v>639</v>
      </c>
      <c r="L51" s="297">
        <f>K51/H51</f>
        <v>213</v>
      </c>
      <c r="M51" s="240">
        <f>J51/K51</f>
        <v>2.8020344287949923</v>
      </c>
      <c r="N51" s="295">
        <f>155465+86253.5+51+32563.5+13957.5+17705+3940.5+3158+2263.5+805+2009+1244+1790.5</f>
        <v>321206</v>
      </c>
      <c r="O51" s="296">
        <f>21109+11912+4921+2568+3792+939+610+410+149+599+244+639</f>
        <v>47892</v>
      </c>
      <c r="P51" s="244">
        <f>+N51/O51</f>
        <v>6.706882151507559</v>
      </c>
    </row>
    <row r="52" spans="1:16" s="10" customFormat="1" ht="15">
      <c r="A52" s="86">
        <v>48</v>
      </c>
      <c r="B52" s="25"/>
      <c r="C52" s="294" t="s">
        <v>83</v>
      </c>
      <c r="D52" s="27">
        <v>38814</v>
      </c>
      <c r="E52" s="256" t="s">
        <v>43</v>
      </c>
      <c r="F52" s="256" t="s">
        <v>84</v>
      </c>
      <c r="G52" s="140">
        <v>56</v>
      </c>
      <c r="H52" s="140">
        <v>4</v>
      </c>
      <c r="I52" s="140">
        <v>9</v>
      </c>
      <c r="J52" s="317">
        <v>1702</v>
      </c>
      <c r="K52" s="297">
        <v>338</v>
      </c>
      <c r="L52" s="301">
        <f>IF(J52&lt;&gt;0,K52/H52,"")</f>
        <v>84.5</v>
      </c>
      <c r="M52" s="241">
        <f>IF(J52&lt;&gt;0,J52/K52,"")</f>
        <v>5.035502958579881</v>
      </c>
      <c r="N52" s="302">
        <f>217941.5+99459+32613+17816.5+8424.5+3203+531+1188+1702</f>
        <v>382878.5</v>
      </c>
      <c r="O52" s="300">
        <f>30137+15034+5570+3956+2001+658+128+237+338</f>
        <v>58059</v>
      </c>
      <c r="P52" s="244">
        <f>+N52/O52</f>
        <v>6.594645102395838</v>
      </c>
    </row>
    <row r="53" spans="1:16" s="10" customFormat="1" ht="15">
      <c r="A53" s="86">
        <v>49</v>
      </c>
      <c r="B53" s="25"/>
      <c r="C53" s="104" t="s">
        <v>210</v>
      </c>
      <c r="D53" s="39">
        <v>38870</v>
      </c>
      <c r="E53" s="254" t="s">
        <v>123</v>
      </c>
      <c r="F53" s="254" t="s">
        <v>138</v>
      </c>
      <c r="G53" s="96">
        <v>5</v>
      </c>
      <c r="H53" s="96">
        <v>3</v>
      </c>
      <c r="I53" s="96">
        <v>5</v>
      </c>
      <c r="J53" s="316">
        <v>1611</v>
      </c>
      <c r="K53" s="300">
        <v>235</v>
      </c>
      <c r="L53" s="297">
        <f>K53/H53</f>
        <v>78.33333333333333</v>
      </c>
      <c r="M53" s="240">
        <f>J53/K53</f>
        <v>6.85531914893617</v>
      </c>
      <c r="N53" s="299">
        <f>20882.25+8209.5+3896+2400+1136+1611</f>
        <v>38134.75</v>
      </c>
      <c r="O53" s="300">
        <f>2709+885+473+442+218+235</f>
        <v>4962</v>
      </c>
      <c r="P53" s="244">
        <f>+N53/O53</f>
        <v>7.6853587263200325</v>
      </c>
    </row>
    <row r="54" spans="1:16" s="10" customFormat="1" ht="15">
      <c r="A54" s="86">
        <v>50</v>
      </c>
      <c r="B54" s="25"/>
      <c r="C54" s="104" t="s">
        <v>171</v>
      </c>
      <c r="D54" s="39">
        <v>38716</v>
      </c>
      <c r="E54" s="254" t="s">
        <v>123</v>
      </c>
      <c r="F54" s="254" t="s">
        <v>172</v>
      </c>
      <c r="G54" s="96">
        <v>9</v>
      </c>
      <c r="H54" s="96">
        <v>6</v>
      </c>
      <c r="I54" s="96">
        <v>25</v>
      </c>
      <c r="J54" s="316">
        <v>1610</v>
      </c>
      <c r="K54" s="300">
        <v>372</v>
      </c>
      <c r="L54" s="297">
        <f>K54/H54</f>
        <v>62</v>
      </c>
      <c r="M54" s="240">
        <f>J54/K54</f>
        <v>4.327956989247312</v>
      </c>
      <c r="N54" s="299">
        <f>41335+22428+10569.5+2994.5+6995.5+477+1541+1030+1308+1168.5+974+1343+1399+1115+913+1257+1859.5+2654.5+10471+2543+294+573+4437+2101.5+1610</f>
        <v>123391.5</v>
      </c>
      <c r="O54" s="300">
        <f>5101+2761+1545+448+1608+159+304+206+436+246+162+276+329+246+181+254+303+684+2148+666+66+111+863+472+372</f>
        <v>19947</v>
      </c>
      <c r="P54" s="244">
        <f>+N54/O54</f>
        <v>6.185967814708979</v>
      </c>
    </row>
    <row r="55" spans="1:16" s="10" customFormat="1" ht="15">
      <c r="A55" s="86">
        <v>51</v>
      </c>
      <c r="B55" s="25"/>
      <c r="C55" s="298" t="s">
        <v>230</v>
      </c>
      <c r="D55" s="39">
        <v>38884</v>
      </c>
      <c r="E55" s="251" t="s">
        <v>63</v>
      </c>
      <c r="F55" s="251" t="s">
        <v>222</v>
      </c>
      <c r="G55" s="96">
        <v>5</v>
      </c>
      <c r="H55" s="96">
        <v>4</v>
      </c>
      <c r="I55" s="96">
        <v>3</v>
      </c>
      <c r="J55" s="316">
        <v>1503</v>
      </c>
      <c r="K55" s="300">
        <v>227</v>
      </c>
      <c r="L55" s="301">
        <f>+K55/H55</f>
        <v>56.75</v>
      </c>
      <c r="M55" s="241">
        <f>+J55/K55</f>
        <v>6.621145374449339</v>
      </c>
      <c r="N55" s="299">
        <f>4549+2813+1503</f>
        <v>8865</v>
      </c>
      <c r="O55" s="300">
        <f>644+413+227</f>
        <v>1284</v>
      </c>
      <c r="P55" s="244">
        <f>+N55/O55</f>
        <v>6.904205607476635</v>
      </c>
    </row>
    <row r="56" spans="1:16" s="10" customFormat="1" ht="15">
      <c r="A56" s="86">
        <v>52</v>
      </c>
      <c r="B56" s="25"/>
      <c r="C56" s="294" t="s">
        <v>248</v>
      </c>
      <c r="D56" s="27">
        <v>38653</v>
      </c>
      <c r="E56" s="256" t="s">
        <v>43</v>
      </c>
      <c r="F56" s="256" t="s">
        <v>249</v>
      </c>
      <c r="G56" s="140">
        <v>158</v>
      </c>
      <c r="H56" s="140">
        <v>2</v>
      </c>
      <c r="I56" s="140">
        <v>16</v>
      </c>
      <c r="J56" s="317">
        <v>1300</v>
      </c>
      <c r="K56" s="297">
        <v>410</v>
      </c>
      <c r="L56" s="301">
        <f>IF(J56&lt;&gt;0,K56/H56,"")</f>
        <v>205</v>
      </c>
      <c r="M56" s="241">
        <f>IF(J56&lt;&gt;0,J56/K56,"")</f>
        <v>3.1707317073170733</v>
      </c>
      <c r="N56" s="302">
        <f>4259480.75+1188+1300</f>
        <v>4261968.75</v>
      </c>
      <c r="O56" s="300">
        <f>622584+396+410</f>
        <v>623390</v>
      </c>
      <c r="P56" s="244">
        <f>+N56/O56</f>
        <v>6.8367614976178634</v>
      </c>
    </row>
    <row r="57" spans="1:16" s="10" customFormat="1" ht="15">
      <c r="A57" s="86">
        <v>53</v>
      </c>
      <c r="B57" s="25"/>
      <c r="C57" s="298" t="s">
        <v>25</v>
      </c>
      <c r="D57" s="39">
        <v>38758</v>
      </c>
      <c r="E57" s="251" t="s">
        <v>63</v>
      </c>
      <c r="F57" s="251" t="s">
        <v>68</v>
      </c>
      <c r="G57" s="96">
        <v>80</v>
      </c>
      <c r="H57" s="96">
        <v>8</v>
      </c>
      <c r="I57" s="96">
        <v>21</v>
      </c>
      <c r="J57" s="316">
        <v>1091</v>
      </c>
      <c r="K57" s="300">
        <v>246</v>
      </c>
      <c r="L57" s="301">
        <f>+K57/H57</f>
        <v>30.75</v>
      </c>
      <c r="M57" s="241">
        <f>+J57/K57</f>
        <v>4.434959349593496</v>
      </c>
      <c r="N57" s="299">
        <f>1046144.5+776147+471268+342390+240709.5+167344+96416.5+41350+35967.5+31795.5+14506+10028+6242+3523+4463+5109+150+198+3146.5+3199+1091</f>
        <v>3301188</v>
      </c>
      <c r="O57" s="300">
        <f>153560+115584+70079+59336+46681+34549+19625+8318+8035+8705+3661+2044+1179+753+1488+1703+50+66+1049+812+246</f>
        <v>537523</v>
      </c>
      <c r="P57" s="244">
        <f>+N57/O57</f>
        <v>6.141482317965929</v>
      </c>
    </row>
    <row r="58" spans="1:16" s="10" customFormat="1" ht="15">
      <c r="A58" s="86">
        <v>54</v>
      </c>
      <c r="B58" s="25"/>
      <c r="C58" s="104" t="s">
        <v>124</v>
      </c>
      <c r="D58" s="39">
        <v>38856</v>
      </c>
      <c r="E58" s="254" t="s">
        <v>123</v>
      </c>
      <c r="F58" s="254" t="s">
        <v>126</v>
      </c>
      <c r="G58" s="96">
        <v>10</v>
      </c>
      <c r="H58" s="96">
        <v>1</v>
      </c>
      <c r="I58" s="96">
        <v>7</v>
      </c>
      <c r="J58" s="316">
        <v>1068</v>
      </c>
      <c r="K58" s="300">
        <v>356</v>
      </c>
      <c r="L58" s="297">
        <f>K58/H58</f>
        <v>356</v>
      </c>
      <c r="M58" s="240">
        <f>J58/K58</f>
        <v>3</v>
      </c>
      <c r="N58" s="299">
        <f>21534.5+7198.5+1602+1559+1382+790+1068</f>
        <v>35134</v>
      </c>
      <c r="O58" s="300">
        <f>3022+1231+222+243+253+158+356</f>
        <v>5485</v>
      </c>
      <c r="P58" s="244">
        <f>+N58/O58</f>
        <v>6.405469462169553</v>
      </c>
    </row>
    <row r="59" spans="1:16" s="10" customFormat="1" ht="15">
      <c r="A59" s="86">
        <v>55</v>
      </c>
      <c r="B59" s="25"/>
      <c r="C59" s="294" t="s">
        <v>238</v>
      </c>
      <c r="D59" s="27">
        <v>38639</v>
      </c>
      <c r="E59" s="256" t="s">
        <v>43</v>
      </c>
      <c r="F59" s="256" t="s">
        <v>126</v>
      </c>
      <c r="G59" s="140">
        <v>4</v>
      </c>
      <c r="H59" s="140">
        <v>2</v>
      </c>
      <c r="I59" s="140">
        <v>12</v>
      </c>
      <c r="J59" s="317">
        <v>957.5</v>
      </c>
      <c r="K59" s="297">
        <v>141</v>
      </c>
      <c r="L59" s="301">
        <f>IF(J59&lt;&gt;0,K59/H59,"")</f>
        <v>70.5</v>
      </c>
      <c r="M59" s="241">
        <f>IF(J59&lt;&gt;0,J59/K59,"")</f>
        <v>6.790780141843972</v>
      </c>
      <c r="N59" s="302">
        <f>25402+1129.5+2407.5+2376+2088.5+957.5</f>
        <v>34361</v>
      </c>
      <c r="O59" s="300">
        <f>3576+173+578+792+447+141</f>
        <v>5707</v>
      </c>
      <c r="P59" s="244">
        <f>+N59/O59</f>
        <v>6.020851585771859</v>
      </c>
    </row>
    <row r="60" spans="1:16" s="10" customFormat="1" ht="15">
      <c r="A60" s="86">
        <v>56</v>
      </c>
      <c r="B60" s="25"/>
      <c r="C60" s="294" t="s">
        <v>23</v>
      </c>
      <c r="D60" s="27">
        <v>38779</v>
      </c>
      <c r="E60" s="256" t="s">
        <v>60</v>
      </c>
      <c r="F60" s="256" t="s">
        <v>67</v>
      </c>
      <c r="G60" s="140">
        <v>96</v>
      </c>
      <c r="H60" s="140">
        <v>1</v>
      </c>
      <c r="I60" s="140">
        <v>14</v>
      </c>
      <c r="J60" s="315">
        <v>927</v>
      </c>
      <c r="K60" s="296">
        <v>213</v>
      </c>
      <c r="L60" s="297">
        <f>K60/H60</f>
        <v>213</v>
      </c>
      <c r="M60" s="240">
        <f>J60/K60</f>
        <v>4.352112676056338</v>
      </c>
      <c r="N60" s="295">
        <f>548794+335797+701.5+148448.5+3571+32617.5+14092-3800+4657-453+614+455+1282.5+769+847+550+261+927</f>
        <v>1090131</v>
      </c>
      <c r="O60" s="296">
        <f>69211+43223+82+20305+51+6206+3183-272+1252-105+122+156+265+127+180+266+61+213</f>
        <v>144526</v>
      </c>
      <c r="P60" s="244">
        <f>+N60/O60</f>
        <v>7.542801987185697</v>
      </c>
    </row>
    <row r="61" spans="1:16" s="10" customFormat="1" ht="15">
      <c r="A61" s="86">
        <v>57</v>
      </c>
      <c r="B61" s="25"/>
      <c r="C61" s="104" t="s">
        <v>137</v>
      </c>
      <c r="D61" s="39">
        <v>38814</v>
      </c>
      <c r="E61" s="254" t="s">
        <v>123</v>
      </c>
      <c r="F61" s="254" t="s">
        <v>138</v>
      </c>
      <c r="G61" s="96">
        <v>14</v>
      </c>
      <c r="H61" s="96">
        <v>3</v>
      </c>
      <c r="I61" s="96">
        <v>12</v>
      </c>
      <c r="J61" s="316">
        <v>894</v>
      </c>
      <c r="K61" s="300">
        <v>211</v>
      </c>
      <c r="L61" s="297">
        <f>K61/H61</f>
        <v>70.33333333333333</v>
      </c>
      <c r="M61" s="240">
        <f>J61/K61</f>
        <v>4.23696682464455</v>
      </c>
      <c r="N61" s="299">
        <f>43111+13278+6067.5+7325+7474+6516.5+154+328+3068+571+1240+894</f>
        <v>90027</v>
      </c>
      <c r="O61" s="300">
        <f>4620+1821+1003+1445+1813+1225+30+68+737+144+310+211</f>
        <v>13427</v>
      </c>
      <c r="P61" s="244">
        <f>+N61/O61</f>
        <v>6.7049229165115065</v>
      </c>
    </row>
    <row r="62" spans="1:16" s="10" customFormat="1" ht="15">
      <c r="A62" s="86">
        <v>58</v>
      </c>
      <c r="B62" s="25"/>
      <c r="C62" s="294" t="s">
        <v>262</v>
      </c>
      <c r="D62" s="27">
        <v>38702</v>
      </c>
      <c r="E62" s="256" t="s">
        <v>96</v>
      </c>
      <c r="F62" s="256" t="s">
        <v>105</v>
      </c>
      <c r="G62" s="140" t="s">
        <v>211</v>
      </c>
      <c r="H62" s="140" t="s">
        <v>240</v>
      </c>
      <c r="I62" s="140" t="s">
        <v>263</v>
      </c>
      <c r="J62" s="315">
        <v>850.5</v>
      </c>
      <c r="K62" s="296">
        <v>121</v>
      </c>
      <c r="L62" s="297">
        <f>K62/H62</f>
        <v>121</v>
      </c>
      <c r="M62" s="240">
        <f>J62/K62</f>
        <v>7.028925619834711</v>
      </c>
      <c r="N62" s="295">
        <v>137255.5</v>
      </c>
      <c r="O62" s="296">
        <v>16049</v>
      </c>
      <c r="P62" s="244">
        <f>+N62/O62</f>
        <v>8.552277400461088</v>
      </c>
    </row>
    <row r="63" spans="1:16" s="10" customFormat="1" ht="15">
      <c r="A63" s="86">
        <v>59</v>
      </c>
      <c r="B63" s="25"/>
      <c r="C63" s="104" t="s">
        <v>139</v>
      </c>
      <c r="D63" s="39">
        <v>38835</v>
      </c>
      <c r="E63" s="254" t="s">
        <v>123</v>
      </c>
      <c r="F63" s="254" t="s">
        <v>239</v>
      </c>
      <c r="G63" s="96">
        <v>5</v>
      </c>
      <c r="H63" s="96">
        <v>1</v>
      </c>
      <c r="I63" s="96">
        <v>9</v>
      </c>
      <c r="J63" s="316">
        <v>831</v>
      </c>
      <c r="K63" s="300">
        <v>277</v>
      </c>
      <c r="L63" s="297">
        <f>K63/H63</f>
        <v>277</v>
      </c>
      <c r="M63" s="240">
        <f>J63/K63</f>
        <v>3</v>
      </c>
      <c r="N63" s="299">
        <f>497.5+5960+2567+1138+75+2686+941.5+877+1134+831</f>
        <v>16707</v>
      </c>
      <c r="O63" s="300">
        <f>103+657+317+178+15+682+143+159+211+277</f>
        <v>2742</v>
      </c>
      <c r="P63" s="244">
        <f>+N63/O63</f>
        <v>6.0929978118161925</v>
      </c>
    </row>
    <row r="64" spans="1:16" s="10" customFormat="1" ht="15">
      <c r="A64" s="86">
        <v>60</v>
      </c>
      <c r="B64" s="25"/>
      <c r="C64" s="298" t="s">
        <v>242</v>
      </c>
      <c r="D64" s="39">
        <v>38653</v>
      </c>
      <c r="E64" s="251" t="s">
        <v>73</v>
      </c>
      <c r="F64" s="251" t="s">
        <v>184</v>
      </c>
      <c r="G64" s="96">
        <v>3</v>
      </c>
      <c r="H64" s="96">
        <v>1</v>
      </c>
      <c r="I64" s="96">
        <v>17</v>
      </c>
      <c r="J64" s="316">
        <v>776</v>
      </c>
      <c r="K64" s="300">
        <v>102</v>
      </c>
      <c r="L64" s="301">
        <f>+K64/H64</f>
        <v>102</v>
      </c>
      <c r="M64" s="241">
        <f>+J64/K64</f>
        <v>7.607843137254902</v>
      </c>
      <c r="N64" s="299">
        <v>49784</v>
      </c>
      <c r="O64" s="300">
        <v>7582</v>
      </c>
      <c r="P64" s="244">
        <f>+N64/O64</f>
        <v>6.566077552097072</v>
      </c>
    </row>
    <row r="65" spans="1:16" s="10" customFormat="1" ht="15">
      <c r="A65" s="86">
        <v>61</v>
      </c>
      <c r="B65" s="25"/>
      <c r="C65" s="294" t="s">
        <v>110</v>
      </c>
      <c r="D65" s="27">
        <v>38849</v>
      </c>
      <c r="E65" s="256" t="s">
        <v>60</v>
      </c>
      <c r="F65" s="256" t="s">
        <v>73</v>
      </c>
      <c r="G65" s="140">
        <v>20</v>
      </c>
      <c r="H65" s="140">
        <v>3</v>
      </c>
      <c r="I65" s="140">
        <v>8</v>
      </c>
      <c r="J65" s="315">
        <v>761</v>
      </c>
      <c r="K65" s="296">
        <v>144</v>
      </c>
      <c r="L65" s="297">
        <f>K65/H65</f>
        <v>48</v>
      </c>
      <c r="M65" s="240">
        <f>J65/K65</f>
        <v>5.284722222222222</v>
      </c>
      <c r="N65" s="295">
        <f>28036+3671+205.5+163+1253+2839.5+647+761</f>
        <v>37576</v>
      </c>
      <c r="O65" s="296">
        <f>3110+476+42+29+189+527+120+144</f>
        <v>4637</v>
      </c>
      <c r="P65" s="244">
        <f>+N65/O65</f>
        <v>8.103515203795558</v>
      </c>
    </row>
    <row r="66" spans="1:16" s="10" customFormat="1" ht="15">
      <c r="A66" s="86">
        <v>62</v>
      </c>
      <c r="B66" s="25"/>
      <c r="C66" s="104" t="s">
        <v>258</v>
      </c>
      <c r="D66" s="39">
        <v>38597</v>
      </c>
      <c r="E66" s="254" t="s">
        <v>123</v>
      </c>
      <c r="F66" s="254" t="s">
        <v>239</v>
      </c>
      <c r="G66" s="96">
        <v>11</v>
      </c>
      <c r="H66" s="96">
        <v>2</v>
      </c>
      <c r="I66" s="96">
        <v>14</v>
      </c>
      <c r="J66" s="316">
        <v>675</v>
      </c>
      <c r="K66" s="300">
        <v>225</v>
      </c>
      <c r="L66" s="297">
        <f>K66/H66</f>
        <v>112.5</v>
      </c>
      <c r="M66" s="240">
        <f>J66/K66</f>
        <v>3</v>
      </c>
      <c r="N66" s="299">
        <f>31296+19081.5+11825+6700+3918.5+3397+311+1425+1188+1782+1068+1569+1188+675</f>
        <v>85424</v>
      </c>
      <c r="O66" s="300">
        <f>3582+2311+1634+907+581+536+60+475+396+594+356+523+396+225</f>
        <v>12576</v>
      </c>
      <c r="P66" s="244">
        <f>+N66/O66</f>
        <v>6.792620865139949</v>
      </c>
    </row>
    <row r="67" spans="1:16" s="10" customFormat="1" ht="15">
      <c r="A67" s="86">
        <v>63</v>
      </c>
      <c r="B67" s="25"/>
      <c r="C67" s="298" t="s">
        <v>115</v>
      </c>
      <c r="D67" s="39">
        <v>38772</v>
      </c>
      <c r="E67" s="251" t="s">
        <v>61</v>
      </c>
      <c r="F67" s="251" t="s">
        <v>72</v>
      </c>
      <c r="G67" s="96">
        <v>62</v>
      </c>
      <c r="H67" s="96">
        <v>2</v>
      </c>
      <c r="I67" s="96">
        <v>19</v>
      </c>
      <c r="J67" s="316">
        <v>634</v>
      </c>
      <c r="K67" s="300">
        <v>189</v>
      </c>
      <c r="L67" s="297">
        <f>K67/H67</f>
        <v>94.5</v>
      </c>
      <c r="M67" s="240">
        <f>J67/K67</f>
        <v>3.3544973544973544</v>
      </c>
      <c r="N67" s="299">
        <v>824087</v>
      </c>
      <c r="O67" s="300">
        <v>108813</v>
      </c>
      <c r="P67" s="244">
        <f>+N67/O67</f>
        <v>7.57342413130784</v>
      </c>
    </row>
    <row r="68" spans="1:16" s="10" customFormat="1" ht="15">
      <c r="A68" s="86">
        <v>64</v>
      </c>
      <c r="B68" s="25"/>
      <c r="C68" s="294" t="s">
        <v>95</v>
      </c>
      <c r="D68" s="27">
        <v>38828</v>
      </c>
      <c r="E68" s="256" t="s">
        <v>57</v>
      </c>
      <c r="F68" s="256" t="s">
        <v>72</v>
      </c>
      <c r="G68" s="140" t="s">
        <v>231</v>
      </c>
      <c r="H68" s="140" t="s">
        <v>240</v>
      </c>
      <c r="I68" s="140" t="s">
        <v>223</v>
      </c>
      <c r="J68" s="315">
        <v>581</v>
      </c>
      <c r="K68" s="296">
        <v>77</v>
      </c>
      <c r="L68" s="297">
        <f>K68/H68</f>
        <v>77</v>
      </c>
      <c r="M68" s="240">
        <f>J68/K68</f>
        <v>7.545454545454546</v>
      </c>
      <c r="N68" s="295">
        <v>148535</v>
      </c>
      <c r="O68" s="296">
        <v>21059</v>
      </c>
      <c r="P68" s="244">
        <f>+N68/O68</f>
        <v>7.053278883137851</v>
      </c>
    </row>
    <row r="69" spans="1:16" s="10" customFormat="1" ht="15">
      <c r="A69" s="86">
        <v>65</v>
      </c>
      <c r="B69" s="25"/>
      <c r="C69" s="104" t="s">
        <v>256</v>
      </c>
      <c r="D69" s="39">
        <v>38618</v>
      </c>
      <c r="E69" s="254" t="s">
        <v>123</v>
      </c>
      <c r="F69" s="254" t="s">
        <v>257</v>
      </c>
      <c r="G69" s="96">
        <v>12</v>
      </c>
      <c r="H69" s="96">
        <v>2</v>
      </c>
      <c r="I69" s="96">
        <v>16</v>
      </c>
      <c r="J69" s="316">
        <v>525</v>
      </c>
      <c r="K69" s="300">
        <v>175</v>
      </c>
      <c r="L69" s="297">
        <f>K69/H69</f>
        <v>87.5</v>
      </c>
      <c r="M69" s="240">
        <f>J69/K69</f>
        <v>3</v>
      </c>
      <c r="N69" s="299">
        <f>37775.5+21253+11530+4890+2484+5413.5+1188+835+752+145+1068+608+1737+48+952+525</f>
        <v>91204</v>
      </c>
      <c r="O69" s="300">
        <f>5199+2957+1586+911+479+1209+396+166+147+48+356+148+508+6+193+175</f>
        <v>14484</v>
      </c>
      <c r="P69" s="244">
        <f>+N69/O69</f>
        <v>6.296879315106324</v>
      </c>
    </row>
    <row r="70" spans="1:16" s="10" customFormat="1" ht="15">
      <c r="A70" s="86">
        <v>66</v>
      </c>
      <c r="B70" s="25"/>
      <c r="C70" s="298" t="s">
        <v>283</v>
      </c>
      <c r="D70" s="39">
        <v>38499</v>
      </c>
      <c r="E70" s="251" t="s">
        <v>61</v>
      </c>
      <c r="F70" s="251" t="s">
        <v>77</v>
      </c>
      <c r="G70" s="96">
        <v>112</v>
      </c>
      <c r="H70" s="96">
        <v>1</v>
      </c>
      <c r="I70" s="96">
        <v>57</v>
      </c>
      <c r="J70" s="318">
        <v>486</v>
      </c>
      <c r="K70" s="300">
        <v>81</v>
      </c>
      <c r="L70" s="297">
        <f>K70/H70</f>
        <v>81</v>
      </c>
      <c r="M70" s="240">
        <f>J70/K70</f>
        <v>6</v>
      </c>
      <c r="N70" s="303">
        <v>1518179</v>
      </c>
      <c r="O70" s="300">
        <v>236764</v>
      </c>
      <c r="P70" s="244">
        <f>+N70/O70</f>
        <v>6.412203713402375</v>
      </c>
    </row>
    <row r="71" spans="1:16" s="10" customFormat="1" ht="15">
      <c r="A71" s="86">
        <v>67</v>
      </c>
      <c r="B71" s="25"/>
      <c r="C71" s="298" t="s">
        <v>53</v>
      </c>
      <c r="D71" s="39">
        <v>38800</v>
      </c>
      <c r="E71" s="251" t="s">
        <v>63</v>
      </c>
      <c r="F71" s="251" t="s">
        <v>64</v>
      </c>
      <c r="G71" s="96">
        <v>92</v>
      </c>
      <c r="H71" s="96">
        <v>1</v>
      </c>
      <c r="I71" s="96">
        <v>13</v>
      </c>
      <c r="J71" s="316">
        <v>482</v>
      </c>
      <c r="K71" s="300">
        <v>110</v>
      </c>
      <c r="L71" s="301">
        <f>+K71/H71</f>
        <v>110</v>
      </c>
      <c r="M71" s="241">
        <f>+J71/K71</f>
        <v>4.381818181818182</v>
      </c>
      <c r="N71" s="299">
        <f>481751.5+308419.5+242119.5+52953+38471.5+16408.5+18127+1517+5096+60+3053+445.5+482</f>
        <v>1168904</v>
      </c>
      <c r="O71" s="300">
        <f>67910+40806+32344+8727+9142+4213+4473+313+1639+13+1011+76+110</f>
        <v>170777</v>
      </c>
      <c r="P71" s="244">
        <f>+N71/O71</f>
        <v>6.844621933866973</v>
      </c>
    </row>
    <row r="72" spans="1:16" s="10" customFormat="1" ht="15">
      <c r="A72" s="86">
        <v>68</v>
      </c>
      <c r="B72" s="25"/>
      <c r="C72" s="104" t="s">
        <v>259</v>
      </c>
      <c r="D72" s="39">
        <v>38072</v>
      </c>
      <c r="E72" s="254" t="s">
        <v>123</v>
      </c>
      <c r="F72" s="254" t="s">
        <v>138</v>
      </c>
      <c r="G72" s="96">
        <v>10</v>
      </c>
      <c r="H72" s="96">
        <v>1</v>
      </c>
      <c r="I72" s="96">
        <v>28</v>
      </c>
      <c r="J72" s="316">
        <v>474</v>
      </c>
      <c r="K72" s="300">
        <v>158</v>
      </c>
      <c r="L72" s="297">
        <f>K72/H72</f>
        <v>158</v>
      </c>
      <c r="M72" s="240">
        <f>J72/K72</f>
        <v>3</v>
      </c>
      <c r="N72" s="299">
        <f>144986.5+1962+1425+658+399+831+474</f>
        <v>150735.5</v>
      </c>
      <c r="O72" s="300">
        <f>23696+654+475+94+57+277+158</f>
        <v>25411</v>
      </c>
      <c r="P72" s="244">
        <f>+N72/O72</f>
        <v>5.931899571051907</v>
      </c>
    </row>
    <row r="73" spans="1:16" s="10" customFormat="1" ht="15">
      <c r="A73" s="86">
        <v>69</v>
      </c>
      <c r="B73" s="25"/>
      <c r="C73" s="104" t="s">
        <v>275</v>
      </c>
      <c r="D73" s="39">
        <v>37582</v>
      </c>
      <c r="E73" s="254" t="s">
        <v>123</v>
      </c>
      <c r="F73" s="254" t="s">
        <v>132</v>
      </c>
      <c r="G73" s="96">
        <v>4</v>
      </c>
      <c r="H73" s="96">
        <v>1</v>
      </c>
      <c r="I73" s="96">
        <v>41</v>
      </c>
      <c r="J73" s="316">
        <v>474</v>
      </c>
      <c r="K73" s="300">
        <v>158</v>
      </c>
      <c r="L73" s="297">
        <f>K73/H73</f>
        <v>158</v>
      </c>
      <c r="M73" s="240">
        <f>J73/K73</f>
        <v>3</v>
      </c>
      <c r="N73" s="299">
        <f>127672.25+58.5+4547.75+474</f>
        <v>132752.5</v>
      </c>
      <c r="O73" s="300">
        <f>24734+13+1017+158</f>
        <v>25922</v>
      </c>
      <c r="P73" s="244">
        <f>+N73/O73</f>
        <v>5.121229071830877</v>
      </c>
    </row>
    <row r="74" spans="1:16" s="10" customFormat="1" ht="15">
      <c r="A74" s="86">
        <v>70</v>
      </c>
      <c r="B74" s="25"/>
      <c r="C74" s="104" t="s">
        <v>260</v>
      </c>
      <c r="D74" s="39">
        <v>37813</v>
      </c>
      <c r="E74" s="254" t="s">
        <v>123</v>
      </c>
      <c r="F74" s="254" t="s">
        <v>261</v>
      </c>
      <c r="G74" s="96">
        <v>10</v>
      </c>
      <c r="H74" s="96">
        <v>1</v>
      </c>
      <c r="I74" s="96">
        <v>38</v>
      </c>
      <c r="J74" s="316">
        <v>474</v>
      </c>
      <c r="K74" s="300">
        <v>158</v>
      </c>
      <c r="L74" s="297">
        <f>K74/H74</f>
        <v>158</v>
      </c>
      <c r="M74" s="240">
        <f>J74/K74</f>
        <v>3</v>
      </c>
      <c r="N74" s="299">
        <f>101850+106+855+474</f>
        <v>103285</v>
      </c>
      <c r="O74" s="300">
        <f>21632+20+285+158</f>
        <v>22095</v>
      </c>
      <c r="P74" s="244">
        <f>+N74/O74</f>
        <v>4.67458701063589</v>
      </c>
    </row>
    <row r="75" spans="1:16" s="10" customFormat="1" ht="15">
      <c r="A75" s="86">
        <v>71</v>
      </c>
      <c r="B75" s="25"/>
      <c r="C75" s="104" t="s">
        <v>264</v>
      </c>
      <c r="D75" s="39">
        <v>37869</v>
      </c>
      <c r="E75" s="254" t="s">
        <v>123</v>
      </c>
      <c r="F75" s="254" t="s">
        <v>184</v>
      </c>
      <c r="G75" s="96">
        <v>8</v>
      </c>
      <c r="H75" s="96">
        <v>1</v>
      </c>
      <c r="I75" s="96">
        <v>25</v>
      </c>
      <c r="J75" s="316">
        <v>474</v>
      </c>
      <c r="K75" s="300">
        <v>158</v>
      </c>
      <c r="L75" s="297">
        <f>K75/H75</f>
        <v>158</v>
      </c>
      <c r="M75" s="240">
        <f>J75/K75</f>
        <v>3</v>
      </c>
      <c r="N75" s="299">
        <f>89641.3+831+474</f>
        <v>90946.3</v>
      </c>
      <c r="O75" s="300">
        <f>17019+277+158</f>
        <v>17454</v>
      </c>
      <c r="P75" s="244">
        <f>+N75/O75</f>
        <v>5.210627936289676</v>
      </c>
    </row>
    <row r="76" spans="1:16" s="10" customFormat="1" ht="15">
      <c r="A76" s="86">
        <v>72</v>
      </c>
      <c r="B76" s="25"/>
      <c r="C76" s="104" t="s">
        <v>135</v>
      </c>
      <c r="D76" s="39">
        <v>38828</v>
      </c>
      <c r="E76" s="254" t="s">
        <v>123</v>
      </c>
      <c r="F76" s="254" t="s">
        <v>136</v>
      </c>
      <c r="G76" s="96">
        <v>6</v>
      </c>
      <c r="H76" s="96">
        <v>1</v>
      </c>
      <c r="I76" s="96">
        <v>10</v>
      </c>
      <c r="J76" s="316">
        <v>474</v>
      </c>
      <c r="K76" s="300">
        <v>158</v>
      </c>
      <c r="L76" s="297">
        <f>K76/H76</f>
        <v>158</v>
      </c>
      <c r="M76" s="240">
        <f>J76/K76</f>
        <v>3</v>
      </c>
      <c r="N76" s="299">
        <f>8964+4246+2175+6296+364+3248+189+2148.5+879.5+474</f>
        <v>28984</v>
      </c>
      <c r="O76" s="300">
        <f>1055+574+361+886+56+580+32+529+180+158</f>
        <v>4411</v>
      </c>
      <c r="P76" s="244">
        <f>+N76/O76</f>
        <v>6.570845613239628</v>
      </c>
    </row>
    <row r="77" spans="1:16" s="10" customFormat="1" ht="15">
      <c r="A77" s="86">
        <v>73</v>
      </c>
      <c r="B77" s="25"/>
      <c r="C77" s="104" t="s">
        <v>274</v>
      </c>
      <c r="D77" s="39">
        <v>38548</v>
      </c>
      <c r="E77" s="254" t="s">
        <v>123</v>
      </c>
      <c r="F77" s="254" t="s">
        <v>270</v>
      </c>
      <c r="G77" s="96">
        <v>5</v>
      </c>
      <c r="H77" s="96">
        <v>1</v>
      </c>
      <c r="I77" s="96">
        <v>16</v>
      </c>
      <c r="J77" s="316">
        <v>461</v>
      </c>
      <c r="K77" s="300">
        <v>79</v>
      </c>
      <c r="L77" s="297">
        <f>K77/H77</f>
        <v>79</v>
      </c>
      <c r="M77" s="240">
        <f>J77/K77</f>
        <v>5.8354430379746836</v>
      </c>
      <c r="N77" s="299">
        <f>12907+8305+3709+9521+5595+4291.5+2313.5+2410+2771+3491+829+102+364+256+314+461</f>
        <v>57640</v>
      </c>
      <c r="O77" s="300">
        <f>1417+942+490+1547+820+734+453+492+521+723+171+34+68+64+56+79</f>
        <v>8611</v>
      </c>
      <c r="P77" s="244">
        <f>+N77/O77</f>
        <v>6.6937637905005225</v>
      </c>
    </row>
    <row r="78" spans="1:16" s="10" customFormat="1" ht="15">
      <c r="A78" s="86">
        <v>74</v>
      </c>
      <c r="B78" s="25"/>
      <c r="C78" s="298" t="s">
        <v>166</v>
      </c>
      <c r="D78" s="39">
        <v>38786</v>
      </c>
      <c r="E78" s="251" t="s">
        <v>63</v>
      </c>
      <c r="F78" s="251" t="s">
        <v>70</v>
      </c>
      <c r="G78" s="96">
        <v>30</v>
      </c>
      <c r="H78" s="96">
        <v>6</v>
      </c>
      <c r="I78" s="96">
        <v>11</v>
      </c>
      <c r="J78" s="316">
        <v>454</v>
      </c>
      <c r="K78" s="300">
        <v>57</v>
      </c>
      <c r="L78" s="301">
        <f>+K78/H78</f>
        <v>9.5</v>
      </c>
      <c r="M78" s="241">
        <f>+J78/K78</f>
        <v>7.964912280701754</v>
      </c>
      <c r="N78" s="299">
        <f>94630+42901+16809.5+16862+11072+2518+4525+910+841+1579.5+454</f>
        <v>193102</v>
      </c>
      <c r="O78" s="300">
        <f>12856+5706+2789+3336+2239+567+1047+161+186+380+57</f>
        <v>29324</v>
      </c>
      <c r="P78" s="244">
        <f>+N78/O78</f>
        <v>6.585117992088391</v>
      </c>
    </row>
    <row r="79" spans="1:16" s="10" customFormat="1" ht="15">
      <c r="A79" s="86">
        <v>75</v>
      </c>
      <c r="B79" s="25"/>
      <c r="C79" s="104" t="s">
        <v>125</v>
      </c>
      <c r="D79" s="39">
        <v>38849</v>
      </c>
      <c r="E79" s="254" t="s">
        <v>123</v>
      </c>
      <c r="F79" s="254" t="s">
        <v>126</v>
      </c>
      <c r="G79" s="96">
        <v>4</v>
      </c>
      <c r="H79" s="96">
        <v>1</v>
      </c>
      <c r="I79" s="96">
        <v>7</v>
      </c>
      <c r="J79" s="316">
        <v>434.5</v>
      </c>
      <c r="K79" s="300">
        <v>65</v>
      </c>
      <c r="L79" s="297">
        <f>K79/H79</f>
        <v>65</v>
      </c>
      <c r="M79" s="240">
        <f>J79/K79</f>
        <v>6.684615384615385</v>
      </c>
      <c r="N79" s="299">
        <f>12183.25+8569+5406+1833+4570+3387+1518.5+434.5</f>
        <v>37901.25</v>
      </c>
      <c r="O79" s="300">
        <f>1678+1149+734+247+1506+495+228+65</f>
        <v>6102</v>
      </c>
      <c r="P79" s="244">
        <f>+N79/O79</f>
        <v>6.211283185840708</v>
      </c>
    </row>
    <row r="80" spans="1:16" s="10" customFormat="1" ht="15">
      <c r="A80" s="86">
        <v>76</v>
      </c>
      <c r="B80" s="25"/>
      <c r="C80" s="298" t="s">
        <v>97</v>
      </c>
      <c r="D80" s="39">
        <v>38835</v>
      </c>
      <c r="E80" s="251" t="s">
        <v>61</v>
      </c>
      <c r="F80" s="251" t="s">
        <v>72</v>
      </c>
      <c r="G80" s="96">
        <v>71</v>
      </c>
      <c r="H80" s="96">
        <v>3</v>
      </c>
      <c r="I80" s="96">
        <v>10</v>
      </c>
      <c r="J80" s="316">
        <v>414</v>
      </c>
      <c r="K80" s="300">
        <v>82</v>
      </c>
      <c r="L80" s="297">
        <f>K80/H80</f>
        <v>27.333333333333332</v>
      </c>
      <c r="M80" s="240">
        <f>J80/K80</f>
        <v>5.048780487804878</v>
      </c>
      <c r="N80" s="299">
        <v>996951</v>
      </c>
      <c r="O80" s="300">
        <v>122017</v>
      </c>
      <c r="P80" s="244">
        <f>+N80/O80</f>
        <v>8.170590983223649</v>
      </c>
    </row>
    <row r="81" spans="1:16" s="10" customFormat="1" ht="15">
      <c r="A81" s="86">
        <v>77</v>
      </c>
      <c r="B81" s="25"/>
      <c r="C81" s="298" t="s">
        <v>284</v>
      </c>
      <c r="D81" s="39">
        <v>38611</v>
      </c>
      <c r="E81" s="251" t="s">
        <v>63</v>
      </c>
      <c r="F81" s="251" t="s">
        <v>285</v>
      </c>
      <c r="G81" s="96">
        <v>75</v>
      </c>
      <c r="H81" s="96">
        <v>7</v>
      </c>
      <c r="I81" s="96">
        <v>10</v>
      </c>
      <c r="J81" s="316">
        <v>409</v>
      </c>
      <c r="K81" s="300">
        <v>54</v>
      </c>
      <c r="L81" s="301">
        <f>+K81/H81</f>
        <v>7.714285714285714</v>
      </c>
      <c r="M81" s="241">
        <f>+J81/K81</f>
        <v>7.574074074074074</v>
      </c>
      <c r="N81" s="299">
        <f>293764+222902+154168+96143+37137+20732+9555+381+1665+409</f>
        <v>836856</v>
      </c>
      <c r="O81" s="300">
        <f>42247+29270+21053+14479+8090+4618+1911+124+333+54</f>
        <v>122179</v>
      </c>
      <c r="P81" s="244">
        <f>+N81/O81</f>
        <v>6.849425842411543</v>
      </c>
    </row>
    <row r="82" spans="1:16" s="10" customFormat="1" ht="15">
      <c r="A82" s="86">
        <v>78</v>
      </c>
      <c r="B82" s="25"/>
      <c r="C82" s="294" t="s">
        <v>281</v>
      </c>
      <c r="D82" s="27">
        <v>38632</v>
      </c>
      <c r="E82" s="256" t="s">
        <v>60</v>
      </c>
      <c r="F82" s="256" t="s">
        <v>32</v>
      </c>
      <c r="G82" s="140">
        <v>1</v>
      </c>
      <c r="H82" s="140">
        <v>1</v>
      </c>
      <c r="I82" s="140">
        <v>15</v>
      </c>
      <c r="J82" s="315">
        <v>394</v>
      </c>
      <c r="K82" s="296">
        <v>60</v>
      </c>
      <c r="L82" s="297">
        <f>K82/H82</f>
        <v>60</v>
      </c>
      <c r="M82" s="240">
        <f>J82/K82</f>
        <v>6.566666666666666</v>
      </c>
      <c r="N82" s="295">
        <f>351719+630+394</f>
        <v>352743</v>
      </c>
      <c r="O82" s="296">
        <f>43405+210+60</f>
        <v>43675</v>
      </c>
      <c r="P82" s="244">
        <f>+N82/O82</f>
        <v>8.076542644533486</v>
      </c>
    </row>
    <row r="83" spans="1:16" s="10" customFormat="1" ht="15">
      <c r="A83" s="86">
        <v>79</v>
      </c>
      <c r="B83" s="25"/>
      <c r="C83" s="294" t="s">
        <v>51</v>
      </c>
      <c r="D83" s="27">
        <v>38793</v>
      </c>
      <c r="E83" s="256" t="s">
        <v>43</v>
      </c>
      <c r="F83" s="256" t="s">
        <v>70</v>
      </c>
      <c r="G83" s="140">
        <v>71</v>
      </c>
      <c r="H83" s="140">
        <v>2</v>
      </c>
      <c r="I83" s="140">
        <v>14</v>
      </c>
      <c r="J83" s="317">
        <v>392</v>
      </c>
      <c r="K83" s="297">
        <v>97</v>
      </c>
      <c r="L83" s="301">
        <f>IF(J83&lt;&gt;0,K83/H83,"")</f>
        <v>48.5</v>
      </c>
      <c r="M83" s="241">
        <f>IF(J83&lt;&gt;0,J83/K83,"")</f>
        <v>4.041237113402062</v>
      </c>
      <c r="N83" s="302">
        <f>139188.5+65126.5+15320+6439+3617+3772+4116+209.5+299+80+130+145+1032+392</f>
        <v>239866.5</v>
      </c>
      <c r="O83" s="300">
        <f>20151+10232+2945+1343+1021+739+717+69+58+16+26+29+187+97</f>
        <v>37630</v>
      </c>
      <c r="P83" s="244">
        <f>+N83/O83</f>
        <v>6.374342280095668</v>
      </c>
    </row>
    <row r="84" spans="1:16" s="10" customFormat="1" ht="15">
      <c r="A84" s="86">
        <v>80</v>
      </c>
      <c r="B84" s="25"/>
      <c r="C84" s="294" t="s">
        <v>247</v>
      </c>
      <c r="D84" s="27">
        <v>38674</v>
      </c>
      <c r="E84" s="256" t="s">
        <v>60</v>
      </c>
      <c r="F84" s="256" t="s">
        <v>32</v>
      </c>
      <c r="G84" s="140">
        <v>161</v>
      </c>
      <c r="H84" s="140">
        <v>1</v>
      </c>
      <c r="I84" s="140">
        <v>16</v>
      </c>
      <c r="J84" s="315">
        <v>376</v>
      </c>
      <c r="K84" s="296">
        <v>81</v>
      </c>
      <c r="L84" s="297">
        <f>K84/H84</f>
        <v>81</v>
      </c>
      <c r="M84" s="240">
        <f>J84/K84</f>
        <v>4.6419753086419755</v>
      </c>
      <c r="N84" s="295">
        <f>2382676.5+1266268+995.5+729332+22+353600+197324.5+15+73857.5+25+24361+10643+997+6976-363.5+2817+993+258+2712+594+3564+376</f>
        <v>5058043.5</v>
      </c>
      <c r="O84" s="296">
        <f>338589+185300+82+107528+57791+41333+1+19077+3+5321+2504+211+1837+779+171+208+1533+131+1782+81</f>
        <v>764262</v>
      </c>
      <c r="P84" s="244">
        <f>+N84/O84</f>
        <v>6.618206191070602</v>
      </c>
    </row>
    <row r="85" spans="1:16" s="10" customFormat="1" ht="15">
      <c r="A85" s="86">
        <v>81</v>
      </c>
      <c r="B85" s="25"/>
      <c r="C85" s="298" t="s">
        <v>52</v>
      </c>
      <c r="D85" s="39">
        <v>38793</v>
      </c>
      <c r="E85" s="251" t="s">
        <v>63</v>
      </c>
      <c r="F85" s="251" t="s">
        <v>119</v>
      </c>
      <c r="G85" s="96">
        <v>50</v>
      </c>
      <c r="H85" s="96">
        <v>1</v>
      </c>
      <c r="I85" s="96">
        <v>11</v>
      </c>
      <c r="J85" s="316">
        <v>318.5</v>
      </c>
      <c r="K85" s="300">
        <v>91</v>
      </c>
      <c r="L85" s="301">
        <f>+K85/H85</f>
        <v>91</v>
      </c>
      <c r="M85" s="241">
        <f>+J85/K85</f>
        <v>3.5</v>
      </c>
      <c r="N85" s="299">
        <f>196913+123210+45760+23987+14825+9931+11940+5017.5+2178+911+318.5</f>
        <v>434991</v>
      </c>
      <c r="O85" s="300">
        <f>26732+15006+5997+4114+3495+3333+3072+1744+485+414+91</f>
        <v>64483</v>
      </c>
      <c r="P85" s="244">
        <f>+N85/O85</f>
        <v>6.745824480870927</v>
      </c>
    </row>
    <row r="86" spans="1:16" s="10" customFormat="1" ht="15">
      <c r="A86" s="86">
        <v>82</v>
      </c>
      <c r="B86" s="25"/>
      <c r="C86" s="294" t="s">
        <v>250</v>
      </c>
      <c r="D86" s="27">
        <v>38576</v>
      </c>
      <c r="E86" s="256" t="s">
        <v>60</v>
      </c>
      <c r="F86" s="256" t="s">
        <v>32</v>
      </c>
      <c r="G86" s="140">
        <v>79</v>
      </c>
      <c r="H86" s="140">
        <v>1</v>
      </c>
      <c r="I86" s="140">
        <v>22</v>
      </c>
      <c r="J86" s="315">
        <v>316</v>
      </c>
      <c r="K86" s="296">
        <v>71</v>
      </c>
      <c r="L86" s="297">
        <f>K86/H86</f>
        <v>71</v>
      </c>
      <c r="M86" s="240">
        <f>J86/K86</f>
        <v>4.450704225352113</v>
      </c>
      <c r="N86" s="295">
        <f>1201365.75+2376+3564+316</f>
        <v>1207621.75</v>
      </c>
      <c r="O86" s="296">
        <f>169972+474+1782+71</f>
        <v>172299</v>
      </c>
      <c r="P86" s="244">
        <f>+N86/O86</f>
        <v>7.008872657415307</v>
      </c>
    </row>
    <row r="87" spans="1:16" s="10" customFormat="1" ht="15">
      <c r="A87" s="86">
        <v>83</v>
      </c>
      <c r="B87" s="25"/>
      <c r="C87" s="104" t="s">
        <v>241</v>
      </c>
      <c r="D87" s="39">
        <v>38891</v>
      </c>
      <c r="E87" s="254" t="s">
        <v>123</v>
      </c>
      <c r="F87" s="254" t="s">
        <v>126</v>
      </c>
      <c r="G87" s="96">
        <v>1</v>
      </c>
      <c r="H87" s="96">
        <v>1</v>
      </c>
      <c r="I87" s="96">
        <v>2</v>
      </c>
      <c r="J87" s="316">
        <v>309</v>
      </c>
      <c r="K87" s="300">
        <v>49</v>
      </c>
      <c r="L87" s="297">
        <f>K87/H87</f>
        <v>49</v>
      </c>
      <c r="M87" s="240">
        <f>J87/K87</f>
        <v>6.3061224489795915</v>
      </c>
      <c r="N87" s="299">
        <f>3624+741+309</f>
        <v>4674</v>
      </c>
      <c r="O87" s="300">
        <f>883+117+49</f>
        <v>1049</v>
      </c>
      <c r="P87" s="244">
        <f>+N87/O87</f>
        <v>4.4556720686367965</v>
      </c>
    </row>
    <row r="88" spans="1:16" s="10" customFormat="1" ht="15">
      <c r="A88" s="86">
        <v>84</v>
      </c>
      <c r="B88" s="25"/>
      <c r="C88" s="298" t="s">
        <v>286</v>
      </c>
      <c r="D88" s="39">
        <v>38618</v>
      </c>
      <c r="E88" s="251" t="s">
        <v>63</v>
      </c>
      <c r="F88" s="251" t="s">
        <v>64</v>
      </c>
      <c r="G88" s="96">
        <v>52</v>
      </c>
      <c r="H88" s="96">
        <v>6</v>
      </c>
      <c r="I88" s="96">
        <v>12</v>
      </c>
      <c r="J88" s="316">
        <v>307</v>
      </c>
      <c r="K88" s="300">
        <v>40</v>
      </c>
      <c r="L88" s="301">
        <f>+K88/H88</f>
        <v>6.666666666666667</v>
      </c>
      <c r="M88" s="241">
        <f>+J88/K88</f>
        <v>7.675</v>
      </c>
      <c r="N88" s="299">
        <f>214930+149784+79575+34507+28235+7805+8882+1840+1141+476+315+307</f>
        <v>527797</v>
      </c>
      <c r="O88" s="300">
        <f>29573+20735+11883+7691+5761+1662+1877+402+342+127+63+40</f>
        <v>80156</v>
      </c>
      <c r="P88" s="244">
        <f>+N88/O88</f>
        <v>6.5846224861520035</v>
      </c>
    </row>
    <row r="89" spans="1:16" s="10" customFormat="1" ht="15">
      <c r="A89" s="86">
        <v>85</v>
      </c>
      <c r="B89" s="25"/>
      <c r="C89" s="298" t="s">
        <v>103</v>
      </c>
      <c r="D89" s="39">
        <v>38842</v>
      </c>
      <c r="E89" s="251" t="s">
        <v>63</v>
      </c>
      <c r="F89" s="251" t="s">
        <v>104</v>
      </c>
      <c r="G89" s="96">
        <v>40</v>
      </c>
      <c r="H89" s="96">
        <v>2</v>
      </c>
      <c r="I89" s="96">
        <v>9</v>
      </c>
      <c r="J89" s="316">
        <v>275</v>
      </c>
      <c r="K89" s="300">
        <v>62</v>
      </c>
      <c r="L89" s="301">
        <f>+K89/H89</f>
        <v>31</v>
      </c>
      <c r="M89" s="241">
        <f>+J89/K89</f>
        <v>4.435483870967742</v>
      </c>
      <c r="N89" s="299">
        <f>38973.5+16801.5+3724.5+1143.5+878.5+1522+359+3464+275</f>
        <v>67141.5</v>
      </c>
      <c r="O89" s="300">
        <f>6538+2897+696+259+197+344+86+866+62</f>
        <v>11945</v>
      </c>
      <c r="P89" s="244">
        <f>+N89/O89</f>
        <v>5.620887400586019</v>
      </c>
    </row>
    <row r="90" spans="1:16" s="10" customFormat="1" ht="15">
      <c r="A90" s="86">
        <v>86</v>
      </c>
      <c r="B90" s="25"/>
      <c r="C90" s="294" t="s">
        <v>81</v>
      </c>
      <c r="D90" s="27">
        <v>38814</v>
      </c>
      <c r="E90" s="256" t="s">
        <v>60</v>
      </c>
      <c r="F90" s="256" t="s">
        <v>82</v>
      </c>
      <c r="G90" s="140">
        <v>124</v>
      </c>
      <c r="H90" s="140">
        <v>2</v>
      </c>
      <c r="I90" s="140">
        <v>13</v>
      </c>
      <c r="J90" s="315">
        <v>265</v>
      </c>
      <c r="K90" s="296">
        <v>82</v>
      </c>
      <c r="L90" s="297">
        <f>K90/H90</f>
        <v>41</v>
      </c>
      <c r="M90" s="240">
        <f>J90/K90</f>
        <v>3.231707317073171</v>
      </c>
      <c r="N90" s="295">
        <f>439414+274192+192421+64.5+69171.5+43293.5-3918+20352-1014+12440+194+1138+1592+2424+1929+445+265</f>
        <v>1054403.5</v>
      </c>
      <c r="O90" s="296">
        <f>65914+42392+32259+2+13519+9474-1031+5275-202+2638+58+320+376+596+488+111+82</f>
        <v>172271</v>
      </c>
      <c r="P90" s="244">
        <f>+N90/O90</f>
        <v>6.120609388695717</v>
      </c>
    </row>
    <row r="91" spans="1:16" s="10" customFormat="1" ht="15">
      <c r="A91" s="86">
        <v>87</v>
      </c>
      <c r="B91" s="25"/>
      <c r="C91" s="294" t="s">
        <v>87</v>
      </c>
      <c r="D91" s="27">
        <v>38821</v>
      </c>
      <c r="E91" s="256" t="s">
        <v>60</v>
      </c>
      <c r="F91" s="256" t="s">
        <v>86</v>
      </c>
      <c r="G91" s="140">
        <v>32</v>
      </c>
      <c r="H91" s="140">
        <v>1</v>
      </c>
      <c r="I91" s="140">
        <v>12</v>
      </c>
      <c r="J91" s="315">
        <v>232</v>
      </c>
      <c r="K91" s="296">
        <v>59</v>
      </c>
      <c r="L91" s="297">
        <f>K91/H91</f>
        <v>59</v>
      </c>
      <c r="M91" s="240">
        <f>J91/K91</f>
        <v>3.9322033898305087</v>
      </c>
      <c r="N91" s="295">
        <f>122911+88335.5+16+40828.5+16007.5+37291.5+2997+4262.5+1548.5+1019+773+795+232</f>
        <v>317017</v>
      </c>
      <c r="O91" s="296">
        <f>13093+9562-3+4800+2670+6683+902+881+241+192+176+168+59</f>
        <v>39424</v>
      </c>
      <c r="P91" s="244">
        <f>+N91/O91</f>
        <v>8.041218547077921</v>
      </c>
    </row>
    <row r="92" spans="1:16" s="10" customFormat="1" ht="15">
      <c r="A92" s="86">
        <v>88</v>
      </c>
      <c r="B92" s="25"/>
      <c r="C92" s="104" t="s">
        <v>133</v>
      </c>
      <c r="D92" s="39">
        <v>38758</v>
      </c>
      <c r="E92" s="254" t="s">
        <v>123</v>
      </c>
      <c r="F92" s="254" t="s">
        <v>134</v>
      </c>
      <c r="G92" s="96">
        <v>4</v>
      </c>
      <c r="H92" s="96">
        <v>2</v>
      </c>
      <c r="I92" s="96">
        <v>19</v>
      </c>
      <c r="J92" s="316">
        <v>196</v>
      </c>
      <c r="K92" s="300">
        <v>55</v>
      </c>
      <c r="L92" s="297">
        <f>K92/H92</f>
        <v>27.5</v>
      </c>
      <c r="M92" s="240">
        <f>J92/K92</f>
        <v>3.5636363636363635</v>
      </c>
      <c r="N92" s="299">
        <f>12456+7990+4147+1031+2942.5+1687.5+5526.5+3841.5+1352.5+925+2425+2735+1963+2610.5+374+1948+1054+1475.5+196</f>
        <v>56680.5</v>
      </c>
      <c r="O92" s="300">
        <f>1552+1090+669+166+430+252+1516+804+308+163+443+768+612+467+81+595+318+329+55</f>
        <v>10618</v>
      </c>
      <c r="P92" s="244">
        <f>+N92/O92</f>
        <v>5.338152194386891</v>
      </c>
    </row>
    <row r="93" spans="1:16" s="10" customFormat="1" ht="15">
      <c r="A93" s="86">
        <v>89</v>
      </c>
      <c r="B93" s="25"/>
      <c r="C93" s="298" t="s">
        <v>287</v>
      </c>
      <c r="D93" s="39">
        <v>38653</v>
      </c>
      <c r="E93" s="251" t="s">
        <v>61</v>
      </c>
      <c r="F93" s="251" t="s">
        <v>72</v>
      </c>
      <c r="G93" s="96">
        <v>92</v>
      </c>
      <c r="H93" s="96">
        <v>2</v>
      </c>
      <c r="I93" s="96">
        <v>36</v>
      </c>
      <c r="J93" s="318">
        <v>192</v>
      </c>
      <c r="K93" s="300">
        <v>38</v>
      </c>
      <c r="L93" s="297">
        <f>K93/H93</f>
        <v>19</v>
      </c>
      <c r="M93" s="240">
        <f>J93/K93</f>
        <v>5.052631578947368</v>
      </c>
      <c r="N93" s="303">
        <v>1040514</v>
      </c>
      <c r="O93" s="300">
        <v>151671</v>
      </c>
      <c r="P93" s="244">
        <f>+N93/O93</f>
        <v>6.86033585853591</v>
      </c>
    </row>
    <row r="94" spans="1:16" s="10" customFormat="1" ht="15">
      <c r="A94" s="86">
        <v>90</v>
      </c>
      <c r="B94" s="25"/>
      <c r="C94" s="104" t="s">
        <v>127</v>
      </c>
      <c r="D94" s="39">
        <v>38744</v>
      </c>
      <c r="E94" s="254" t="s">
        <v>123</v>
      </c>
      <c r="F94" s="254" t="s">
        <v>184</v>
      </c>
      <c r="G94" s="96">
        <v>7</v>
      </c>
      <c r="H94" s="96">
        <v>1</v>
      </c>
      <c r="I94" s="96">
        <v>20</v>
      </c>
      <c r="J94" s="316">
        <v>165</v>
      </c>
      <c r="K94" s="300">
        <v>21</v>
      </c>
      <c r="L94" s="297">
        <f>K94/H94</f>
        <v>21</v>
      </c>
      <c r="M94" s="240">
        <f>J94/K94</f>
        <v>7.857142857142857</v>
      </c>
      <c r="N94" s="299">
        <f>23060.5+7183+3670+700+2376+2273+1430+3390+1771.5+3246+11360+7257.5+2859+2510+4107+155+170+490+579+165</f>
        <v>78752.5</v>
      </c>
      <c r="O94" s="300">
        <f>2772+1034+467+35+792+451+260+597+327+776+1582+1115+514+499+716+31+45+79+173+21</f>
        <v>12286</v>
      </c>
      <c r="P94" s="244">
        <f>+N94/O94</f>
        <v>6.409938140973466</v>
      </c>
    </row>
    <row r="95" spans="1:16" s="10" customFormat="1" ht="15">
      <c r="A95" s="86">
        <v>91</v>
      </c>
      <c r="B95" s="25"/>
      <c r="C95" s="298" t="s">
        <v>39</v>
      </c>
      <c r="D95" s="39">
        <v>38779</v>
      </c>
      <c r="E95" s="251" t="s">
        <v>61</v>
      </c>
      <c r="F95" s="251" t="s">
        <v>66</v>
      </c>
      <c r="G95" s="96">
        <v>60</v>
      </c>
      <c r="H95" s="96">
        <v>1</v>
      </c>
      <c r="I95" s="96">
        <v>18</v>
      </c>
      <c r="J95" s="316">
        <v>126</v>
      </c>
      <c r="K95" s="300">
        <v>21</v>
      </c>
      <c r="L95" s="297">
        <f>K95/H95</f>
        <v>21</v>
      </c>
      <c r="M95" s="240">
        <f>J95/K95</f>
        <v>6</v>
      </c>
      <c r="N95" s="299">
        <v>974524</v>
      </c>
      <c r="O95" s="300">
        <v>145261</v>
      </c>
      <c r="P95" s="244">
        <f>+N95/O95</f>
        <v>6.708779369548606</v>
      </c>
    </row>
    <row r="96" spans="1:16" s="10" customFormat="1" ht="15">
      <c r="A96" s="86">
        <v>92</v>
      </c>
      <c r="B96" s="25"/>
      <c r="C96" s="104" t="s">
        <v>277</v>
      </c>
      <c r="D96" s="39">
        <v>38688</v>
      </c>
      <c r="E96" s="254" t="s">
        <v>123</v>
      </c>
      <c r="F96" s="254" t="s">
        <v>172</v>
      </c>
      <c r="G96" s="96">
        <v>2</v>
      </c>
      <c r="H96" s="96">
        <v>1</v>
      </c>
      <c r="I96" s="96">
        <v>16</v>
      </c>
      <c r="J96" s="316">
        <v>108</v>
      </c>
      <c r="K96" s="300">
        <v>36</v>
      </c>
      <c r="L96" s="297">
        <f>K96/H96</f>
        <v>36</v>
      </c>
      <c r="M96" s="240">
        <f>J96/K96</f>
        <v>3</v>
      </c>
      <c r="N96" s="299">
        <f>9081+6367+5550.5+2849+1028+105+60+1038+1128+85+27+1188+831+1782+1509+108</f>
        <v>32736.5</v>
      </c>
      <c r="O96" s="300">
        <f>1142+792+838+412+162+13+8+158+367+15+5+396+277+594+503+36</f>
        <v>5718</v>
      </c>
      <c r="P96" s="244">
        <f>+N96/O96</f>
        <v>5.725166142007695</v>
      </c>
    </row>
    <row r="97" spans="1:16" s="10" customFormat="1" ht="15">
      <c r="A97" s="86">
        <v>93</v>
      </c>
      <c r="B97" s="25"/>
      <c r="C97" s="294" t="s">
        <v>179</v>
      </c>
      <c r="D97" s="27">
        <v>38793</v>
      </c>
      <c r="E97" s="256" t="s">
        <v>43</v>
      </c>
      <c r="F97" s="256" t="s">
        <v>180</v>
      </c>
      <c r="G97" s="140">
        <v>2</v>
      </c>
      <c r="H97" s="140">
        <v>1</v>
      </c>
      <c r="I97" s="140">
        <v>10</v>
      </c>
      <c r="J97" s="317">
        <v>100</v>
      </c>
      <c r="K97" s="297">
        <v>17</v>
      </c>
      <c r="L97" s="301">
        <f>IF(J97&lt;&gt;0,K97/H97,"")</f>
        <v>17</v>
      </c>
      <c r="M97" s="241">
        <f>IF(J97&lt;&gt;0,J97/K97,"")</f>
        <v>5.882352941176471</v>
      </c>
      <c r="N97" s="302">
        <f>21147.5+3690+1708+783+1453+1727.5+1306.5+559+1606+100</f>
        <v>34080.5</v>
      </c>
      <c r="O97" s="300">
        <f>2248+452+253+99+248+260+197+81+374+17</f>
        <v>4229</v>
      </c>
      <c r="P97" s="244">
        <f>+N97/O97</f>
        <v>8.058760936391582</v>
      </c>
    </row>
    <row r="98" spans="1:16" s="10" customFormat="1" ht="15">
      <c r="A98" s="86">
        <v>94</v>
      </c>
      <c r="B98" s="25"/>
      <c r="C98" s="104" t="s">
        <v>187</v>
      </c>
      <c r="D98" s="39">
        <v>38779</v>
      </c>
      <c r="E98" s="254" t="s">
        <v>123</v>
      </c>
      <c r="F98" s="254" t="s">
        <v>188</v>
      </c>
      <c r="G98" s="96">
        <v>6</v>
      </c>
      <c r="H98" s="96">
        <v>1</v>
      </c>
      <c r="I98" s="96">
        <v>6</v>
      </c>
      <c r="J98" s="316">
        <v>96</v>
      </c>
      <c r="K98" s="300">
        <v>32</v>
      </c>
      <c r="L98" s="297">
        <f>K98/H98</f>
        <v>32</v>
      </c>
      <c r="M98" s="240">
        <f>J98/K98</f>
        <v>3</v>
      </c>
      <c r="N98" s="299">
        <f>9397.5+2137+188+1545+1416+96</f>
        <v>14779.5</v>
      </c>
      <c r="O98" s="300">
        <f>1039+275+26+515+419+32</f>
        <v>2306</v>
      </c>
      <c r="P98" s="244">
        <f>+N98/O98</f>
        <v>6.409150043365134</v>
      </c>
    </row>
    <row r="99" spans="1:16" s="10" customFormat="1" ht="15">
      <c r="A99" s="86">
        <v>95</v>
      </c>
      <c r="B99" s="25"/>
      <c r="C99" s="104" t="s">
        <v>276</v>
      </c>
      <c r="D99" s="39">
        <v>38499</v>
      </c>
      <c r="E99" s="254" t="s">
        <v>123</v>
      </c>
      <c r="F99" s="254" t="s">
        <v>172</v>
      </c>
      <c r="G99" s="96">
        <v>4</v>
      </c>
      <c r="H99" s="96">
        <v>1</v>
      </c>
      <c r="I99" s="96">
        <v>27</v>
      </c>
      <c r="J99" s="316">
        <v>87</v>
      </c>
      <c r="K99" s="300">
        <v>29</v>
      </c>
      <c r="L99" s="297">
        <f>K99/H99</f>
        <v>29</v>
      </c>
      <c r="M99" s="240">
        <f>J99/K99</f>
        <v>3</v>
      </c>
      <c r="N99" s="299">
        <f>22778+10601+8594+4583+9364.5+3598+6225.5+6523+4933.5+4428+3825.5+3189+3765.5+5757.5+4033+4106+4021+2190+1121.5+3123+2905+177+1545+831+202+831+87</f>
        <v>123338.5</v>
      </c>
      <c r="O99" s="300">
        <f>2789+1727+1388+680+1807+625+989+1020+889+910+721+589+638+984+701+821+834+332+182+881+915+58+515+277+59+277+29</f>
        <v>21637</v>
      </c>
      <c r="P99" s="244">
        <f>+N99/O99</f>
        <v>5.7003512501733145</v>
      </c>
    </row>
    <row r="100" spans="1:16" s="10" customFormat="1" ht="15">
      <c r="A100" s="86">
        <v>96</v>
      </c>
      <c r="B100" s="25"/>
      <c r="C100" s="294" t="s">
        <v>27</v>
      </c>
      <c r="D100" s="27">
        <v>38716</v>
      </c>
      <c r="E100" s="256" t="s">
        <v>60</v>
      </c>
      <c r="F100" s="256" t="s">
        <v>67</v>
      </c>
      <c r="G100" s="140">
        <v>60</v>
      </c>
      <c r="H100" s="140">
        <v>1</v>
      </c>
      <c r="I100" s="140">
        <v>17</v>
      </c>
      <c r="J100" s="315">
        <v>71</v>
      </c>
      <c r="K100" s="296">
        <v>17</v>
      </c>
      <c r="L100" s="297">
        <f>K100/H100</f>
        <v>17</v>
      </c>
      <c r="M100" s="240">
        <f>J100/K100</f>
        <v>4.176470588235294</v>
      </c>
      <c r="N100" s="295">
        <f>585119+1780+1044+82.5+240+71</f>
        <v>588336.5</v>
      </c>
      <c r="O100" s="296">
        <f>83689+369+235+15+48+17</f>
        <v>84373</v>
      </c>
      <c r="P100" s="244">
        <f>+N100/O100</f>
        <v>6.973042323966197</v>
      </c>
    </row>
    <row r="101" spans="1:16" s="10" customFormat="1" ht="15">
      <c r="A101" s="86">
        <v>97</v>
      </c>
      <c r="B101" s="25"/>
      <c r="C101" s="104" t="s">
        <v>269</v>
      </c>
      <c r="D101" s="39">
        <v>38639</v>
      </c>
      <c r="E101" s="254" t="s">
        <v>123</v>
      </c>
      <c r="F101" s="254" t="s">
        <v>270</v>
      </c>
      <c r="G101" s="96">
        <v>7</v>
      </c>
      <c r="H101" s="96">
        <v>1</v>
      </c>
      <c r="I101" s="96">
        <v>16</v>
      </c>
      <c r="J101" s="316">
        <v>66</v>
      </c>
      <c r="K101" s="300">
        <v>22</v>
      </c>
      <c r="L101" s="297">
        <f>K101/H101</f>
        <v>22</v>
      </c>
      <c r="M101" s="240">
        <f>J101/K101</f>
        <v>3</v>
      </c>
      <c r="N101" s="299">
        <f>28963.5+28618+20693+7789.5+4183+3517+224+3660+150+741+315+957+2019+413+1509+66</f>
        <v>103818</v>
      </c>
      <c r="O101" s="300">
        <f>3714+3514+2496+1322+559+1053+41+881+30+141+105+319+673+69+503+22</f>
        <v>15442</v>
      </c>
      <c r="P101" s="244">
        <f>+N101/O101</f>
        <v>6.723092863618702</v>
      </c>
    </row>
    <row r="102" spans="1:16" s="10" customFormat="1" ht="15">
      <c r="A102" s="86">
        <v>98</v>
      </c>
      <c r="B102" s="25"/>
      <c r="C102" s="104" t="s">
        <v>278</v>
      </c>
      <c r="D102" s="39">
        <v>38520</v>
      </c>
      <c r="E102" s="254" t="s">
        <v>123</v>
      </c>
      <c r="F102" s="254" t="s">
        <v>172</v>
      </c>
      <c r="G102" s="96">
        <v>2</v>
      </c>
      <c r="H102" s="96">
        <v>1</v>
      </c>
      <c r="I102" s="96">
        <v>22</v>
      </c>
      <c r="J102" s="316">
        <v>36</v>
      </c>
      <c r="K102" s="300">
        <v>12</v>
      </c>
      <c r="L102" s="297">
        <f>K102/H102</f>
        <v>12</v>
      </c>
      <c r="M102" s="240">
        <f>J102/K102</f>
        <v>3</v>
      </c>
      <c r="N102" s="299">
        <f>11460+4486+1917+5649+1921+4419.5+2697.5+3893+2316+2457.5+1307+659.5+1738+1545+458+951+2376+246.5+211+162+232+36</f>
        <v>51138.5</v>
      </c>
      <c r="O102" s="300">
        <f>1398+789+237+833+250+754+477+600+452+378+243+147+330+455+70+317+792+80+35+54+58+12</f>
        <v>8761</v>
      </c>
      <c r="P102" s="244">
        <f>+N102/O102</f>
        <v>5.837061979226116</v>
      </c>
    </row>
    <row r="103" spans="1:16" s="10" customFormat="1" ht="15">
      <c r="A103" s="86">
        <v>99</v>
      </c>
      <c r="B103" s="25"/>
      <c r="C103" s="104" t="s">
        <v>279</v>
      </c>
      <c r="D103" s="39">
        <v>38709</v>
      </c>
      <c r="E103" s="254" t="s">
        <v>123</v>
      </c>
      <c r="F103" s="254" t="s">
        <v>257</v>
      </c>
      <c r="G103" s="96">
        <v>2</v>
      </c>
      <c r="H103" s="96">
        <v>1</v>
      </c>
      <c r="I103" s="96">
        <v>14</v>
      </c>
      <c r="J103" s="316">
        <v>33</v>
      </c>
      <c r="K103" s="300">
        <v>11</v>
      </c>
      <c r="L103" s="297">
        <f>K103/H103</f>
        <v>11</v>
      </c>
      <c r="M103" s="240">
        <f>J103/K103</f>
        <v>3</v>
      </c>
      <c r="N103" s="299">
        <f>3016+2037+320+565+129+831+855+594+1425+1188+1144+47+2340+33</f>
        <v>14524</v>
      </c>
      <c r="O103" s="300">
        <f>411+260+76+113+17+277+285+198+475+396+370+9+780+11</f>
        <v>3678</v>
      </c>
      <c r="P103" s="244">
        <f>+N103/O103</f>
        <v>3.948885263730288</v>
      </c>
    </row>
    <row r="104" spans="1:16" s="10" customFormat="1" ht="15">
      <c r="A104" s="86">
        <v>100</v>
      </c>
      <c r="B104" s="25"/>
      <c r="C104" s="298" t="s">
        <v>38</v>
      </c>
      <c r="D104" s="39">
        <v>38695</v>
      </c>
      <c r="E104" s="251" t="s">
        <v>61</v>
      </c>
      <c r="F104" s="251" t="s">
        <v>66</v>
      </c>
      <c r="G104" s="96">
        <v>96</v>
      </c>
      <c r="H104" s="96">
        <v>1</v>
      </c>
      <c r="I104" s="96">
        <v>30</v>
      </c>
      <c r="J104" s="318">
        <v>24</v>
      </c>
      <c r="K104" s="300">
        <v>4</v>
      </c>
      <c r="L104" s="297">
        <f>K104/H104</f>
        <v>4</v>
      </c>
      <c r="M104" s="240">
        <f>J104/K104</f>
        <v>6</v>
      </c>
      <c r="N104" s="303">
        <v>1926495</v>
      </c>
      <c r="O104" s="300">
        <v>282246</v>
      </c>
      <c r="P104" s="244">
        <f>+N104/O104</f>
        <v>6.825588316574903</v>
      </c>
    </row>
    <row r="105" spans="1:16" s="10" customFormat="1" ht="15">
      <c r="A105" s="86">
        <v>101</v>
      </c>
      <c r="B105" s="25"/>
      <c r="C105" s="104" t="s">
        <v>183</v>
      </c>
      <c r="D105" s="39">
        <v>38751</v>
      </c>
      <c r="E105" s="254" t="s">
        <v>123</v>
      </c>
      <c r="F105" s="254" t="s">
        <v>184</v>
      </c>
      <c r="G105" s="96">
        <v>1</v>
      </c>
      <c r="H105" s="96">
        <v>1</v>
      </c>
      <c r="I105" s="96">
        <v>11</v>
      </c>
      <c r="J105" s="316">
        <v>22</v>
      </c>
      <c r="K105" s="300">
        <v>4</v>
      </c>
      <c r="L105" s="297">
        <f>K105/H105</f>
        <v>4</v>
      </c>
      <c r="M105" s="240">
        <f>J105/K105</f>
        <v>5.5</v>
      </c>
      <c r="N105" s="299">
        <f>6339+5656+3753+2609+448+675+1816+2430+1068+117+22</f>
        <v>24933</v>
      </c>
      <c r="O105" s="300">
        <f>796+708+467+329+60+87+264+364+356+20+4</f>
        <v>3455</v>
      </c>
      <c r="P105" s="244">
        <f>+N105/O105</f>
        <v>7.2164978292329955</v>
      </c>
    </row>
    <row r="106" spans="1:16" s="10" customFormat="1" ht="15.75" thickBot="1">
      <c r="A106" s="86">
        <v>102</v>
      </c>
      <c r="B106" s="49"/>
      <c r="C106" s="312" t="s">
        <v>265</v>
      </c>
      <c r="D106" s="235">
        <v>38660</v>
      </c>
      <c r="E106" s="261" t="s">
        <v>123</v>
      </c>
      <c r="F106" s="261" t="s">
        <v>266</v>
      </c>
      <c r="G106" s="236">
        <v>8</v>
      </c>
      <c r="H106" s="236">
        <v>1</v>
      </c>
      <c r="I106" s="236">
        <v>15</v>
      </c>
      <c r="J106" s="319">
        <v>15</v>
      </c>
      <c r="K106" s="310">
        <v>5</v>
      </c>
      <c r="L106" s="311">
        <f>K106/H106</f>
        <v>5</v>
      </c>
      <c r="M106" s="248">
        <f>J106/K106</f>
        <v>3</v>
      </c>
      <c r="N106" s="313">
        <f>37589.5+21430+10735+7513+3397+2698.5+1694+1188+1068+61+66+192+2376+831+15</f>
        <v>90854</v>
      </c>
      <c r="O106" s="310">
        <f>4953+2834+1525+1678+808+620+471+396+356+11+12+30+792+277+5</f>
        <v>14768</v>
      </c>
      <c r="P106" s="249">
        <f>+N106/O106</f>
        <v>6.152085590465872</v>
      </c>
    </row>
    <row r="107" spans="1:16" s="31" customFormat="1" ht="15">
      <c r="A107" s="87"/>
      <c r="B107" s="197"/>
      <c r="C107" s="198" t="s">
        <v>45</v>
      </c>
      <c r="D107" s="199"/>
      <c r="E107" s="198" t="s">
        <v>233</v>
      </c>
      <c r="F107" s="198"/>
      <c r="G107" s="200"/>
      <c r="H107" s="201">
        <f>SUM(H5:H106)</f>
        <v>1184</v>
      </c>
      <c r="I107" s="200"/>
      <c r="J107" s="202">
        <f>SUM(J5:J106)</f>
        <v>1554433</v>
      </c>
      <c r="K107" s="203">
        <f>SUM(K5:K106)</f>
        <v>237307</v>
      </c>
      <c r="L107" s="203">
        <f>K107/H107</f>
        <v>200.42820945945945</v>
      </c>
      <c r="M107" s="204">
        <f>J107/K107</f>
        <v>6.5503040365433804</v>
      </c>
      <c r="N107" s="205"/>
      <c r="O107" s="203"/>
      <c r="P107" s="206"/>
    </row>
    <row r="108" spans="1:16" s="31" customFormat="1" ht="15">
      <c r="A108" s="87"/>
      <c r="B108" s="120"/>
      <c r="C108" s="97" t="s">
        <v>44</v>
      </c>
      <c r="D108" s="98"/>
      <c r="E108" s="97" t="s">
        <v>233</v>
      </c>
      <c r="F108" s="97"/>
      <c r="G108" s="99"/>
      <c r="H108" s="100">
        <v>1214</v>
      </c>
      <c r="I108" s="99"/>
      <c r="J108" s="182">
        <v>1731551.5</v>
      </c>
      <c r="K108" s="109">
        <v>256355</v>
      </c>
      <c r="L108" s="195">
        <v>211</v>
      </c>
      <c r="M108" s="101">
        <v>6.75</v>
      </c>
      <c r="N108" s="184"/>
      <c r="O108" s="109"/>
      <c r="P108" s="188"/>
    </row>
    <row r="109" spans="1:16" s="31" customFormat="1" ht="15.75" thickBot="1">
      <c r="A109" s="87"/>
      <c r="B109" s="121"/>
      <c r="C109" s="122" t="s">
        <v>78</v>
      </c>
      <c r="D109" s="123"/>
      <c r="E109" s="122" t="s">
        <v>246</v>
      </c>
      <c r="F109" s="122"/>
      <c r="G109" s="124"/>
      <c r="H109" s="125">
        <v>987</v>
      </c>
      <c r="I109" s="124"/>
      <c r="J109" s="183">
        <v>3081713.5</v>
      </c>
      <c r="K109" s="126">
        <v>455460</v>
      </c>
      <c r="L109" s="126">
        <f>K109/H109</f>
        <v>461.45896656534956</v>
      </c>
      <c r="M109" s="127">
        <f>J109/K109</f>
        <v>6.766156193738198</v>
      </c>
      <c r="N109" s="185"/>
      <c r="O109" s="126"/>
      <c r="P109" s="189"/>
    </row>
    <row r="110" spans="1:17" s="10" customFormat="1" ht="15.75" thickBot="1">
      <c r="A110" s="88"/>
      <c r="B110" s="9"/>
      <c r="D110" s="29"/>
      <c r="E110" s="34"/>
      <c r="F110" s="34"/>
      <c r="G110" s="11"/>
      <c r="H110" s="11"/>
      <c r="I110" s="11"/>
      <c r="J110" s="52"/>
      <c r="K110" s="106"/>
      <c r="L110" s="107"/>
      <c r="M110" s="46"/>
      <c r="N110" s="186"/>
      <c r="O110" s="107"/>
      <c r="P110" s="190"/>
      <c r="Q110" s="12"/>
    </row>
    <row r="111" spans="1:17" s="10" customFormat="1" ht="13.5" customHeight="1">
      <c r="A111" s="88"/>
      <c r="B111" s="9"/>
      <c r="C111" s="275" t="s">
        <v>47</v>
      </c>
      <c r="D111" s="276"/>
      <c r="E111" s="267" t="s">
        <v>5</v>
      </c>
      <c r="F111" s="268"/>
      <c r="G111" s="269"/>
      <c r="H111" s="47"/>
      <c r="I111" s="11"/>
      <c r="J111" s="52"/>
      <c r="K111" s="106"/>
      <c r="L111" s="279" t="s">
        <v>40</v>
      </c>
      <c r="M111" s="279"/>
      <c r="N111" s="279"/>
      <c r="O111" s="279"/>
      <c r="P111" s="279"/>
      <c r="Q111" s="48"/>
    </row>
    <row r="112" spans="1:16" s="10" customFormat="1" ht="15.75" thickBot="1">
      <c r="A112" s="88"/>
      <c r="B112" s="9"/>
      <c r="C112" s="277"/>
      <c r="D112" s="278"/>
      <c r="E112" s="17" t="s">
        <v>213</v>
      </c>
      <c r="F112" s="19" t="s">
        <v>6</v>
      </c>
      <c r="G112" s="20" t="s">
        <v>7</v>
      </c>
      <c r="H112" s="11"/>
      <c r="I112" s="54"/>
      <c r="J112" s="52"/>
      <c r="K112" s="107"/>
      <c r="L112" s="279"/>
      <c r="M112" s="279"/>
      <c r="N112" s="279"/>
      <c r="O112" s="279"/>
      <c r="P112" s="279"/>
    </row>
    <row r="113" spans="1:16" s="10" customFormat="1" ht="15">
      <c r="A113" s="88"/>
      <c r="B113" s="9"/>
      <c r="C113" s="18" t="s">
        <v>30</v>
      </c>
      <c r="D113" s="32" t="s">
        <v>142</v>
      </c>
      <c r="E113" s="21" t="s">
        <v>9</v>
      </c>
      <c r="F113" s="220" t="s">
        <v>288</v>
      </c>
      <c r="G113" s="221" t="s">
        <v>289</v>
      </c>
      <c r="H113" s="11"/>
      <c r="I113" s="54"/>
      <c r="J113" s="52"/>
      <c r="K113" s="107"/>
      <c r="L113" s="279"/>
      <c r="M113" s="279"/>
      <c r="N113" s="279"/>
      <c r="O113" s="279"/>
      <c r="P113" s="279"/>
    </row>
    <row r="114" spans="1:16" s="10" customFormat="1" ht="15">
      <c r="A114" s="88"/>
      <c r="B114" s="9"/>
      <c r="C114" s="14" t="s">
        <v>31</v>
      </c>
      <c r="D114" s="26">
        <f>K6+K9+K11+K14+K28</f>
        <v>47157</v>
      </c>
      <c r="E114" s="22" t="s">
        <v>10</v>
      </c>
      <c r="F114" s="222" t="s">
        <v>290</v>
      </c>
      <c r="G114" s="223" t="s">
        <v>291</v>
      </c>
      <c r="H114" s="11"/>
      <c r="I114" s="54"/>
      <c r="J114" s="52"/>
      <c r="K114" s="107"/>
      <c r="L114" s="107"/>
      <c r="M114" s="46"/>
      <c r="N114" s="43"/>
      <c r="O114" s="107"/>
      <c r="P114" s="46"/>
    </row>
    <row r="115" spans="1:16" s="10" customFormat="1" ht="15">
      <c r="A115" s="88"/>
      <c r="B115" s="9"/>
      <c r="C115" s="14"/>
      <c r="D115" s="40"/>
      <c r="E115" s="22" t="s">
        <v>11</v>
      </c>
      <c r="F115" s="222" t="s">
        <v>292</v>
      </c>
      <c r="G115" s="223" t="s">
        <v>293</v>
      </c>
      <c r="H115" s="11"/>
      <c r="I115" s="54"/>
      <c r="J115" s="52"/>
      <c r="K115" s="107"/>
      <c r="L115" s="107"/>
      <c r="M115" s="46"/>
      <c r="N115" s="43"/>
      <c r="O115" s="107"/>
      <c r="P115" s="46"/>
    </row>
    <row r="116" spans="1:16" s="10" customFormat="1" ht="15">
      <c r="A116" s="88"/>
      <c r="B116" s="9"/>
      <c r="C116" s="14"/>
      <c r="D116" s="40"/>
      <c r="E116" s="22" t="s">
        <v>12</v>
      </c>
      <c r="F116" s="222" t="s">
        <v>294</v>
      </c>
      <c r="G116" s="223" t="s">
        <v>295</v>
      </c>
      <c r="H116" s="11"/>
      <c r="I116" s="54"/>
      <c r="J116" s="52"/>
      <c r="K116" s="107"/>
      <c r="L116" s="107"/>
      <c r="M116" s="46"/>
      <c r="N116" s="43"/>
      <c r="O116" s="107"/>
      <c r="P116" s="46"/>
    </row>
    <row r="117" spans="1:16" s="10" customFormat="1" ht="15.75" thickBot="1">
      <c r="A117" s="88"/>
      <c r="B117" s="9"/>
      <c r="C117" s="15"/>
      <c r="D117" s="41"/>
      <c r="E117" s="23"/>
      <c r="F117" s="16"/>
      <c r="G117" s="13"/>
      <c r="H117" s="11"/>
      <c r="I117" s="54"/>
      <c r="J117" s="52"/>
      <c r="K117" s="107"/>
      <c r="L117" s="107"/>
      <c r="M117" s="46"/>
      <c r="N117" s="43"/>
      <c r="O117" s="107"/>
      <c r="P117" s="190"/>
    </row>
    <row r="118" spans="1:16" s="10" customFormat="1" ht="15.75" thickBot="1">
      <c r="A118" s="88"/>
      <c r="B118" s="9"/>
      <c r="D118" s="29"/>
      <c r="E118" s="34"/>
      <c r="F118" s="34"/>
      <c r="G118" s="11"/>
      <c r="H118" s="11"/>
      <c r="I118" s="11"/>
      <c r="J118" s="52"/>
      <c r="K118" s="107"/>
      <c r="L118" s="107"/>
      <c r="M118" s="46"/>
      <c r="N118" s="43"/>
      <c r="O118" s="107"/>
      <c r="P118" s="190"/>
    </row>
    <row r="119" spans="1:16" s="65" customFormat="1" ht="21.75" customHeight="1">
      <c r="A119" s="88"/>
      <c r="B119" s="58"/>
      <c r="C119" s="59" t="s">
        <v>46</v>
      </c>
      <c r="D119" s="270" t="s">
        <v>2</v>
      </c>
      <c r="E119" s="271"/>
      <c r="F119" s="271"/>
      <c r="G119" s="272"/>
      <c r="H119" s="60"/>
      <c r="I119" s="61"/>
      <c r="J119" s="62"/>
      <c r="K119" s="110"/>
      <c r="L119" s="110"/>
      <c r="M119" s="63"/>
      <c r="N119" s="64"/>
      <c r="O119" s="110"/>
      <c r="P119" s="191"/>
    </row>
    <row r="120" spans="1:16" s="65" customFormat="1" ht="15.75" thickBot="1">
      <c r="A120" s="88"/>
      <c r="B120" s="58"/>
      <c r="C120" s="66"/>
      <c r="D120" s="67" t="s">
        <v>3</v>
      </c>
      <c r="E120" s="68" t="s">
        <v>18</v>
      </c>
      <c r="F120" s="68" t="s">
        <v>4</v>
      </c>
      <c r="G120" s="207" t="s">
        <v>8</v>
      </c>
      <c r="H120" s="61"/>
      <c r="I120" s="70"/>
      <c r="J120" s="62"/>
      <c r="K120" s="110"/>
      <c r="L120" s="110"/>
      <c r="M120" s="63"/>
      <c r="N120" s="64"/>
      <c r="O120" s="110"/>
      <c r="P120" s="191"/>
    </row>
    <row r="121" spans="1:16" s="65" customFormat="1" ht="15">
      <c r="A121" s="86">
        <v>1</v>
      </c>
      <c r="B121" s="58"/>
      <c r="C121" s="71" t="s">
        <v>32</v>
      </c>
      <c r="D121" s="72">
        <v>21</v>
      </c>
      <c r="E121" s="73">
        <v>782240</v>
      </c>
      <c r="F121" s="74">
        <v>110890</v>
      </c>
      <c r="G121" s="75">
        <f>E121/F121</f>
        <v>7.054197853728921</v>
      </c>
      <c r="H121" s="61"/>
      <c r="I121" s="70"/>
      <c r="J121" s="62"/>
      <c r="K121" s="110"/>
      <c r="L121" s="110"/>
      <c r="M121" s="63"/>
      <c r="N121" s="64"/>
      <c r="O121" s="110"/>
      <c r="P121" s="191"/>
    </row>
    <row r="122" spans="1:16" s="65" customFormat="1" ht="15">
      <c r="A122" s="86">
        <v>2</v>
      </c>
      <c r="B122" s="58"/>
      <c r="C122" s="76" t="s">
        <v>123</v>
      </c>
      <c r="D122" s="77">
        <v>31</v>
      </c>
      <c r="E122" s="78">
        <v>272024.5</v>
      </c>
      <c r="F122" s="79">
        <v>39542</v>
      </c>
      <c r="G122" s="80">
        <f>E122/F122</f>
        <v>6.879381417227252</v>
      </c>
      <c r="H122" s="61"/>
      <c r="I122" s="70"/>
      <c r="J122" s="62"/>
      <c r="K122" s="110"/>
      <c r="L122" s="110"/>
      <c r="M122" s="63"/>
      <c r="N122" s="64"/>
      <c r="O122" s="110"/>
      <c r="P122" s="191"/>
    </row>
    <row r="123" spans="1:16" s="65" customFormat="1" ht="15">
      <c r="A123" s="86">
        <v>3</v>
      </c>
      <c r="B123" s="58"/>
      <c r="C123" s="76" t="s">
        <v>33</v>
      </c>
      <c r="D123" s="77">
        <v>18</v>
      </c>
      <c r="E123" s="78">
        <v>235138.5</v>
      </c>
      <c r="F123" s="79">
        <v>46923</v>
      </c>
      <c r="G123" s="80">
        <f>E123/F123</f>
        <v>5.011156575666518</v>
      </c>
      <c r="H123" s="61"/>
      <c r="I123" s="70"/>
      <c r="J123" s="62"/>
      <c r="K123" s="110"/>
      <c r="L123" s="110"/>
      <c r="M123" s="63"/>
      <c r="N123" s="64"/>
      <c r="O123" s="110"/>
      <c r="P123" s="191"/>
    </row>
    <row r="124" spans="1:16" s="65" customFormat="1" ht="15">
      <c r="A124" s="86">
        <v>4</v>
      </c>
      <c r="B124" s="58"/>
      <c r="C124" s="76" t="s">
        <v>96</v>
      </c>
      <c r="D124" s="77">
        <v>5</v>
      </c>
      <c r="E124" s="78">
        <v>108467.5</v>
      </c>
      <c r="F124" s="79">
        <v>13326</v>
      </c>
      <c r="G124" s="80">
        <f>E124/F124</f>
        <v>8.139539246585622</v>
      </c>
      <c r="H124" s="61"/>
      <c r="I124" s="70"/>
      <c r="J124" s="62"/>
      <c r="K124" s="110"/>
      <c r="L124" s="110"/>
      <c r="M124" s="63"/>
      <c r="N124" s="64"/>
      <c r="O124" s="110"/>
      <c r="P124" s="191"/>
    </row>
    <row r="125" spans="1:16" s="65" customFormat="1" ht="15">
      <c r="A125" s="86">
        <v>5</v>
      </c>
      <c r="B125" s="58"/>
      <c r="C125" s="76" t="s">
        <v>34</v>
      </c>
      <c r="D125" s="77">
        <v>14</v>
      </c>
      <c r="E125" s="78">
        <v>86555</v>
      </c>
      <c r="F125" s="79">
        <v>15469</v>
      </c>
      <c r="G125" s="80">
        <f>E125/F125</f>
        <v>5.595384317021139</v>
      </c>
      <c r="H125" s="61"/>
      <c r="I125" s="70"/>
      <c r="J125" s="62"/>
      <c r="K125" s="110"/>
      <c r="L125" s="110"/>
      <c r="M125" s="63"/>
      <c r="N125" s="64"/>
      <c r="O125" s="110"/>
      <c r="P125" s="191"/>
    </row>
    <row r="126" spans="1:16" s="65" customFormat="1" ht="15">
      <c r="A126" s="86">
        <v>6</v>
      </c>
      <c r="B126" s="58"/>
      <c r="C126" s="76" t="s">
        <v>43</v>
      </c>
      <c r="D126" s="77">
        <v>7</v>
      </c>
      <c r="E126" s="78">
        <v>51800.5</v>
      </c>
      <c r="F126" s="79">
        <v>7852</v>
      </c>
      <c r="G126" s="80">
        <f>E126/F126</f>
        <v>6.597109016811004</v>
      </c>
      <c r="H126" s="61"/>
      <c r="I126" s="70"/>
      <c r="J126" s="62"/>
      <c r="K126" s="110"/>
      <c r="L126" s="110"/>
      <c r="M126" s="63"/>
      <c r="N126" s="64"/>
      <c r="O126" s="110"/>
      <c r="P126" s="191"/>
    </row>
    <row r="127" spans="1:16" s="65" customFormat="1" ht="15">
      <c r="A127" s="86">
        <v>7</v>
      </c>
      <c r="B127" s="58"/>
      <c r="C127" s="76" t="s">
        <v>176</v>
      </c>
      <c r="D127" s="77">
        <v>1</v>
      </c>
      <c r="E127" s="78">
        <v>9741</v>
      </c>
      <c r="F127" s="79">
        <v>1455</v>
      </c>
      <c r="G127" s="80">
        <f>E127/F127</f>
        <v>6.6948453608247425</v>
      </c>
      <c r="H127" s="61"/>
      <c r="I127" s="70"/>
      <c r="J127" s="62"/>
      <c r="K127" s="110"/>
      <c r="L127" s="110"/>
      <c r="M127" s="63"/>
      <c r="N127" s="64"/>
      <c r="O127" s="110"/>
      <c r="P127" s="191"/>
    </row>
    <row r="128" spans="1:16" s="65" customFormat="1" ht="15">
      <c r="A128" s="86">
        <v>8</v>
      </c>
      <c r="B128" s="58"/>
      <c r="C128" s="76" t="s">
        <v>36</v>
      </c>
      <c r="D128" s="77">
        <v>1</v>
      </c>
      <c r="E128" s="78">
        <v>3244</v>
      </c>
      <c r="F128" s="79">
        <v>641</v>
      </c>
      <c r="G128" s="80">
        <f>E128/F128</f>
        <v>5.060842433697348</v>
      </c>
      <c r="H128" s="61"/>
      <c r="I128" s="70"/>
      <c r="J128" s="62"/>
      <c r="K128" s="110"/>
      <c r="L128" s="110"/>
      <c r="M128" s="63"/>
      <c r="N128" s="64"/>
      <c r="O128" s="110"/>
      <c r="P128" s="191"/>
    </row>
    <row r="129" spans="1:16" s="65" customFormat="1" ht="15">
      <c r="A129" s="86">
        <v>9</v>
      </c>
      <c r="B129" s="58"/>
      <c r="C129" s="76" t="s">
        <v>73</v>
      </c>
      <c r="D129" s="77">
        <v>2</v>
      </c>
      <c r="E129" s="78">
        <v>2589</v>
      </c>
      <c r="F129" s="79">
        <v>443</v>
      </c>
      <c r="G129" s="80">
        <f>E129/F129</f>
        <v>5.844243792325057</v>
      </c>
      <c r="H129" s="61"/>
      <c r="I129" s="70"/>
      <c r="J129" s="62"/>
      <c r="K129" s="110"/>
      <c r="L129" s="110"/>
      <c r="M129" s="63"/>
      <c r="N129" s="64"/>
      <c r="O129" s="110"/>
      <c r="P129" s="191"/>
    </row>
    <row r="130" spans="1:16" s="65" customFormat="1" ht="15">
      <c r="A130" s="86">
        <v>10</v>
      </c>
      <c r="B130" s="58"/>
      <c r="C130" s="76" t="s">
        <v>35</v>
      </c>
      <c r="D130" s="77">
        <v>1</v>
      </c>
      <c r="E130" s="78">
        <v>2052</v>
      </c>
      <c r="F130" s="79">
        <v>684</v>
      </c>
      <c r="G130" s="80">
        <f>E130/F130</f>
        <v>3</v>
      </c>
      <c r="H130" s="61"/>
      <c r="I130" s="70"/>
      <c r="J130" s="62"/>
      <c r="K130" s="110"/>
      <c r="L130" s="110"/>
      <c r="M130" s="63"/>
      <c r="N130" s="64"/>
      <c r="O130" s="110"/>
      <c r="P130" s="191"/>
    </row>
    <row r="131" spans="1:16" s="65" customFormat="1" ht="15">
      <c r="A131" s="86">
        <v>11</v>
      </c>
      <c r="B131" s="58"/>
      <c r="C131" s="76" t="s">
        <v>79</v>
      </c>
      <c r="D131" s="77">
        <v>1</v>
      </c>
      <c r="E131" s="78">
        <v>581</v>
      </c>
      <c r="F131" s="79">
        <v>77</v>
      </c>
      <c r="G131" s="80">
        <f>E131/F131</f>
        <v>7.545454545454546</v>
      </c>
      <c r="H131" s="61"/>
      <c r="I131" s="70"/>
      <c r="J131" s="62"/>
      <c r="K131" s="110"/>
      <c r="L131" s="110"/>
      <c r="M131" s="63"/>
      <c r="N131" s="64"/>
      <c r="O131" s="110"/>
      <c r="P131" s="191"/>
    </row>
    <row r="132" spans="1:16" s="65" customFormat="1" ht="15">
      <c r="A132" s="86">
        <v>12</v>
      </c>
      <c r="B132" s="58"/>
      <c r="C132" s="76" t="s">
        <v>80</v>
      </c>
      <c r="D132" s="77" t="s">
        <v>244</v>
      </c>
      <c r="E132" s="78"/>
      <c r="F132" s="79" t="s">
        <v>244</v>
      </c>
      <c r="G132" s="80" t="s">
        <v>244</v>
      </c>
      <c r="H132" s="61"/>
      <c r="I132" s="70"/>
      <c r="J132" s="62"/>
      <c r="K132" s="110"/>
      <c r="L132" s="110"/>
      <c r="M132" s="63"/>
      <c r="N132" s="64"/>
      <c r="O132" s="110"/>
      <c r="P132" s="191"/>
    </row>
    <row r="133" spans="1:16" s="65" customFormat="1" ht="15.75" thickBot="1">
      <c r="A133" s="88"/>
      <c r="B133" s="58"/>
      <c r="C133" s="81"/>
      <c r="D133" s="82"/>
      <c r="E133" s="83"/>
      <c r="F133" s="84"/>
      <c r="G133" s="69"/>
      <c r="H133" s="61"/>
      <c r="I133" s="70"/>
      <c r="J133" s="62"/>
      <c r="K133" s="110"/>
      <c r="L133" s="110"/>
      <c r="M133" s="63"/>
      <c r="N133" s="64"/>
      <c r="O133" s="110"/>
      <c r="P133" s="191"/>
    </row>
    <row r="134" spans="1:16" s="10" customFormat="1" ht="15">
      <c r="A134" s="88"/>
      <c r="B134" s="9"/>
      <c r="D134" s="29"/>
      <c r="E134" s="34"/>
      <c r="F134" s="34"/>
      <c r="G134" s="11"/>
      <c r="H134" s="11"/>
      <c r="I134" s="11"/>
      <c r="J134" s="52"/>
      <c r="K134" s="107"/>
      <c r="L134" s="107"/>
      <c r="M134" s="46"/>
      <c r="N134" s="43"/>
      <c r="O134" s="107"/>
      <c r="P134" s="190"/>
    </row>
    <row r="135" spans="1:16" s="10" customFormat="1" ht="15">
      <c r="A135" s="88"/>
      <c r="B135" s="9"/>
      <c r="D135" s="29"/>
      <c r="E135" s="34"/>
      <c r="F135" s="34"/>
      <c r="G135" s="11"/>
      <c r="H135" s="11"/>
      <c r="I135" s="11"/>
      <c r="J135" s="52"/>
      <c r="K135" s="107"/>
      <c r="L135" s="107"/>
      <c r="M135" s="46"/>
      <c r="N135" s="43"/>
      <c r="O135" s="107"/>
      <c r="P135" s="190"/>
    </row>
    <row r="136" spans="1:16" s="10" customFormat="1" ht="15">
      <c r="A136" s="88"/>
      <c r="B136" s="9"/>
      <c r="D136" s="29"/>
      <c r="E136" s="34"/>
      <c r="F136" s="34"/>
      <c r="G136" s="11"/>
      <c r="H136" s="11"/>
      <c r="I136" s="11"/>
      <c r="J136" s="52"/>
      <c r="K136" s="107"/>
      <c r="L136" s="107"/>
      <c r="M136" s="46"/>
      <c r="N136" s="43"/>
      <c r="O136" s="107"/>
      <c r="P136" s="190"/>
    </row>
    <row r="137" spans="1:16" s="10" customFormat="1" ht="15">
      <c r="A137" s="88"/>
      <c r="B137" s="9"/>
      <c r="D137" s="29"/>
      <c r="E137" s="34"/>
      <c r="F137" s="34"/>
      <c r="G137" s="11"/>
      <c r="H137" s="11"/>
      <c r="I137" s="11"/>
      <c r="J137" s="52"/>
      <c r="K137" s="107"/>
      <c r="L137" s="107"/>
      <c r="M137" s="46"/>
      <c r="N137" s="43"/>
      <c r="O137" s="107"/>
      <c r="P137" s="190"/>
    </row>
    <row r="138" spans="1:16" s="10" customFormat="1" ht="15">
      <c r="A138" s="88"/>
      <c r="B138" s="9"/>
      <c r="D138" s="29"/>
      <c r="E138" s="34"/>
      <c r="F138" s="34"/>
      <c r="G138" s="11"/>
      <c r="H138" s="11"/>
      <c r="I138" s="11"/>
      <c r="J138" s="52"/>
      <c r="K138" s="107"/>
      <c r="L138" s="107"/>
      <c r="M138" s="46"/>
      <c r="N138" s="43"/>
      <c r="O138" s="107"/>
      <c r="P138" s="190"/>
    </row>
    <row r="139" spans="1:16" s="10" customFormat="1" ht="15">
      <c r="A139" s="88"/>
      <c r="B139" s="9"/>
      <c r="D139" s="29"/>
      <c r="E139" s="34"/>
      <c r="F139" s="34"/>
      <c r="G139" s="11"/>
      <c r="H139" s="11"/>
      <c r="I139" s="11"/>
      <c r="J139" s="52"/>
      <c r="K139" s="107"/>
      <c r="L139" s="107"/>
      <c r="M139" s="46"/>
      <c r="N139" s="43"/>
      <c r="O139" s="107"/>
      <c r="P139" s="190"/>
    </row>
    <row r="140" spans="1:16" s="10" customFormat="1" ht="15">
      <c r="A140" s="88"/>
      <c r="B140" s="9"/>
      <c r="D140" s="29"/>
      <c r="E140" s="34"/>
      <c r="F140" s="34"/>
      <c r="G140" s="11"/>
      <c r="H140" s="11"/>
      <c r="I140" s="11"/>
      <c r="J140" s="52"/>
      <c r="K140" s="107"/>
      <c r="L140" s="107"/>
      <c r="M140" s="46"/>
      <c r="N140" s="43"/>
      <c r="O140" s="107"/>
      <c r="P140" s="190"/>
    </row>
    <row r="141" spans="1:16" s="10" customFormat="1" ht="15">
      <c r="A141" s="88"/>
      <c r="B141" s="9"/>
      <c r="D141" s="29"/>
      <c r="E141" s="34"/>
      <c r="F141" s="34"/>
      <c r="G141" s="11"/>
      <c r="H141" s="11"/>
      <c r="I141" s="11"/>
      <c r="J141" s="52"/>
      <c r="K141" s="107"/>
      <c r="L141" s="107"/>
      <c r="M141" s="46"/>
      <c r="N141" s="43"/>
      <c r="O141" s="107"/>
      <c r="P141" s="190"/>
    </row>
    <row r="142" spans="1:16" s="10" customFormat="1" ht="15">
      <c r="A142" s="88"/>
      <c r="B142" s="9"/>
      <c r="D142" s="29"/>
      <c r="E142" s="34"/>
      <c r="F142" s="34"/>
      <c r="G142" s="11"/>
      <c r="H142" s="11"/>
      <c r="I142" s="11"/>
      <c r="J142" s="52"/>
      <c r="K142" s="107"/>
      <c r="L142" s="107"/>
      <c r="M142" s="46"/>
      <c r="N142" s="43"/>
      <c r="O142" s="107"/>
      <c r="P142" s="190"/>
    </row>
    <row r="143" spans="1:16" s="10" customFormat="1" ht="15">
      <c r="A143" s="88"/>
      <c r="B143" s="9"/>
      <c r="D143" s="29"/>
      <c r="E143" s="34"/>
      <c r="F143" s="34"/>
      <c r="G143" s="11"/>
      <c r="H143" s="11"/>
      <c r="I143" s="11"/>
      <c r="J143" s="52"/>
      <c r="K143" s="107"/>
      <c r="L143" s="107"/>
      <c r="M143" s="46"/>
      <c r="N143" s="43"/>
      <c r="O143" s="107"/>
      <c r="P143" s="190"/>
    </row>
    <row r="144" spans="1:16" s="10" customFormat="1" ht="15">
      <c r="A144" s="88"/>
      <c r="B144" s="9"/>
      <c r="D144" s="29"/>
      <c r="E144" s="34"/>
      <c r="F144" s="34"/>
      <c r="G144" s="11"/>
      <c r="H144" s="11"/>
      <c r="I144" s="11"/>
      <c r="J144" s="52"/>
      <c r="K144" s="107"/>
      <c r="L144" s="107"/>
      <c r="M144" s="46"/>
      <c r="N144" s="43"/>
      <c r="O144" s="107"/>
      <c r="P144" s="190"/>
    </row>
    <row r="145" spans="1:16" s="10" customFormat="1" ht="15">
      <c r="A145" s="88"/>
      <c r="B145" s="9"/>
      <c r="D145" s="29"/>
      <c r="E145" s="34"/>
      <c r="F145" s="34"/>
      <c r="G145" s="11"/>
      <c r="H145" s="11"/>
      <c r="I145" s="11"/>
      <c r="J145" s="52"/>
      <c r="K145" s="107"/>
      <c r="L145" s="107"/>
      <c r="M145" s="46"/>
      <c r="N145" s="43"/>
      <c r="O145" s="107"/>
      <c r="P145" s="190"/>
    </row>
    <row r="146" spans="1:16" s="10" customFormat="1" ht="15">
      <c r="A146" s="88"/>
      <c r="B146" s="9"/>
      <c r="D146" s="29"/>
      <c r="E146" s="34"/>
      <c r="F146" s="34"/>
      <c r="G146" s="11"/>
      <c r="H146" s="11"/>
      <c r="I146" s="11"/>
      <c r="J146" s="52"/>
      <c r="K146" s="107"/>
      <c r="L146" s="107"/>
      <c r="M146" s="46"/>
      <c r="N146" s="43"/>
      <c r="O146" s="107"/>
      <c r="P146" s="190"/>
    </row>
    <row r="147" spans="1:16" s="10" customFormat="1" ht="15">
      <c r="A147" s="88"/>
      <c r="B147" s="9"/>
      <c r="D147" s="29"/>
      <c r="E147" s="34"/>
      <c r="F147" s="34"/>
      <c r="G147" s="11"/>
      <c r="H147" s="11"/>
      <c r="I147" s="11"/>
      <c r="J147" s="52"/>
      <c r="K147" s="107"/>
      <c r="L147" s="107"/>
      <c r="M147" s="46"/>
      <c r="N147" s="43"/>
      <c r="O147" s="107"/>
      <c r="P147" s="190"/>
    </row>
    <row r="148" spans="1:16" s="10" customFormat="1" ht="15">
      <c r="A148" s="88"/>
      <c r="B148" s="9"/>
      <c r="D148" s="29"/>
      <c r="E148" s="34"/>
      <c r="F148" s="34"/>
      <c r="G148" s="11"/>
      <c r="H148" s="11"/>
      <c r="I148" s="11"/>
      <c r="J148" s="52"/>
      <c r="K148" s="107"/>
      <c r="L148" s="107"/>
      <c r="M148" s="46"/>
      <c r="N148" s="43"/>
      <c r="O148" s="107"/>
      <c r="P148" s="190"/>
    </row>
    <row r="149" spans="1:16" s="10" customFormat="1" ht="15">
      <c r="A149" s="88"/>
      <c r="B149" s="9"/>
      <c r="D149" s="29"/>
      <c r="E149" s="34"/>
      <c r="F149" s="34"/>
      <c r="G149" s="11"/>
      <c r="H149" s="11"/>
      <c r="I149" s="11"/>
      <c r="J149" s="52"/>
      <c r="K149" s="107"/>
      <c r="L149" s="107"/>
      <c r="M149" s="46"/>
      <c r="N149" s="43"/>
      <c r="O149" s="107"/>
      <c r="P149" s="190"/>
    </row>
    <row r="150" spans="1:16" s="10" customFormat="1" ht="15">
      <c r="A150" s="88"/>
      <c r="B150" s="9"/>
      <c r="D150" s="29"/>
      <c r="E150" s="34"/>
      <c r="F150" s="34"/>
      <c r="G150" s="11"/>
      <c r="H150" s="11"/>
      <c r="I150" s="11"/>
      <c r="J150" s="52"/>
      <c r="K150" s="107"/>
      <c r="L150" s="107"/>
      <c r="M150" s="46"/>
      <c r="N150" s="43"/>
      <c r="O150" s="107"/>
      <c r="P150" s="190"/>
    </row>
    <row r="151" spans="1:16" s="10" customFormat="1" ht="15">
      <c r="A151" s="88"/>
      <c r="B151" s="9"/>
      <c r="D151" s="29"/>
      <c r="E151" s="34"/>
      <c r="F151" s="34"/>
      <c r="G151" s="11"/>
      <c r="H151" s="11"/>
      <c r="I151" s="11"/>
      <c r="J151" s="52"/>
      <c r="K151" s="107"/>
      <c r="L151" s="107"/>
      <c r="M151" s="46"/>
      <c r="N151" s="43"/>
      <c r="O151" s="107"/>
      <c r="P151" s="190"/>
    </row>
    <row r="152" spans="1:16" s="10" customFormat="1" ht="15">
      <c r="A152" s="88"/>
      <c r="B152" s="9"/>
      <c r="D152" s="29"/>
      <c r="E152" s="34"/>
      <c r="F152" s="34"/>
      <c r="G152" s="11"/>
      <c r="H152" s="11"/>
      <c r="I152" s="11"/>
      <c r="J152" s="52"/>
      <c r="K152" s="107"/>
      <c r="L152" s="107"/>
      <c r="M152" s="46"/>
      <c r="N152" s="43"/>
      <c r="O152" s="107"/>
      <c r="P152" s="190"/>
    </row>
    <row r="153" spans="1:16" s="10" customFormat="1" ht="15">
      <c r="A153" s="88"/>
      <c r="B153" s="9"/>
      <c r="D153" s="29"/>
      <c r="E153" s="34"/>
      <c r="F153" s="34"/>
      <c r="G153" s="11"/>
      <c r="H153" s="11"/>
      <c r="I153" s="11"/>
      <c r="J153" s="52"/>
      <c r="K153" s="107"/>
      <c r="L153" s="107"/>
      <c r="M153" s="46"/>
      <c r="N153" s="43"/>
      <c r="O153" s="107"/>
      <c r="P153" s="190"/>
    </row>
    <row r="154" spans="1:16" s="10" customFormat="1" ht="15">
      <c r="A154" s="88"/>
      <c r="B154" s="9"/>
      <c r="D154" s="29"/>
      <c r="E154" s="34"/>
      <c r="F154" s="34"/>
      <c r="G154" s="11"/>
      <c r="H154" s="11"/>
      <c r="I154" s="11"/>
      <c r="J154" s="52"/>
      <c r="K154" s="107"/>
      <c r="L154" s="107"/>
      <c r="M154" s="46"/>
      <c r="N154" s="43"/>
      <c r="O154" s="107"/>
      <c r="P154" s="190"/>
    </row>
    <row r="155" spans="1:16" s="10" customFormat="1" ht="15">
      <c r="A155" s="88"/>
      <c r="B155" s="9"/>
      <c r="D155" s="29"/>
      <c r="E155" s="34"/>
      <c r="F155" s="34"/>
      <c r="G155" s="11"/>
      <c r="H155" s="11"/>
      <c r="I155" s="11"/>
      <c r="J155" s="52"/>
      <c r="K155" s="107"/>
      <c r="L155" s="107"/>
      <c r="M155" s="46"/>
      <c r="N155" s="43"/>
      <c r="O155" s="107"/>
      <c r="P155" s="190"/>
    </row>
    <row r="156" spans="1:16" s="10" customFormat="1" ht="15">
      <c r="A156" s="88"/>
      <c r="B156" s="9"/>
      <c r="D156" s="29"/>
      <c r="E156" s="34"/>
      <c r="F156" s="34"/>
      <c r="G156" s="11"/>
      <c r="H156" s="11"/>
      <c r="I156" s="11"/>
      <c r="J156" s="52"/>
      <c r="K156" s="107"/>
      <c r="L156" s="107"/>
      <c r="M156" s="46"/>
      <c r="N156" s="43"/>
      <c r="O156" s="107"/>
      <c r="P156" s="190"/>
    </row>
    <row r="157" spans="1:16" s="10" customFormat="1" ht="15">
      <c r="A157" s="88"/>
      <c r="B157" s="9"/>
      <c r="D157" s="29"/>
      <c r="E157" s="34"/>
      <c r="F157" s="34"/>
      <c r="G157" s="11"/>
      <c r="H157" s="11"/>
      <c r="I157" s="11"/>
      <c r="J157" s="52"/>
      <c r="K157" s="107"/>
      <c r="L157" s="107"/>
      <c r="M157" s="46"/>
      <c r="N157" s="43"/>
      <c r="O157" s="107"/>
      <c r="P157" s="190"/>
    </row>
    <row r="158" spans="1:16" s="10" customFormat="1" ht="15">
      <c r="A158" s="88"/>
      <c r="B158" s="9"/>
      <c r="D158" s="29"/>
      <c r="E158" s="34"/>
      <c r="F158" s="34"/>
      <c r="G158" s="11"/>
      <c r="H158" s="11"/>
      <c r="I158" s="11"/>
      <c r="J158" s="52"/>
      <c r="K158" s="107"/>
      <c r="L158" s="107"/>
      <c r="M158" s="46"/>
      <c r="N158" s="43"/>
      <c r="O158" s="107"/>
      <c r="P158" s="190"/>
    </row>
    <row r="159" spans="1:16" s="10" customFormat="1" ht="15">
      <c r="A159" s="88"/>
      <c r="B159" s="9"/>
      <c r="D159" s="29"/>
      <c r="E159" s="34"/>
      <c r="F159" s="34"/>
      <c r="G159" s="11"/>
      <c r="H159" s="11"/>
      <c r="I159" s="11"/>
      <c r="J159" s="52"/>
      <c r="K159" s="107"/>
      <c r="L159" s="107"/>
      <c r="M159" s="46"/>
      <c r="N159" s="43"/>
      <c r="O159" s="107"/>
      <c r="P159" s="190"/>
    </row>
    <row r="160" spans="1:16" s="10" customFormat="1" ht="15">
      <c r="A160" s="88"/>
      <c r="B160" s="9"/>
      <c r="D160" s="29"/>
      <c r="E160" s="34"/>
      <c r="F160" s="34"/>
      <c r="G160" s="11"/>
      <c r="H160" s="11"/>
      <c r="I160" s="11"/>
      <c r="J160" s="52"/>
      <c r="K160" s="107"/>
      <c r="L160" s="107"/>
      <c r="M160" s="46"/>
      <c r="N160" s="43"/>
      <c r="O160" s="107"/>
      <c r="P160" s="190"/>
    </row>
    <row r="161" spans="1:16" s="10" customFormat="1" ht="15">
      <c r="A161" s="88"/>
      <c r="B161" s="9"/>
      <c r="D161" s="29"/>
      <c r="E161" s="34"/>
      <c r="F161" s="34"/>
      <c r="G161" s="11"/>
      <c r="H161" s="11"/>
      <c r="I161" s="11"/>
      <c r="J161" s="52"/>
      <c r="K161" s="107"/>
      <c r="L161" s="107"/>
      <c r="M161" s="46"/>
      <c r="N161" s="43"/>
      <c r="O161" s="107"/>
      <c r="P161" s="190"/>
    </row>
    <row r="162" spans="1:16" s="10" customFormat="1" ht="15">
      <c r="A162" s="88"/>
      <c r="B162" s="9"/>
      <c r="D162" s="29"/>
      <c r="E162" s="34"/>
      <c r="F162" s="34"/>
      <c r="G162" s="11"/>
      <c r="H162" s="11"/>
      <c r="I162" s="11"/>
      <c r="J162" s="52"/>
      <c r="K162" s="107"/>
      <c r="L162" s="107"/>
      <c r="M162" s="46"/>
      <c r="N162" s="43"/>
      <c r="O162" s="107"/>
      <c r="P162" s="190"/>
    </row>
    <row r="163" spans="1:16" s="10" customFormat="1" ht="15">
      <c r="A163" s="88"/>
      <c r="B163" s="9"/>
      <c r="D163" s="29"/>
      <c r="E163" s="34"/>
      <c r="F163" s="34"/>
      <c r="G163" s="11"/>
      <c r="H163" s="11"/>
      <c r="I163" s="11"/>
      <c r="J163" s="52"/>
      <c r="K163" s="107"/>
      <c r="L163" s="107"/>
      <c r="M163" s="46"/>
      <c r="N163" s="43"/>
      <c r="O163" s="107"/>
      <c r="P163" s="190"/>
    </row>
    <row r="164" spans="1:16" s="10" customFormat="1" ht="15">
      <c r="A164" s="88"/>
      <c r="B164" s="9"/>
      <c r="D164" s="29"/>
      <c r="E164" s="34"/>
      <c r="F164" s="34"/>
      <c r="G164" s="11"/>
      <c r="H164" s="11"/>
      <c r="I164" s="11"/>
      <c r="J164" s="52"/>
      <c r="K164" s="107"/>
      <c r="L164" s="107"/>
      <c r="M164" s="46"/>
      <c r="N164" s="43"/>
      <c r="O164" s="107"/>
      <c r="P164" s="190"/>
    </row>
    <row r="165" spans="1:16" s="10" customFormat="1" ht="15">
      <c r="A165" s="88"/>
      <c r="B165" s="9"/>
      <c r="D165" s="29"/>
      <c r="E165" s="34"/>
      <c r="F165" s="34"/>
      <c r="G165" s="11"/>
      <c r="H165" s="11"/>
      <c r="I165" s="11"/>
      <c r="J165" s="52"/>
      <c r="K165" s="107"/>
      <c r="L165" s="107"/>
      <c r="M165" s="46"/>
      <c r="N165" s="43"/>
      <c r="O165" s="107"/>
      <c r="P165" s="190"/>
    </row>
    <row r="166" spans="1:16" s="10" customFormat="1" ht="15">
      <c r="A166" s="88"/>
      <c r="B166" s="9"/>
      <c r="D166" s="29"/>
      <c r="E166" s="34"/>
      <c r="F166" s="34"/>
      <c r="G166" s="11"/>
      <c r="H166" s="11"/>
      <c r="I166" s="11"/>
      <c r="J166" s="52"/>
      <c r="K166" s="107"/>
      <c r="L166" s="107"/>
      <c r="M166" s="46"/>
      <c r="N166" s="43"/>
      <c r="O166" s="107"/>
      <c r="P166" s="190"/>
    </row>
    <row r="167" spans="1:16" s="10" customFormat="1" ht="15">
      <c r="A167" s="88"/>
      <c r="B167" s="9"/>
      <c r="D167" s="29"/>
      <c r="E167" s="34"/>
      <c r="F167" s="34"/>
      <c r="G167" s="11"/>
      <c r="H167" s="11"/>
      <c r="I167" s="11"/>
      <c r="J167" s="52"/>
      <c r="K167" s="107"/>
      <c r="L167" s="107"/>
      <c r="M167" s="46"/>
      <c r="N167" s="43"/>
      <c r="O167" s="107"/>
      <c r="P167" s="190"/>
    </row>
    <row r="168" spans="1:16" s="10" customFormat="1" ht="15">
      <c r="A168" s="88"/>
      <c r="B168" s="9"/>
      <c r="D168" s="29"/>
      <c r="E168" s="34"/>
      <c r="F168" s="34"/>
      <c r="G168" s="11"/>
      <c r="H168" s="11"/>
      <c r="I168" s="11"/>
      <c r="J168" s="52"/>
      <c r="K168" s="107"/>
      <c r="L168" s="107"/>
      <c r="M168" s="46"/>
      <c r="N168" s="43"/>
      <c r="O168" s="107"/>
      <c r="P168" s="190"/>
    </row>
    <row r="169" spans="1:16" s="10" customFormat="1" ht="15">
      <c r="A169" s="88"/>
      <c r="B169" s="9"/>
      <c r="D169" s="29"/>
      <c r="E169" s="34"/>
      <c r="F169" s="34"/>
      <c r="G169" s="11"/>
      <c r="H169" s="11"/>
      <c r="I169" s="11"/>
      <c r="J169" s="52"/>
      <c r="K169" s="107"/>
      <c r="L169" s="107"/>
      <c r="M169" s="46"/>
      <c r="N169" s="43"/>
      <c r="O169" s="107"/>
      <c r="P169" s="190"/>
    </row>
    <row r="170" spans="1:16" s="10" customFormat="1" ht="15">
      <c r="A170" s="88"/>
      <c r="B170" s="9"/>
      <c r="D170" s="29"/>
      <c r="E170" s="34"/>
      <c r="F170" s="34"/>
      <c r="G170" s="11"/>
      <c r="H170" s="11"/>
      <c r="I170" s="11"/>
      <c r="J170" s="52"/>
      <c r="K170" s="107"/>
      <c r="L170" s="107"/>
      <c r="M170" s="46"/>
      <c r="N170" s="43"/>
      <c r="O170" s="107"/>
      <c r="P170" s="190"/>
    </row>
    <row r="171" spans="1:16" s="10" customFormat="1" ht="15">
      <c r="A171" s="88"/>
      <c r="B171" s="9"/>
      <c r="D171" s="29"/>
      <c r="E171" s="34"/>
      <c r="F171" s="34"/>
      <c r="G171" s="11"/>
      <c r="H171" s="11"/>
      <c r="I171" s="11"/>
      <c r="J171" s="52"/>
      <c r="K171" s="107"/>
      <c r="L171" s="107"/>
      <c r="M171" s="46"/>
      <c r="N171" s="43"/>
      <c r="O171" s="107"/>
      <c r="P171" s="190"/>
    </row>
    <row r="172" spans="1:16" s="10" customFormat="1" ht="15">
      <c r="A172" s="88"/>
      <c r="B172" s="9"/>
      <c r="D172" s="29"/>
      <c r="E172" s="34"/>
      <c r="F172" s="34"/>
      <c r="G172" s="11"/>
      <c r="H172" s="11"/>
      <c r="I172" s="11"/>
      <c r="J172" s="52"/>
      <c r="K172" s="107"/>
      <c r="L172" s="107"/>
      <c r="M172" s="46"/>
      <c r="N172" s="43"/>
      <c r="O172" s="107"/>
      <c r="P172" s="190"/>
    </row>
    <row r="173" spans="1:16" s="10" customFormat="1" ht="15">
      <c r="A173" s="88"/>
      <c r="B173" s="9"/>
      <c r="D173" s="29"/>
      <c r="E173" s="34"/>
      <c r="F173" s="34"/>
      <c r="G173" s="11"/>
      <c r="H173" s="11"/>
      <c r="I173" s="11"/>
      <c r="J173" s="52"/>
      <c r="K173" s="107"/>
      <c r="L173" s="107"/>
      <c r="M173" s="46"/>
      <c r="N173" s="43"/>
      <c r="O173" s="107"/>
      <c r="P173" s="190"/>
    </row>
    <row r="174" spans="1:16" s="10" customFormat="1" ht="15">
      <c r="A174" s="88"/>
      <c r="B174" s="9"/>
      <c r="D174" s="29"/>
      <c r="E174" s="34"/>
      <c r="F174" s="34"/>
      <c r="G174" s="11"/>
      <c r="H174" s="11"/>
      <c r="I174" s="11"/>
      <c r="J174" s="52"/>
      <c r="K174" s="107"/>
      <c r="L174" s="107"/>
      <c r="M174" s="46"/>
      <c r="N174" s="43"/>
      <c r="O174" s="107"/>
      <c r="P174" s="190"/>
    </row>
    <row r="175" spans="1:16" s="10" customFormat="1" ht="15">
      <c r="A175" s="88"/>
      <c r="B175" s="9"/>
      <c r="D175" s="29"/>
      <c r="E175" s="34"/>
      <c r="F175" s="34"/>
      <c r="G175" s="11"/>
      <c r="H175" s="11"/>
      <c r="I175" s="11"/>
      <c r="J175" s="52"/>
      <c r="K175" s="107"/>
      <c r="L175" s="107"/>
      <c r="M175" s="46"/>
      <c r="N175" s="43"/>
      <c r="O175" s="107"/>
      <c r="P175" s="190"/>
    </row>
    <row r="176" spans="1:16" s="10" customFormat="1" ht="15">
      <c r="A176" s="88"/>
      <c r="B176" s="9"/>
      <c r="D176" s="29"/>
      <c r="E176" s="34"/>
      <c r="F176" s="34"/>
      <c r="G176" s="11"/>
      <c r="H176" s="11"/>
      <c r="I176" s="11"/>
      <c r="J176" s="52"/>
      <c r="K176" s="107"/>
      <c r="L176" s="107"/>
      <c r="M176" s="46"/>
      <c r="N176" s="43"/>
      <c r="O176" s="107"/>
      <c r="P176" s="190"/>
    </row>
    <row r="177" spans="1:16" s="10" customFormat="1" ht="15">
      <c r="A177" s="88"/>
      <c r="B177" s="9"/>
      <c r="D177" s="29"/>
      <c r="E177" s="34"/>
      <c r="F177" s="34"/>
      <c r="G177" s="11"/>
      <c r="H177" s="11"/>
      <c r="I177" s="11"/>
      <c r="J177" s="52"/>
      <c r="K177" s="107"/>
      <c r="L177" s="107"/>
      <c r="M177" s="46"/>
      <c r="N177" s="43"/>
      <c r="O177" s="107"/>
      <c r="P177" s="190"/>
    </row>
    <row r="178" spans="1:16" s="10" customFormat="1" ht="15">
      <c r="A178" s="88"/>
      <c r="B178" s="9"/>
      <c r="D178" s="29"/>
      <c r="E178" s="34"/>
      <c r="F178" s="34"/>
      <c r="G178" s="11"/>
      <c r="H178" s="11"/>
      <c r="I178" s="11"/>
      <c r="J178" s="52"/>
      <c r="K178" s="107"/>
      <c r="L178" s="107"/>
      <c r="M178" s="46"/>
      <c r="N178" s="43"/>
      <c r="O178" s="107"/>
      <c r="P178" s="190"/>
    </row>
    <row r="179" spans="1:16" s="10" customFormat="1" ht="15">
      <c r="A179" s="88"/>
      <c r="B179" s="9"/>
      <c r="D179" s="29"/>
      <c r="E179" s="34"/>
      <c r="F179" s="34"/>
      <c r="G179" s="11"/>
      <c r="H179" s="11"/>
      <c r="I179" s="11"/>
      <c r="J179" s="52"/>
      <c r="K179" s="107"/>
      <c r="L179" s="107"/>
      <c r="M179" s="46"/>
      <c r="N179" s="43"/>
      <c r="O179" s="107"/>
      <c r="P179" s="190"/>
    </row>
    <row r="180" spans="1:16" s="10" customFormat="1" ht="15">
      <c r="A180" s="88"/>
      <c r="B180" s="9"/>
      <c r="D180" s="29"/>
      <c r="E180" s="34"/>
      <c r="F180" s="34"/>
      <c r="G180" s="11"/>
      <c r="H180" s="11"/>
      <c r="I180" s="11"/>
      <c r="J180" s="52"/>
      <c r="K180" s="107"/>
      <c r="L180" s="107"/>
      <c r="M180" s="46"/>
      <c r="N180" s="43"/>
      <c r="O180" s="107"/>
      <c r="P180" s="190"/>
    </row>
    <row r="181" spans="1:16" s="10" customFormat="1" ht="15">
      <c r="A181" s="88"/>
      <c r="B181" s="9"/>
      <c r="D181" s="29"/>
      <c r="E181" s="34"/>
      <c r="F181" s="34"/>
      <c r="G181" s="11"/>
      <c r="H181" s="11"/>
      <c r="I181" s="11"/>
      <c r="J181" s="52"/>
      <c r="K181" s="107"/>
      <c r="L181" s="107"/>
      <c r="M181" s="46"/>
      <c r="N181" s="43"/>
      <c r="O181" s="107"/>
      <c r="P181" s="190"/>
    </row>
    <row r="182" spans="1:16" s="10" customFormat="1" ht="15">
      <c r="A182" s="88"/>
      <c r="B182" s="9"/>
      <c r="D182" s="29"/>
      <c r="E182" s="34"/>
      <c r="F182" s="34"/>
      <c r="G182" s="11"/>
      <c r="H182" s="11"/>
      <c r="I182" s="11"/>
      <c r="J182" s="52"/>
      <c r="K182" s="107"/>
      <c r="L182" s="107"/>
      <c r="M182" s="46"/>
      <c r="N182" s="43"/>
      <c r="O182" s="107"/>
      <c r="P182" s="190"/>
    </row>
    <row r="183" spans="1:16" s="10" customFormat="1" ht="15">
      <c r="A183" s="88"/>
      <c r="B183" s="9"/>
      <c r="D183" s="29"/>
      <c r="E183" s="34"/>
      <c r="F183" s="34"/>
      <c r="G183" s="11"/>
      <c r="H183" s="11"/>
      <c r="I183" s="11"/>
      <c r="J183" s="52"/>
      <c r="K183" s="107"/>
      <c r="L183" s="107"/>
      <c r="M183" s="46"/>
      <c r="N183" s="43"/>
      <c r="O183" s="107"/>
      <c r="P183" s="190"/>
    </row>
    <row r="184" spans="1:16" s="10" customFormat="1" ht="15">
      <c r="A184" s="88"/>
      <c r="B184" s="9"/>
      <c r="D184" s="29"/>
      <c r="E184" s="34"/>
      <c r="F184" s="34"/>
      <c r="G184" s="11"/>
      <c r="H184" s="11"/>
      <c r="I184" s="11"/>
      <c r="J184" s="52"/>
      <c r="K184" s="107"/>
      <c r="L184" s="107"/>
      <c r="M184" s="46"/>
      <c r="N184" s="43"/>
      <c r="O184" s="107"/>
      <c r="P184" s="190"/>
    </row>
    <row r="185" spans="1:16" s="10" customFormat="1" ht="15">
      <c r="A185" s="88"/>
      <c r="B185" s="9"/>
      <c r="D185" s="29"/>
      <c r="E185" s="34"/>
      <c r="F185" s="34"/>
      <c r="G185" s="11"/>
      <c r="H185" s="11"/>
      <c r="I185" s="11"/>
      <c r="J185" s="52"/>
      <c r="K185" s="107"/>
      <c r="L185" s="107"/>
      <c r="M185" s="46"/>
      <c r="N185" s="43"/>
      <c r="O185" s="107"/>
      <c r="P185" s="190"/>
    </row>
    <row r="186" spans="1:16" s="10" customFormat="1" ht="15">
      <c r="A186" s="88"/>
      <c r="B186" s="9"/>
      <c r="D186" s="29"/>
      <c r="E186" s="34"/>
      <c r="F186" s="34"/>
      <c r="G186" s="11"/>
      <c r="H186" s="11"/>
      <c r="I186" s="11"/>
      <c r="J186" s="52"/>
      <c r="K186" s="107"/>
      <c r="L186" s="107"/>
      <c r="M186" s="46"/>
      <c r="N186" s="43"/>
      <c r="O186" s="107"/>
      <c r="P186" s="190"/>
    </row>
    <row r="187" spans="1:16" s="10" customFormat="1" ht="15">
      <c r="A187" s="88"/>
      <c r="B187" s="9"/>
      <c r="D187" s="29"/>
      <c r="E187" s="34"/>
      <c r="F187" s="34"/>
      <c r="G187" s="11"/>
      <c r="H187" s="11"/>
      <c r="I187" s="11"/>
      <c r="J187" s="52"/>
      <c r="K187" s="107"/>
      <c r="L187" s="107"/>
      <c r="M187" s="46"/>
      <c r="N187" s="43"/>
      <c r="O187" s="107"/>
      <c r="P187" s="190"/>
    </row>
    <row r="188" spans="1:16" s="10" customFormat="1" ht="15">
      <c r="A188" s="88"/>
      <c r="B188" s="9"/>
      <c r="D188" s="29"/>
      <c r="E188" s="34"/>
      <c r="F188" s="34"/>
      <c r="G188" s="11"/>
      <c r="H188" s="11"/>
      <c r="I188" s="11"/>
      <c r="J188" s="52"/>
      <c r="K188" s="107"/>
      <c r="L188" s="107"/>
      <c r="M188" s="46"/>
      <c r="N188" s="43"/>
      <c r="O188" s="107"/>
      <c r="P188" s="190"/>
    </row>
    <row r="189" spans="1:16" s="10" customFormat="1" ht="15">
      <c r="A189" s="88"/>
      <c r="B189" s="9"/>
      <c r="D189" s="29"/>
      <c r="E189" s="34"/>
      <c r="F189" s="34"/>
      <c r="G189" s="11"/>
      <c r="H189" s="11"/>
      <c r="I189" s="11"/>
      <c r="J189" s="52"/>
      <c r="K189" s="107"/>
      <c r="L189" s="107"/>
      <c r="M189" s="46"/>
      <c r="N189" s="43"/>
      <c r="O189" s="107"/>
      <c r="P189" s="190"/>
    </row>
    <row r="190" spans="1:16" s="10" customFormat="1" ht="15">
      <c r="A190" s="88"/>
      <c r="B190" s="9"/>
      <c r="D190" s="29"/>
      <c r="E190" s="34"/>
      <c r="F190" s="34"/>
      <c r="G190" s="11"/>
      <c r="H190" s="11"/>
      <c r="I190" s="11"/>
      <c r="J190" s="52"/>
      <c r="K190" s="107"/>
      <c r="L190" s="107"/>
      <c r="M190" s="46"/>
      <c r="N190" s="43"/>
      <c r="O190" s="107"/>
      <c r="P190" s="190"/>
    </row>
    <row r="191" spans="1:16" s="10" customFormat="1" ht="15">
      <c r="A191" s="88"/>
      <c r="B191" s="9"/>
      <c r="D191" s="29"/>
      <c r="E191" s="34"/>
      <c r="F191" s="34"/>
      <c r="G191" s="11"/>
      <c r="H191" s="11"/>
      <c r="I191" s="11"/>
      <c r="J191" s="52"/>
      <c r="K191" s="107"/>
      <c r="L191" s="107"/>
      <c r="M191" s="46"/>
      <c r="N191" s="43"/>
      <c r="O191" s="107"/>
      <c r="P191" s="190"/>
    </row>
  </sheetData>
  <sheetProtection insertRows="0" deleteRows="0" sort="0"/>
  <mergeCells count="14">
    <mergeCell ref="E111:G111"/>
    <mergeCell ref="D119:G119"/>
    <mergeCell ref="A2:P2"/>
    <mergeCell ref="C111:D112"/>
    <mergeCell ref="L111:P113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portrait" paperSize="9" scale="36" r:id="rId2"/>
  <ignoredErrors>
    <ignoredError sqref="G118 F117:G117 H118:H119 N48:O55 D120:G120 D117:E118 J5:K29 L5:L9 L28:L29 N5:O44 G121:G131" unlockedFormula="1"/>
    <ignoredError sqref="L88 F113:G116 G11:I39 G62:K88 L62:L63 E113 D113" numberStoredAsText="1"/>
    <ignoredError sqref="E114:E116 D114:D116 L10:L27 N56:O60 N65:O93 N100:O100 L64:L87" numberStoredAsText="1" unlockedFormula="1"/>
    <ignoredError sqref="L10:L27 N56:O60 N65:O93 N100:O100" formula="1" unlockedFormula="1"/>
    <ignoredError sqref="M33:M52 M10:M32 L56:L59 L33:L55 M56:M95 N61:O64 N94:O95 L97:M105 N97:O99 N101:O105" formula="1"/>
    <ignoredError sqref="L64:L87" numberStoredAsText="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7"/>
  <sheetViews>
    <sheetView zoomScale="50" zoomScaleNormal="50" workbookViewId="0" topLeftCell="B1">
      <selection activeCell="C2" sqref="C2:C3"/>
    </sheetView>
  </sheetViews>
  <sheetFormatPr defaultColWidth="9.140625" defaultRowHeight="14.25" customHeight="1"/>
  <cols>
    <col min="1" max="1" width="4.7109375" style="128" bestFit="1" customWidth="1"/>
    <col min="2" max="2" width="1.7109375" style="163" customWidth="1"/>
    <col min="3" max="3" width="41.57421875" style="163" bestFit="1" customWidth="1"/>
    <col min="4" max="4" width="14.00390625" style="176" bestFit="1" customWidth="1"/>
    <col min="5" max="5" width="15.7109375" style="176" bestFit="1" customWidth="1"/>
    <col min="6" max="6" width="17.7109375" style="176" bestFit="1" customWidth="1"/>
    <col min="7" max="7" width="9.57421875" style="176" bestFit="1" customWidth="1"/>
    <col min="8" max="8" width="10.421875" style="176" customWidth="1"/>
    <col min="9" max="9" width="17.00390625" style="233" bestFit="1" customWidth="1"/>
    <col min="10" max="10" width="13.8515625" style="178" bestFit="1" customWidth="1"/>
    <col min="11" max="11" width="8.57421875" style="179" customWidth="1"/>
    <col min="12" max="12" width="11.57421875" style="163" bestFit="1" customWidth="1"/>
    <col min="13" max="16384" width="9.140625" style="163" customWidth="1"/>
  </cols>
  <sheetData>
    <row r="1" spans="1:11" s="129" customFormat="1" ht="42" customHeight="1" thickBot="1">
      <c r="A1" s="128"/>
      <c r="B1" s="289" t="s">
        <v>245</v>
      </c>
      <c r="C1" s="290"/>
      <c r="D1" s="290"/>
      <c r="E1" s="290"/>
      <c r="F1" s="290"/>
      <c r="G1" s="290"/>
      <c r="H1" s="290"/>
      <c r="I1" s="290"/>
      <c r="J1" s="290"/>
      <c r="K1" s="291"/>
    </row>
    <row r="2" spans="2:11" s="130" customFormat="1" ht="14.25" customHeight="1">
      <c r="B2" s="131"/>
      <c r="C2" s="286" t="s">
        <v>13</v>
      </c>
      <c r="D2" s="286" t="s">
        <v>144</v>
      </c>
      <c r="E2" s="286" t="s">
        <v>55</v>
      </c>
      <c r="F2" s="286" t="s">
        <v>54</v>
      </c>
      <c r="G2" s="263" t="s">
        <v>15</v>
      </c>
      <c r="H2" s="263" t="s">
        <v>145</v>
      </c>
      <c r="I2" s="263" t="s">
        <v>17</v>
      </c>
      <c r="J2" s="263"/>
      <c r="K2" s="292" t="s">
        <v>146</v>
      </c>
    </row>
    <row r="3" spans="1:11" s="130" customFormat="1" ht="34.5" customHeight="1" thickBot="1">
      <c r="A3" s="132"/>
      <c r="B3" s="193"/>
      <c r="C3" s="287"/>
      <c r="D3" s="287"/>
      <c r="E3" s="287"/>
      <c r="F3" s="287"/>
      <c r="G3" s="288"/>
      <c r="H3" s="283"/>
      <c r="I3" s="226" t="s">
        <v>147</v>
      </c>
      <c r="J3" s="194" t="s">
        <v>4</v>
      </c>
      <c r="K3" s="293"/>
    </row>
    <row r="4" spans="1:11" s="130" customFormat="1" ht="15">
      <c r="A4" s="133">
        <v>1</v>
      </c>
      <c r="B4" s="208"/>
      <c r="C4" s="260" t="s">
        <v>1</v>
      </c>
      <c r="D4" s="338">
        <v>38751</v>
      </c>
      <c r="E4" s="339" t="s">
        <v>35</v>
      </c>
      <c r="F4" s="339" t="s">
        <v>69</v>
      </c>
      <c r="G4" s="234">
        <v>277</v>
      </c>
      <c r="H4" s="234">
        <v>19</v>
      </c>
      <c r="I4" s="342">
        <v>27414162</v>
      </c>
      <c r="J4" s="340">
        <v>4244184.666666667</v>
      </c>
      <c r="K4" s="341">
        <f>IF(I4&lt;&gt;0,I4/J4,"")</f>
        <v>6.459229310945784</v>
      </c>
    </row>
    <row r="5" spans="1:11" s="134" customFormat="1" ht="14.25" customHeight="1">
      <c r="A5" s="133">
        <v>2</v>
      </c>
      <c r="B5" s="209"/>
      <c r="C5" s="251" t="s">
        <v>148</v>
      </c>
      <c r="D5" s="320">
        <v>38723</v>
      </c>
      <c r="E5" s="298" t="s">
        <v>63</v>
      </c>
      <c r="F5" s="298" t="s">
        <v>149</v>
      </c>
      <c r="G5" s="96">
        <v>280</v>
      </c>
      <c r="H5" s="96">
        <v>16</v>
      </c>
      <c r="I5" s="343">
        <f>5592380+3880622.5+1673082.62+1119075.5+434517.5+130151.5+6347.5+744.5+27+2593+460+255+1561+9584+3764+14256</f>
        <v>12869421.620000001</v>
      </c>
      <c r="J5" s="322">
        <f>871283+621889+270076+179456+67736+23058+1452+132+6+608+92+51+376+3188+1672+3564</f>
        <v>2044639</v>
      </c>
      <c r="K5" s="324">
        <f>+I5/J5</f>
        <v>6.294226814611284</v>
      </c>
    </row>
    <row r="6" spans="1:12" s="134" customFormat="1" ht="14.25" customHeight="1">
      <c r="A6" s="133">
        <v>3</v>
      </c>
      <c r="B6" s="209"/>
      <c r="C6" s="256" t="s">
        <v>116</v>
      </c>
      <c r="D6" s="253">
        <v>38856</v>
      </c>
      <c r="E6" s="294" t="s">
        <v>60</v>
      </c>
      <c r="F6" s="294" t="s">
        <v>67</v>
      </c>
      <c r="G6" s="140">
        <v>195</v>
      </c>
      <c r="H6" s="140">
        <v>7</v>
      </c>
      <c r="I6" s="344">
        <f>3570701+1526862+890553+1110.5+642057+1962.5+391828+1004+177766+104472.5+6467-1313</f>
        <v>7313470.5</v>
      </c>
      <c r="J6" s="323">
        <f>473308+203407+120258+125+93991+244+58773+32636+18970+1209-234</f>
        <v>1002687</v>
      </c>
      <c r="K6" s="324">
        <f>+I6/J6</f>
        <v>7.293871866295264</v>
      </c>
      <c r="L6" s="356"/>
    </row>
    <row r="7" spans="1:11" s="136" customFormat="1" ht="14.25" customHeight="1">
      <c r="A7" s="133">
        <v>4</v>
      </c>
      <c r="B7" s="210"/>
      <c r="C7" s="250" t="s">
        <v>150</v>
      </c>
      <c r="D7" s="320">
        <v>38723</v>
      </c>
      <c r="E7" s="105" t="s">
        <v>35</v>
      </c>
      <c r="F7" s="105" t="s">
        <v>151</v>
      </c>
      <c r="G7" s="135">
        <v>199</v>
      </c>
      <c r="H7" s="135">
        <v>19</v>
      </c>
      <c r="I7" s="345">
        <v>6508885.1</v>
      </c>
      <c r="J7" s="321">
        <v>995000</v>
      </c>
      <c r="K7" s="325">
        <f>+I7/J7</f>
        <v>6.541593065326633</v>
      </c>
    </row>
    <row r="8" spans="1:11" s="136" customFormat="1" ht="14.25" customHeight="1">
      <c r="A8" s="133">
        <v>5</v>
      </c>
      <c r="B8" s="210"/>
      <c r="C8" s="251" t="s">
        <v>118</v>
      </c>
      <c r="D8" s="320">
        <v>38821</v>
      </c>
      <c r="E8" s="298" t="s">
        <v>63</v>
      </c>
      <c r="F8" s="298" t="s">
        <v>64</v>
      </c>
      <c r="G8" s="96">
        <v>118</v>
      </c>
      <c r="H8" s="96">
        <v>12</v>
      </c>
      <c r="I8" s="343">
        <f>1908861+1583540+976953.5+606582.5+358386.5+257458.5+154619+107195+70567+37968.5+18157.5+11925.5</f>
        <v>6092214.5</v>
      </c>
      <c r="J8" s="322">
        <f>267837+226672+141343+93283+56706+48660+34140+24736+15604+6640+3341+2116</f>
        <v>921078</v>
      </c>
      <c r="K8" s="324">
        <f>+I8/J8</f>
        <v>6.6142221397102094</v>
      </c>
    </row>
    <row r="9" spans="1:11" s="136" customFormat="1" ht="14.25" customHeight="1">
      <c r="A9" s="133">
        <v>6</v>
      </c>
      <c r="B9" s="210"/>
      <c r="C9" s="250" t="s">
        <v>0</v>
      </c>
      <c r="D9" s="320">
        <v>38765</v>
      </c>
      <c r="E9" s="105" t="s">
        <v>35</v>
      </c>
      <c r="F9" s="105" t="s">
        <v>85</v>
      </c>
      <c r="G9" s="135">
        <v>164</v>
      </c>
      <c r="H9" s="135">
        <v>19</v>
      </c>
      <c r="I9" s="345">
        <v>4222687.5</v>
      </c>
      <c r="J9" s="321">
        <v>646274</v>
      </c>
      <c r="K9" s="325">
        <f>+I9/J9</f>
        <v>6.533896613510678</v>
      </c>
    </row>
    <row r="10" spans="1:11" s="136" customFormat="1" ht="14.25" customHeight="1">
      <c r="A10" s="133">
        <v>7</v>
      </c>
      <c r="B10" s="210"/>
      <c r="C10" s="251" t="s">
        <v>25</v>
      </c>
      <c r="D10" s="320">
        <v>38758</v>
      </c>
      <c r="E10" s="298" t="s">
        <v>63</v>
      </c>
      <c r="F10" s="298" t="s">
        <v>68</v>
      </c>
      <c r="G10" s="96">
        <v>80</v>
      </c>
      <c r="H10" s="96">
        <v>21</v>
      </c>
      <c r="I10" s="343">
        <f>1046144.5+776147+471268+342390+240709.5+167344+96416.5+41350+35967.5+31795.5+14506+10028+6242+3523+4463+5109+150+198+3146.5+3199+1091</f>
        <v>3301188</v>
      </c>
      <c r="J10" s="322">
        <f>153560+115584+70079+59336+46681+34549+19625+8318+8035+8705+3661+2044+1179+753+1488+1703+50+66+1049+812+246</f>
        <v>537523</v>
      </c>
      <c r="K10" s="324">
        <f>+I10/J10</f>
        <v>6.141482317965929</v>
      </c>
    </row>
    <row r="11" spans="1:11" s="136" customFormat="1" ht="14.25" customHeight="1">
      <c r="A11" s="133">
        <v>8</v>
      </c>
      <c r="B11" s="210"/>
      <c r="C11" s="250" t="s">
        <v>152</v>
      </c>
      <c r="D11" s="320">
        <v>38730</v>
      </c>
      <c r="E11" s="105" t="s">
        <v>61</v>
      </c>
      <c r="F11" s="105" t="s">
        <v>66</v>
      </c>
      <c r="G11" s="135">
        <v>116</v>
      </c>
      <c r="H11" s="135">
        <v>21</v>
      </c>
      <c r="I11" s="343">
        <v>3277540</v>
      </c>
      <c r="J11" s="322">
        <v>466610</v>
      </c>
      <c r="K11" s="325">
        <f>+I11/J11</f>
        <v>7.024152932856133</v>
      </c>
    </row>
    <row r="12" spans="1:11" s="136" customFormat="1" ht="14.25" customHeight="1">
      <c r="A12" s="133">
        <v>9</v>
      </c>
      <c r="B12" s="210"/>
      <c r="C12" s="251" t="s">
        <v>220</v>
      </c>
      <c r="D12" s="320">
        <v>38842</v>
      </c>
      <c r="E12" s="298" t="s">
        <v>61</v>
      </c>
      <c r="F12" s="298" t="s">
        <v>75</v>
      </c>
      <c r="G12" s="96">
        <v>173</v>
      </c>
      <c r="H12" s="96">
        <v>9</v>
      </c>
      <c r="I12" s="343">
        <v>2820172</v>
      </c>
      <c r="J12" s="322">
        <v>378489</v>
      </c>
      <c r="K12" s="324">
        <f>+I12/J12</f>
        <v>7.451133322236577</v>
      </c>
    </row>
    <row r="13" spans="1:11" s="136" customFormat="1" ht="14.25" customHeight="1">
      <c r="A13" s="133">
        <v>10</v>
      </c>
      <c r="B13" s="210"/>
      <c r="C13" s="254" t="s">
        <v>56</v>
      </c>
      <c r="D13" s="320">
        <v>38807</v>
      </c>
      <c r="E13" s="104" t="s">
        <v>57</v>
      </c>
      <c r="F13" s="104" t="s">
        <v>58</v>
      </c>
      <c r="G13" s="95">
        <v>115</v>
      </c>
      <c r="H13" s="95" t="s">
        <v>223</v>
      </c>
      <c r="I13" s="343">
        <v>2090646</v>
      </c>
      <c r="J13" s="322">
        <v>291036</v>
      </c>
      <c r="K13" s="325">
        <f>+I13/J13</f>
        <v>7.1834618397723995</v>
      </c>
    </row>
    <row r="14" spans="1:11" s="136" customFormat="1" ht="14.25" customHeight="1">
      <c r="A14" s="133">
        <v>11</v>
      </c>
      <c r="B14" s="210"/>
      <c r="C14" s="250" t="s">
        <v>153</v>
      </c>
      <c r="D14" s="320">
        <v>38744</v>
      </c>
      <c r="E14" s="105" t="s">
        <v>61</v>
      </c>
      <c r="F14" s="105" t="s">
        <v>77</v>
      </c>
      <c r="G14" s="135">
        <v>71</v>
      </c>
      <c r="H14" s="135">
        <v>22</v>
      </c>
      <c r="I14" s="343">
        <v>1846426</v>
      </c>
      <c r="J14" s="322">
        <v>229233</v>
      </c>
      <c r="K14" s="325">
        <f>IF(I14&lt;&gt;0,I14/J14,"")</f>
        <v>8.054800137851007</v>
      </c>
    </row>
    <row r="15" spans="1:11" s="136" customFormat="1" ht="14.25" customHeight="1">
      <c r="A15" s="133">
        <v>12</v>
      </c>
      <c r="B15" s="210"/>
      <c r="C15" s="250" t="s">
        <v>42</v>
      </c>
      <c r="D15" s="320">
        <v>38793</v>
      </c>
      <c r="E15" s="105" t="s">
        <v>61</v>
      </c>
      <c r="F15" s="105" t="s">
        <v>62</v>
      </c>
      <c r="G15" s="135">
        <v>129</v>
      </c>
      <c r="H15" s="135">
        <v>14</v>
      </c>
      <c r="I15" s="343">
        <v>1787639</v>
      </c>
      <c r="J15" s="322">
        <v>272066</v>
      </c>
      <c r="K15" s="325">
        <f>IF(I15&lt;&gt;0,I15/J15,"")</f>
        <v>6.570607867208692</v>
      </c>
    </row>
    <row r="16" spans="1:11" s="136" customFormat="1" ht="14.25" customHeight="1">
      <c r="A16" s="133">
        <v>13</v>
      </c>
      <c r="B16" s="210"/>
      <c r="C16" s="252" t="s">
        <v>22</v>
      </c>
      <c r="D16" s="253">
        <v>38786</v>
      </c>
      <c r="E16" s="102" t="s">
        <v>60</v>
      </c>
      <c r="F16" s="103" t="s">
        <v>67</v>
      </c>
      <c r="G16" s="50">
        <v>88</v>
      </c>
      <c r="H16" s="50">
        <v>11</v>
      </c>
      <c r="I16" s="344">
        <f>766172.5+426876.5+722.5+265870+79562.5+40+30203.5+20801+7671+6348+3330+1374+273</f>
        <v>1609244.5</v>
      </c>
      <c r="J16" s="323">
        <f>104283+58908+78+37818+14443+4+6768+4620+1770+1277+711+322+66</f>
        <v>231068</v>
      </c>
      <c r="K16" s="324">
        <f>+I16/J16</f>
        <v>6.964376287499784</v>
      </c>
    </row>
    <row r="17" spans="1:13" s="136" customFormat="1" ht="14.25" customHeight="1">
      <c r="A17" s="133">
        <v>14</v>
      </c>
      <c r="B17" s="210"/>
      <c r="C17" s="251" t="s">
        <v>204</v>
      </c>
      <c r="D17" s="320">
        <v>38863</v>
      </c>
      <c r="E17" s="298" t="s">
        <v>63</v>
      </c>
      <c r="F17" s="298" t="s">
        <v>64</v>
      </c>
      <c r="G17" s="96">
        <v>61</v>
      </c>
      <c r="H17" s="96">
        <v>6</v>
      </c>
      <c r="I17" s="343">
        <f>666456+404849+225072+162061.5+76866+54951.5</f>
        <v>1590256</v>
      </c>
      <c r="J17" s="322">
        <f>83759+51381+29986+23774+12608+9892</f>
        <v>211400</v>
      </c>
      <c r="K17" s="324">
        <f>+I17/J17</f>
        <v>7.522497634815515</v>
      </c>
      <c r="M17" s="138"/>
    </row>
    <row r="18" spans="1:11" s="136" customFormat="1" ht="14.25" customHeight="1">
      <c r="A18" s="133">
        <v>15</v>
      </c>
      <c r="B18" s="210"/>
      <c r="C18" s="250" t="s">
        <v>114</v>
      </c>
      <c r="D18" s="320">
        <v>38751</v>
      </c>
      <c r="E18" s="105" t="s">
        <v>61</v>
      </c>
      <c r="F18" s="105" t="s">
        <v>72</v>
      </c>
      <c r="G18" s="135">
        <v>51</v>
      </c>
      <c r="H18" s="135">
        <v>17</v>
      </c>
      <c r="I18" s="343">
        <v>1335814</v>
      </c>
      <c r="J18" s="322">
        <v>174639</v>
      </c>
      <c r="K18" s="325">
        <f>+I18/J18</f>
        <v>7.649001654842275</v>
      </c>
    </row>
    <row r="19" spans="1:11" s="136" customFormat="1" ht="14.25" customHeight="1">
      <c r="A19" s="133">
        <v>16</v>
      </c>
      <c r="B19" s="210"/>
      <c r="C19" s="252" t="s">
        <v>154</v>
      </c>
      <c r="D19" s="253">
        <v>38758</v>
      </c>
      <c r="E19" s="137" t="s">
        <v>60</v>
      </c>
      <c r="F19" s="103" t="s">
        <v>67</v>
      </c>
      <c r="G19" s="50">
        <v>61</v>
      </c>
      <c r="H19" s="50">
        <v>15</v>
      </c>
      <c r="I19" s="344">
        <f>532455+375378.5+1288+209157.5+74302.5+38855.5+4630+21016.5+13072+2309+5106+4417+5902+1814.5+1188+1188+1782</f>
        <v>1293862</v>
      </c>
      <c r="J19" s="323">
        <f>61952+44929+104+25802+9625+5738+693+3941-2+1998+265+605+699+1165+276+358+341+356</f>
        <v>158845</v>
      </c>
      <c r="K19" s="324">
        <f>+I19/J19</f>
        <v>8.145437376058421</v>
      </c>
    </row>
    <row r="20" spans="1:11" s="136" customFormat="1" ht="14.25" customHeight="1">
      <c r="A20" s="133">
        <v>17</v>
      </c>
      <c r="B20" s="210"/>
      <c r="C20" s="251" t="s">
        <v>205</v>
      </c>
      <c r="D20" s="320">
        <v>38874</v>
      </c>
      <c r="E20" s="298" t="s">
        <v>63</v>
      </c>
      <c r="F20" s="298" t="s">
        <v>64</v>
      </c>
      <c r="G20" s="96">
        <v>66</v>
      </c>
      <c r="H20" s="96">
        <v>4</v>
      </c>
      <c r="I20" s="343">
        <f>298281+498557+283775.5+118453+85103</f>
        <v>1284169.5</v>
      </c>
      <c r="J20" s="322">
        <f>42602+67227+38732+16300+14294</f>
        <v>179155</v>
      </c>
      <c r="K20" s="324">
        <f>+I20/J20</f>
        <v>7.167924422985683</v>
      </c>
    </row>
    <row r="21" spans="1:11" s="136" customFormat="1" ht="14.25" customHeight="1">
      <c r="A21" s="133">
        <v>18</v>
      </c>
      <c r="B21" s="210"/>
      <c r="C21" s="252" t="s">
        <v>24</v>
      </c>
      <c r="D21" s="253">
        <v>38730</v>
      </c>
      <c r="E21" s="102" t="s">
        <v>60</v>
      </c>
      <c r="F21" s="103" t="s">
        <v>32</v>
      </c>
      <c r="G21" s="50">
        <v>62</v>
      </c>
      <c r="H21" s="50">
        <v>18</v>
      </c>
      <c r="I21" s="344">
        <f>620634.5+342052.5+188118+10733+4394+3499+5130.5+267+2707.5+1265.5+1567+387+1177+148+551+59+124+2376</f>
        <v>1185190.5</v>
      </c>
      <c r="J21" s="323">
        <f>71532+39787+22209+1403+667+665+1174+78+545+187+307+74+286+21+88+9+19+475</f>
        <v>139526</v>
      </c>
      <c r="K21" s="324">
        <f>+I21/J21</f>
        <v>8.494406060519186</v>
      </c>
    </row>
    <row r="22" spans="1:11" s="136" customFormat="1" ht="14.25" customHeight="1">
      <c r="A22" s="133">
        <v>19</v>
      </c>
      <c r="B22" s="210"/>
      <c r="C22" s="252" t="s">
        <v>155</v>
      </c>
      <c r="D22" s="253">
        <v>38737</v>
      </c>
      <c r="E22" s="137" t="s">
        <v>60</v>
      </c>
      <c r="F22" s="103" t="s">
        <v>67</v>
      </c>
      <c r="G22" s="50">
        <v>59</v>
      </c>
      <c r="H22" s="50">
        <v>14</v>
      </c>
      <c r="I22" s="344">
        <f>608427+380282+114207+9532.5+267+10793+13396.5+5792+7887+5035.5+7591+2654+5417+339+1456</f>
        <v>1173076.5</v>
      </c>
      <c r="J22" s="323">
        <f>84958+53848+16688+1589+36+2247+2850+1209+1697+1120+1428+513+1135+61+416</f>
        <v>169795</v>
      </c>
      <c r="K22" s="324">
        <f>+I22/J22</f>
        <v>6.908781177302041</v>
      </c>
    </row>
    <row r="23" spans="1:11" s="136" customFormat="1" ht="14.25" customHeight="1">
      <c r="A23" s="133">
        <v>20</v>
      </c>
      <c r="B23" s="210"/>
      <c r="C23" s="251" t="s">
        <v>53</v>
      </c>
      <c r="D23" s="320">
        <v>38800</v>
      </c>
      <c r="E23" s="298" t="s">
        <v>63</v>
      </c>
      <c r="F23" s="298" t="s">
        <v>64</v>
      </c>
      <c r="G23" s="96">
        <v>92</v>
      </c>
      <c r="H23" s="96">
        <v>13</v>
      </c>
      <c r="I23" s="343">
        <f>481751.5+308419.5+242119.5+52953+38471.5+16408.5+18127+1517+5096+60+3053+445.5+482</f>
        <v>1168904</v>
      </c>
      <c r="J23" s="322">
        <f>67910+40806+32344+8727+9142+4213+4473+313+1639+13+1011+76+110</f>
        <v>170777</v>
      </c>
      <c r="K23" s="324">
        <f>+I23/J23</f>
        <v>6.844621933866973</v>
      </c>
    </row>
    <row r="24" spans="1:11" s="136" customFormat="1" ht="14.25" customHeight="1">
      <c r="A24" s="133">
        <v>21</v>
      </c>
      <c r="B24" s="210"/>
      <c r="C24" s="251" t="s">
        <v>117</v>
      </c>
      <c r="D24" s="320">
        <v>38856</v>
      </c>
      <c r="E24" s="298" t="s">
        <v>61</v>
      </c>
      <c r="F24" s="298" t="s">
        <v>225</v>
      </c>
      <c r="G24" s="96">
        <v>160</v>
      </c>
      <c r="H24" s="96">
        <v>7</v>
      </c>
      <c r="I24" s="343">
        <v>1138865</v>
      </c>
      <c r="J24" s="322">
        <v>176402</v>
      </c>
      <c r="K24" s="324">
        <f>+I24/J24</f>
        <v>6.456077595492115</v>
      </c>
    </row>
    <row r="25" spans="1:11" s="136" customFormat="1" ht="14.25" customHeight="1">
      <c r="A25" s="133">
        <v>22</v>
      </c>
      <c r="B25" s="210"/>
      <c r="C25" s="256" t="s">
        <v>234</v>
      </c>
      <c r="D25" s="253">
        <v>38891</v>
      </c>
      <c r="E25" s="294" t="s">
        <v>60</v>
      </c>
      <c r="F25" s="294" t="s">
        <v>32</v>
      </c>
      <c r="G25" s="140">
        <v>134</v>
      </c>
      <c r="H25" s="140">
        <v>2</v>
      </c>
      <c r="I25" s="344">
        <f>694435+438090+738</f>
        <v>1133263</v>
      </c>
      <c r="J25" s="323">
        <f>90541+58080+141</f>
        <v>148762</v>
      </c>
      <c r="K25" s="324">
        <f>+I25/J25</f>
        <v>7.617960231779621</v>
      </c>
    </row>
    <row r="26" spans="1:11" s="136" customFormat="1" ht="14.25" customHeight="1">
      <c r="A26" s="133">
        <v>23</v>
      </c>
      <c r="B26" s="210"/>
      <c r="C26" s="255" t="s">
        <v>156</v>
      </c>
      <c r="D26" s="253">
        <v>38772</v>
      </c>
      <c r="E26" s="102" t="s">
        <v>60</v>
      </c>
      <c r="F26" s="102" t="s">
        <v>74</v>
      </c>
      <c r="G26" s="224">
        <v>83</v>
      </c>
      <c r="H26" s="224" t="s">
        <v>223</v>
      </c>
      <c r="I26" s="344">
        <f>567539+316479.5+147520.5+33631.5+20525+10752+2179+662+816+695+493</f>
        <v>1101292.5</v>
      </c>
      <c r="J26" s="323">
        <f>70751+40533+20089+5992+4309+2533+671+110+159+161+111</f>
        <v>145419</v>
      </c>
      <c r="K26" s="324">
        <f>+I26/J26</f>
        <v>7.573236647205661</v>
      </c>
    </row>
    <row r="27" spans="1:11" s="136" customFormat="1" ht="14.25" customHeight="1">
      <c r="A27" s="133">
        <v>24</v>
      </c>
      <c r="B27" s="210"/>
      <c r="C27" s="256" t="s">
        <v>23</v>
      </c>
      <c r="D27" s="253">
        <v>38779</v>
      </c>
      <c r="E27" s="294" t="s">
        <v>60</v>
      </c>
      <c r="F27" s="294" t="s">
        <v>67</v>
      </c>
      <c r="G27" s="140">
        <v>96</v>
      </c>
      <c r="H27" s="140">
        <v>14</v>
      </c>
      <c r="I27" s="344">
        <f>548794+335797+701.5+148448.5+3571+32617.5+14092-3800+4657-453+614+455+1282.5+769+847+550+261+927</f>
        <v>1090131</v>
      </c>
      <c r="J27" s="323">
        <f>69211+43223+82+20305+51+6206+3183-272+1252-105+122+156+265+127+180+266+61+213</f>
        <v>144526</v>
      </c>
      <c r="K27" s="324">
        <f>+I27/J27</f>
        <v>7.542801987185697</v>
      </c>
    </row>
    <row r="28" spans="1:11" s="136" customFormat="1" ht="14.25" customHeight="1">
      <c r="A28" s="133">
        <v>25</v>
      </c>
      <c r="B28" s="210"/>
      <c r="C28" s="256" t="s">
        <v>81</v>
      </c>
      <c r="D28" s="253">
        <v>38814</v>
      </c>
      <c r="E28" s="294" t="s">
        <v>60</v>
      </c>
      <c r="F28" s="294" t="s">
        <v>82</v>
      </c>
      <c r="G28" s="140">
        <v>124</v>
      </c>
      <c r="H28" s="140">
        <v>13</v>
      </c>
      <c r="I28" s="344">
        <f>439414+274192+192421+64.5+69171.5+43293.5-3918+20352-1014+12440+194+1138+1592+2424+1929+445+265</f>
        <v>1054403.5</v>
      </c>
      <c r="J28" s="323">
        <f>65914+42392+32259+2+13519+9474-1031+5275-202+2638+58+320+376+596+488+111+82</f>
        <v>172271</v>
      </c>
      <c r="K28" s="324">
        <f>+I28/J28</f>
        <v>6.120609388695717</v>
      </c>
    </row>
    <row r="29" spans="1:11" s="136" customFormat="1" ht="14.25" customHeight="1">
      <c r="A29" s="133">
        <v>26</v>
      </c>
      <c r="B29" s="210"/>
      <c r="C29" s="251" t="s">
        <v>97</v>
      </c>
      <c r="D29" s="320">
        <v>38835</v>
      </c>
      <c r="E29" s="298" t="s">
        <v>61</v>
      </c>
      <c r="F29" s="298" t="s">
        <v>72</v>
      </c>
      <c r="G29" s="96">
        <v>71</v>
      </c>
      <c r="H29" s="96">
        <v>10</v>
      </c>
      <c r="I29" s="343">
        <v>996951</v>
      </c>
      <c r="J29" s="322">
        <v>122017</v>
      </c>
      <c r="K29" s="324">
        <f>+I29/J29</f>
        <v>8.170590983223649</v>
      </c>
    </row>
    <row r="30" spans="1:11" s="136" customFormat="1" ht="14.25" customHeight="1">
      <c r="A30" s="133">
        <v>27</v>
      </c>
      <c r="B30" s="210"/>
      <c r="C30" s="251" t="s">
        <v>109</v>
      </c>
      <c r="D30" s="320">
        <v>38821</v>
      </c>
      <c r="E30" s="298" t="s">
        <v>61</v>
      </c>
      <c r="F30" s="298" t="s">
        <v>66</v>
      </c>
      <c r="G30" s="96">
        <v>94</v>
      </c>
      <c r="H30" s="96">
        <v>13</v>
      </c>
      <c r="I30" s="343">
        <v>993995</v>
      </c>
      <c r="J30" s="322">
        <v>147012</v>
      </c>
      <c r="K30" s="324">
        <f>+I30/J30</f>
        <v>6.761318803907164</v>
      </c>
    </row>
    <row r="31" spans="1:11" s="136" customFormat="1" ht="14.25" customHeight="1">
      <c r="A31" s="133">
        <v>28</v>
      </c>
      <c r="B31" s="210"/>
      <c r="C31" s="251" t="s">
        <v>39</v>
      </c>
      <c r="D31" s="320">
        <v>38779</v>
      </c>
      <c r="E31" s="298" t="s">
        <v>61</v>
      </c>
      <c r="F31" s="298" t="s">
        <v>66</v>
      </c>
      <c r="G31" s="96">
        <v>60</v>
      </c>
      <c r="H31" s="96">
        <v>18</v>
      </c>
      <c r="I31" s="343">
        <v>974524</v>
      </c>
      <c r="J31" s="322">
        <v>145261</v>
      </c>
      <c r="K31" s="324">
        <f>+I31/J31</f>
        <v>6.708779369548606</v>
      </c>
    </row>
    <row r="32" spans="1:11" s="136" customFormat="1" ht="14.25" customHeight="1">
      <c r="A32" s="133">
        <v>29</v>
      </c>
      <c r="B32" s="210"/>
      <c r="C32" s="251" t="s">
        <v>98</v>
      </c>
      <c r="D32" s="320">
        <v>38835</v>
      </c>
      <c r="E32" s="298" t="s">
        <v>63</v>
      </c>
      <c r="F32" s="298" t="s">
        <v>105</v>
      </c>
      <c r="G32" s="96">
        <v>65</v>
      </c>
      <c r="H32" s="96">
        <v>10</v>
      </c>
      <c r="I32" s="343">
        <f>931000.5+3911.5+6678.5</f>
        <v>941590.5</v>
      </c>
      <c r="J32" s="322">
        <f>51957+35225+20957+7725+6499+6734+4731+2957+723+1206</f>
        <v>138714</v>
      </c>
      <c r="K32" s="324">
        <f>+I32/J32</f>
        <v>6.787999048401748</v>
      </c>
    </row>
    <row r="33" spans="1:11" s="136" customFormat="1" ht="14.25" customHeight="1">
      <c r="A33" s="133">
        <v>30</v>
      </c>
      <c r="B33" s="210"/>
      <c r="C33" s="250" t="s">
        <v>157</v>
      </c>
      <c r="D33" s="320">
        <v>38737</v>
      </c>
      <c r="E33" s="105" t="s">
        <v>63</v>
      </c>
      <c r="F33" s="105" t="s">
        <v>76</v>
      </c>
      <c r="G33" s="135">
        <v>43</v>
      </c>
      <c r="H33" s="135">
        <v>16</v>
      </c>
      <c r="I33" s="343">
        <f>396203.5+294727+144308+39007.5+20845+13381+3440+5237.5+6333+2618+1285+5683+2376+297+2376+1345</f>
        <v>939462.5</v>
      </c>
      <c r="J33" s="322">
        <f>47896+35851+17460+6558+3746+4007+1374+1611+1950+556+169+1830+1188+72+792+240</f>
        <v>125300</v>
      </c>
      <c r="K33" s="325">
        <f>+I33/J33</f>
        <v>7.497705506783719</v>
      </c>
    </row>
    <row r="34" spans="1:11" s="136" customFormat="1" ht="14.25" customHeight="1">
      <c r="A34" s="133">
        <v>31</v>
      </c>
      <c r="B34" s="210"/>
      <c r="C34" s="252" t="s">
        <v>59</v>
      </c>
      <c r="D34" s="253">
        <v>38807</v>
      </c>
      <c r="E34" s="137" t="s">
        <v>60</v>
      </c>
      <c r="F34" s="103" t="s">
        <v>32</v>
      </c>
      <c r="G34" s="50">
        <v>77</v>
      </c>
      <c r="H34" s="50">
        <v>11</v>
      </c>
      <c r="I34" s="344">
        <f>360631+281662+146898.5-10+41732+5+35353+15128+3266+1520+1188+422+766</f>
        <v>888561.5</v>
      </c>
      <c r="J34" s="323">
        <f>47208+36381+19166-5+6638+7219+4011+941+529+229+99+177</f>
        <v>122593</v>
      </c>
      <c r="K34" s="324">
        <f>+I34/J34</f>
        <v>7.248060655991778</v>
      </c>
    </row>
    <row r="35" spans="1:11" s="136" customFormat="1" ht="14.25" customHeight="1">
      <c r="A35" s="133">
        <v>32</v>
      </c>
      <c r="B35" s="210"/>
      <c r="C35" s="256" t="s">
        <v>50</v>
      </c>
      <c r="D35" s="253">
        <v>38800</v>
      </c>
      <c r="E35" s="294" t="s">
        <v>43</v>
      </c>
      <c r="F35" s="294" t="s">
        <v>84</v>
      </c>
      <c r="G35" s="140">
        <v>58</v>
      </c>
      <c r="H35" s="140">
        <v>15</v>
      </c>
      <c r="I35" s="346">
        <f>350945.5+222517.5+139156.5+40897.5+38142.5+25481.5+16036.5+2540+5715.5+4760+5176+3952+1523+1314+3068</f>
        <v>861226</v>
      </c>
      <c r="J35" s="322">
        <f>46256+31606+20219+8293+8608+6050+3760+524+1828+885+1287+758+233+204+640</f>
        <v>131151</v>
      </c>
      <c r="K35" s="324">
        <f>+I35/J35</f>
        <v>6.566675053945453</v>
      </c>
    </row>
    <row r="36" spans="1:11" s="136" customFormat="1" ht="14.25" customHeight="1">
      <c r="A36" s="133">
        <v>33</v>
      </c>
      <c r="B36" s="210"/>
      <c r="C36" s="251" t="s">
        <v>115</v>
      </c>
      <c r="D36" s="320">
        <v>38772</v>
      </c>
      <c r="E36" s="298" t="s">
        <v>61</v>
      </c>
      <c r="F36" s="298" t="s">
        <v>72</v>
      </c>
      <c r="G36" s="96">
        <v>62</v>
      </c>
      <c r="H36" s="96">
        <v>19</v>
      </c>
      <c r="I36" s="343">
        <v>824087</v>
      </c>
      <c r="J36" s="322">
        <v>108813</v>
      </c>
      <c r="K36" s="324">
        <f>+I36/J36</f>
        <v>7.57342413130784</v>
      </c>
    </row>
    <row r="37" spans="1:11" s="136" customFormat="1" ht="14.25" customHeight="1">
      <c r="A37" s="133">
        <v>34</v>
      </c>
      <c r="B37" s="210"/>
      <c r="C37" s="256" t="s">
        <v>91</v>
      </c>
      <c r="D37" s="253">
        <v>38828</v>
      </c>
      <c r="E37" s="294" t="s">
        <v>60</v>
      </c>
      <c r="F37" s="294" t="s">
        <v>74</v>
      </c>
      <c r="G37" s="140">
        <v>59</v>
      </c>
      <c r="H37" s="140">
        <v>11</v>
      </c>
      <c r="I37" s="344">
        <f>365673.5+242198.5+102288+967.5+39022+4819.5+5052.5+2597+1947+372+616+2131.5</f>
        <v>767685</v>
      </c>
      <c r="J37" s="323">
        <f>45213+29847+13085+1+6124+1313+1025+532+463+93+154+353</f>
        <v>98203</v>
      </c>
      <c r="K37" s="324">
        <f>+I37/J37</f>
        <v>7.817327372890849</v>
      </c>
    </row>
    <row r="38" spans="1:11" s="136" customFormat="1" ht="14.25" customHeight="1">
      <c r="A38" s="133">
        <v>35</v>
      </c>
      <c r="B38" s="210"/>
      <c r="C38" s="252" t="s">
        <v>158</v>
      </c>
      <c r="D38" s="253">
        <v>38793</v>
      </c>
      <c r="E38" s="137" t="s">
        <v>60</v>
      </c>
      <c r="F38" s="103" t="s">
        <v>32</v>
      </c>
      <c r="G38" s="50">
        <v>61</v>
      </c>
      <c r="H38" s="50">
        <v>12</v>
      </c>
      <c r="I38" s="344">
        <f>382650.25+216772+80793+19622+15213+10279+6237+3281.5+545+179+1009+295</f>
        <v>736875.75</v>
      </c>
      <c r="J38" s="323">
        <f>44423+25158+2+10694+4081+3731+2440+1502+538+87+42+240+59</f>
        <v>92997</v>
      </c>
      <c r="K38" s="324">
        <f>+I38/J38</f>
        <v>7.923650762927837</v>
      </c>
    </row>
    <row r="39" spans="1:11" s="136" customFormat="1" ht="14.25" customHeight="1">
      <c r="A39" s="133">
        <v>36</v>
      </c>
      <c r="B39" s="210"/>
      <c r="C39" s="252" t="s">
        <v>232</v>
      </c>
      <c r="D39" s="253">
        <v>38765</v>
      </c>
      <c r="E39" s="137" t="s">
        <v>60</v>
      </c>
      <c r="F39" s="103" t="s">
        <v>73</v>
      </c>
      <c r="G39" s="50">
        <v>23</v>
      </c>
      <c r="H39" s="50">
        <v>14</v>
      </c>
      <c r="I39" s="344">
        <f>233855.5+204363.5+128310.5+63025+34881+574.5+33654+11641+7934+7483+300+4766+188+102+1767.5+210</f>
        <v>733055.5</v>
      </c>
      <c r="J39" s="323">
        <f>23969+21050+14093+7549+5203+51+5592+2578+1510+1129+34+863+23+411+42</f>
        <v>84097</v>
      </c>
      <c r="K39" s="324">
        <f>+I39/J39</f>
        <v>8.71678537878878</v>
      </c>
    </row>
    <row r="40" spans="1:11" s="136" customFormat="1" ht="14.25" customHeight="1">
      <c r="A40" s="133">
        <v>37</v>
      </c>
      <c r="B40" s="210"/>
      <c r="C40" s="251" t="s">
        <v>92</v>
      </c>
      <c r="D40" s="320">
        <v>38828</v>
      </c>
      <c r="E40" s="298" t="s">
        <v>63</v>
      </c>
      <c r="F40" s="298" t="s">
        <v>76</v>
      </c>
      <c r="G40" s="96">
        <v>43</v>
      </c>
      <c r="H40" s="96">
        <v>11</v>
      </c>
      <c r="I40" s="343">
        <f>221837.5+151726+100334.5+58293.5+26175.5+11161+17463.5+3291+21578+7312+4262.5</f>
        <v>623435</v>
      </c>
      <c r="J40" s="322">
        <f>31465+21243+15047+11409+5192+2380+3862+919+4153+1349+750</f>
        <v>97769</v>
      </c>
      <c r="K40" s="324">
        <f>+I40/J40</f>
        <v>6.376612218596897</v>
      </c>
    </row>
    <row r="41" spans="1:11" s="136" customFormat="1" ht="14.25" customHeight="1">
      <c r="A41" s="133">
        <v>38</v>
      </c>
      <c r="B41" s="210"/>
      <c r="C41" s="251" t="s">
        <v>214</v>
      </c>
      <c r="D41" s="320">
        <v>38877</v>
      </c>
      <c r="E41" s="298" t="s">
        <v>61</v>
      </c>
      <c r="F41" s="298" t="s">
        <v>66</v>
      </c>
      <c r="G41" s="96">
        <v>60</v>
      </c>
      <c r="H41" s="96">
        <v>4</v>
      </c>
      <c r="I41" s="343">
        <v>590750</v>
      </c>
      <c r="J41" s="322">
        <v>71240</v>
      </c>
      <c r="K41" s="324">
        <f>+I41/J41</f>
        <v>8.292391914654688</v>
      </c>
    </row>
    <row r="42" spans="1:11" s="136" customFormat="1" ht="14.25" customHeight="1">
      <c r="A42" s="133">
        <v>39</v>
      </c>
      <c r="B42" s="210"/>
      <c r="C42" s="256" t="s">
        <v>27</v>
      </c>
      <c r="D42" s="253">
        <v>38716</v>
      </c>
      <c r="E42" s="294" t="s">
        <v>60</v>
      </c>
      <c r="F42" s="294" t="s">
        <v>67</v>
      </c>
      <c r="G42" s="140">
        <v>60</v>
      </c>
      <c r="H42" s="140">
        <v>17</v>
      </c>
      <c r="I42" s="344">
        <f>585119+1780+1044+82.5+240+71</f>
        <v>588336.5</v>
      </c>
      <c r="J42" s="323">
        <f>83689+369+235+15+48+17</f>
        <v>84373</v>
      </c>
      <c r="K42" s="324">
        <f>+I42/J42</f>
        <v>6.973042323966197</v>
      </c>
    </row>
    <row r="43" spans="1:11" s="136" customFormat="1" ht="14.25" customHeight="1">
      <c r="A43" s="133">
        <v>40</v>
      </c>
      <c r="B43" s="210"/>
      <c r="C43" s="250" t="s">
        <v>65</v>
      </c>
      <c r="D43" s="320">
        <v>38807</v>
      </c>
      <c r="E43" s="105" t="s">
        <v>61</v>
      </c>
      <c r="F43" s="105" t="s">
        <v>66</v>
      </c>
      <c r="G43" s="135">
        <v>62</v>
      </c>
      <c r="H43" s="135">
        <v>10</v>
      </c>
      <c r="I43" s="343">
        <v>547666</v>
      </c>
      <c r="J43" s="322">
        <v>71793</v>
      </c>
      <c r="K43" s="325">
        <f>+I43/J43</f>
        <v>7.62840388338696</v>
      </c>
    </row>
    <row r="44" spans="1:11" s="136" customFormat="1" ht="14.25" customHeight="1">
      <c r="A44" s="133">
        <v>41</v>
      </c>
      <c r="B44" s="210"/>
      <c r="C44" s="254" t="s">
        <v>203</v>
      </c>
      <c r="D44" s="320">
        <v>38863</v>
      </c>
      <c r="E44" s="104" t="s">
        <v>123</v>
      </c>
      <c r="F44" s="104" t="s">
        <v>70</v>
      </c>
      <c r="G44" s="96">
        <v>35</v>
      </c>
      <c r="H44" s="96">
        <v>6</v>
      </c>
      <c r="I44" s="343">
        <f>149883.5+135641.5+82301.5+72589.5+39819+39540</f>
        <v>519775</v>
      </c>
      <c r="J44" s="322">
        <f>19608+17668+11309+10378+6088+6513</f>
        <v>71564</v>
      </c>
      <c r="K44" s="324">
        <f>+I44/J44</f>
        <v>7.263079201833324</v>
      </c>
    </row>
    <row r="45" spans="1:11" s="136" customFormat="1" ht="14.25" customHeight="1">
      <c r="A45" s="133">
        <v>42</v>
      </c>
      <c r="B45" s="210"/>
      <c r="C45" s="250" t="s">
        <v>120</v>
      </c>
      <c r="D45" s="320">
        <v>38786</v>
      </c>
      <c r="E45" s="105" t="s">
        <v>61</v>
      </c>
      <c r="F45" s="105" t="s">
        <v>75</v>
      </c>
      <c r="G45" s="135">
        <v>63</v>
      </c>
      <c r="H45" s="135">
        <v>11</v>
      </c>
      <c r="I45" s="343">
        <v>508013</v>
      </c>
      <c r="J45" s="322">
        <v>64201</v>
      </c>
      <c r="K45" s="325">
        <f>+I45/J45</f>
        <v>7.912851824737932</v>
      </c>
    </row>
    <row r="46" spans="1:11" s="136" customFormat="1" ht="14.25" customHeight="1">
      <c r="A46" s="133">
        <v>43</v>
      </c>
      <c r="B46" s="210"/>
      <c r="C46" s="252" t="s">
        <v>48</v>
      </c>
      <c r="D46" s="253">
        <v>38800</v>
      </c>
      <c r="E46" s="137" t="s">
        <v>60</v>
      </c>
      <c r="F46" s="103" t="s">
        <v>111</v>
      </c>
      <c r="G46" s="50">
        <v>42</v>
      </c>
      <c r="H46" s="50">
        <v>12</v>
      </c>
      <c r="I46" s="344">
        <f>288395.5+117307+73357+9936.5+3180.5+6040+3145+3698+425+75+340+340+815.5</f>
        <v>507055</v>
      </c>
      <c r="J46" s="323">
        <f>32591+13752+9420+1407+573+1208+527+673+68+34+68+117</f>
        <v>60438</v>
      </c>
      <c r="K46" s="324">
        <f>+I46/J46</f>
        <v>8.389672060624111</v>
      </c>
    </row>
    <row r="47" spans="1:11" s="136" customFormat="1" ht="14.25" customHeight="1">
      <c r="A47" s="133">
        <v>44</v>
      </c>
      <c r="B47" s="210"/>
      <c r="C47" s="250" t="s">
        <v>159</v>
      </c>
      <c r="D47" s="320">
        <v>38751</v>
      </c>
      <c r="E47" s="105" t="s">
        <v>61</v>
      </c>
      <c r="F47" s="105" t="s">
        <v>160</v>
      </c>
      <c r="G47" s="135">
        <v>27</v>
      </c>
      <c r="H47" s="135">
        <v>15</v>
      </c>
      <c r="I47" s="343">
        <v>479686</v>
      </c>
      <c r="J47" s="322">
        <v>55874</v>
      </c>
      <c r="K47" s="325">
        <f>+I47/J47</f>
        <v>8.585137989046784</v>
      </c>
    </row>
    <row r="48" spans="1:11" s="136" customFormat="1" ht="14.25" customHeight="1">
      <c r="A48" s="133">
        <v>45</v>
      </c>
      <c r="B48" s="210"/>
      <c r="C48" s="251" t="s">
        <v>52</v>
      </c>
      <c r="D48" s="320">
        <v>38793</v>
      </c>
      <c r="E48" s="298" t="s">
        <v>63</v>
      </c>
      <c r="F48" s="298" t="s">
        <v>119</v>
      </c>
      <c r="G48" s="96">
        <v>50</v>
      </c>
      <c r="H48" s="96">
        <v>11</v>
      </c>
      <c r="I48" s="343">
        <f>196913+123210+45760+23987+14825+9931+11940+5017.5+2178+911+318.5</f>
        <v>434991</v>
      </c>
      <c r="J48" s="322">
        <f>26732+15006+5997+4114+3495+3333+3072+1744+485+414+91</f>
        <v>64483</v>
      </c>
      <c r="K48" s="324">
        <f>+I48/J48</f>
        <v>6.745824480870927</v>
      </c>
    </row>
    <row r="49" spans="1:11" s="136" customFormat="1" ht="14.25" customHeight="1">
      <c r="A49" s="133">
        <v>46</v>
      </c>
      <c r="B49" s="210"/>
      <c r="C49" s="251" t="s">
        <v>206</v>
      </c>
      <c r="D49" s="320">
        <v>38870</v>
      </c>
      <c r="E49" s="298" t="s">
        <v>61</v>
      </c>
      <c r="F49" s="298" t="s">
        <v>66</v>
      </c>
      <c r="G49" s="96">
        <v>82</v>
      </c>
      <c r="H49" s="96">
        <v>5</v>
      </c>
      <c r="I49" s="343">
        <v>408906</v>
      </c>
      <c r="J49" s="322">
        <v>57393</v>
      </c>
      <c r="K49" s="324">
        <f>+I49/J49</f>
        <v>7.124666771209032</v>
      </c>
    </row>
    <row r="50" spans="1:11" s="136" customFormat="1" ht="14.25" customHeight="1">
      <c r="A50" s="133">
        <v>47</v>
      </c>
      <c r="B50" s="210"/>
      <c r="C50" s="256" t="s">
        <v>83</v>
      </c>
      <c r="D50" s="253">
        <v>38814</v>
      </c>
      <c r="E50" s="294" t="s">
        <v>43</v>
      </c>
      <c r="F50" s="294" t="s">
        <v>84</v>
      </c>
      <c r="G50" s="140">
        <v>56</v>
      </c>
      <c r="H50" s="140">
        <v>9</v>
      </c>
      <c r="I50" s="346">
        <f>217941.5+99459+32613+17816.5+8424.5+3203+531+1188+1702</f>
        <v>382878.5</v>
      </c>
      <c r="J50" s="322">
        <f>30137+15034+5570+3956+2001+658+128+237+338</f>
        <v>58059</v>
      </c>
      <c r="K50" s="324">
        <f>+I50/J50</f>
        <v>6.594645102395838</v>
      </c>
    </row>
    <row r="51" spans="1:11" s="134" customFormat="1" ht="14.25" customHeight="1">
      <c r="A51" s="133">
        <v>48</v>
      </c>
      <c r="B51" s="210"/>
      <c r="C51" s="251" t="s">
        <v>106</v>
      </c>
      <c r="D51" s="320">
        <v>38849</v>
      </c>
      <c r="E51" s="298" t="s">
        <v>63</v>
      </c>
      <c r="F51" s="298" t="s">
        <v>64</v>
      </c>
      <c r="G51" s="96">
        <v>51</v>
      </c>
      <c r="H51" s="96">
        <v>8</v>
      </c>
      <c r="I51" s="343">
        <f>165448.5+80304.5+33898+25466.5+45263+18896+5078+2191.5</f>
        <v>376546</v>
      </c>
      <c r="J51" s="322">
        <f>23339+10797+5046+5061+9442+3877+1054+385</f>
        <v>59001</v>
      </c>
      <c r="K51" s="324">
        <f>+I51/J51</f>
        <v>6.382027423264012</v>
      </c>
    </row>
    <row r="52" spans="1:11" s="134" customFormat="1" ht="14.25" customHeight="1">
      <c r="A52" s="133">
        <v>49</v>
      </c>
      <c r="B52" s="210"/>
      <c r="C52" s="250" t="s">
        <v>88</v>
      </c>
      <c r="D52" s="320">
        <v>38814</v>
      </c>
      <c r="E52" s="105" t="s">
        <v>63</v>
      </c>
      <c r="F52" s="105" t="s">
        <v>113</v>
      </c>
      <c r="G52" s="135">
        <v>50</v>
      </c>
      <c r="H52" s="135">
        <v>8</v>
      </c>
      <c r="I52" s="343">
        <f>159204+117003.5+55112+26308.5+8703+2820+3475+32</f>
        <v>372658</v>
      </c>
      <c r="J52" s="322">
        <f>19860+13877+7175+4316+1437+527+1077+4</f>
        <v>48273</v>
      </c>
      <c r="K52" s="325">
        <f>IF(I52&lt;&gt;0,I52/J52,"")</f>
        <v>7.71980195968761</v>
      </c>
    </row>
    <row r="53" spans="1:11" s="134" customFormat="1" ht="14.25" customHeight="1">
      <c r="A53" s="133">
        <v>50</v>
      </c>
      <c r="B53" s="210"/>
      <c r="C53" s="251" t="s">
        <v>202</v>
      </c>
      <c r="D53" s="320">
        <v>38863</v>
      </c>
      <c r="E53" s="298" t="s">
        <v>61</v>
      </c>
      <c r="F53" s="298" t="s">
        <v>66</v>
      </c>
      <c r="G53" s="96">
        <v>47</v>
      </c>
      <c r="H53" s="96">
        <v>6</v>
      </c>
      <c r="I53" s="343">
        <v>366737</v>
      </c>
      <c r="J53" s="322">
        <v>47306</v>
      </c>
      <c r="K53" s="324">
        <f>+I53/J53</f>
        <v>7.752441550754662</v>
      </c>
    </row>
    <row r="54" spans="1:11" s="134" customFormat="1" ht="14.25" customHeight="1">
      <c r="A54" s="133">
        <v>51</v>
      </c>
      <c r="B54" s="210"/>
      <c r="C54" s="251" t="s">
        <v>161</v>
      </c>
      <c r="D54" s="320">
        <v>38765</v>
      </c>
      <c r="E54" s="298" t="s">
        <v>61</v>
      </c>
      <c r="F54" s="298" t="s">
        <v>75</v>
      </c>
      <c r="G54" s="96">
        <v>41</v>
      </c>
      <c r="H54" s="96">
        <v>41</v>
      </c>
      <c r="I54" s="345">
        <v>336858</v>
      </c>
      <c r="J54" s="322">
        <v>46062</v>
      </c>
      <c r="K54" s="324">
        <f>+I54/J54</f>
        <v>7.313143154878207</v>
      </c>
    </row>
    <row r="55" spans="1:11" s="134" customFormat="1" ht="14.25" customHeight="1">
      <c r="A55" s="133">
        <v>52</v>
      </c>
      <c r="B55" s="210"/>
      <c r="C55" s="256" t="s">
        <v>94</v>
      </c>
      <c r="D55" s="253">
        <v>38821</v>
      </c>
      <c r="E55" s="294" t="s">
        <v>60</v>
      </c>
      <c r="F55" s="294" t="s">
        <v>67</v>
      </c>
      <c r="G55" s="140">
        <v>53</v>
      </c>
      <c r="H55" s="140">
        <v>12</v>
      </c>
      <c r="I55" s="344">
        <f>155465+86253.5+51+32563.5+13957.5+17705+3940.5+3158+2263.5+805+2009+1244+1790.5</f>
        <v>321206</v>
      </c>
      <c r="J55" s="323">
        <f>21109+11912+4921+2568+3792+939+610+410+149+599+244+639</f>
        <v>47892</v>
      </c>
      <c r="K55" s="324">
        <f>+I55/J55</f>
        <v>6.706882151507559</v>
      </c>
    </row>
    <row r="56" spans="1:11" s="134" customFormat="1" ht="14.25" customHeight="1">
      <c r="A56" s="133">
        <v>53</v>
      </c>
      <c r="B56" s="210"/>
      <c r="C56" s="250" t="s">
        <v>162</v>
      </c>
      <c r="D56" s="320">
        <v>38772</v>
      </c>
      <c r="E56" s="105" t="s">
        <v>63</v>
      </c>
      <c r="F56" s="105" t="s">
        <v>64</v>
      </c>
      <c r="G56" s="135">
        <v>49</v>
      </c>
      <c r="H56" s="135">
        <v>11</v>
      </c>
      <c r="I56" s="343">
        <f>151711.5+80204.5+40498+22773.5+10013.5+8954+2475+789.5+1863+538.5+173</f>
        <v>319994</v>
      </c>
      <c r="J56" s="322">
        <f>20342+10373+5841+6919+2082+2313+566+196+713+99+43</f>
        <v>49487</v>
      </c>
      <c r="K56" s="324">
        <f>+I56/J56</f>
        <v>6.466223452623922</v>
      </c>
    </row>
    <row r="57" spans="1:11" s="136" customFormat="1" ht="14.25" customHeight="1">
      <c r="A57" s="133">
        <v>54</v>
      </c>
      <c r="B57" s="209"/>
      <c r="C57" s="256" t="s">
        <v>87</v>
      </c>
      <c r="D57" s="253">
        <v>38821</v>
      </c>
      <c r="E57" s="294" t="s">
        <v>60</v>
      </c>
      <c r="F57" s="294" t="s">
        <v>86</v>
      </c>
      <c r="G57" s="140">
        <v>32</v>
      </c>
      <c r="H57" s="140">
        <v>12</v>
      </c>
      <c r="I57" s="344">
        <f>122911+88335.5+16+40828.5+16007.5+37291.5+2997+4262.5+1548.5+1019+773+795+232</f>
        <v>317017</v>
      </c>
      <c r="J57" s="323">
        <f>13093+9562-3+4800+2670+6683+902+881+241+192+176+168+59</f>
        <v>39424</v>
      </c>
      <c r="K57" s="324">
        <f>+I57/J57</f>
        <v>8.041218547077921</v>
      </c>
    </row>
    <row r="58" spans="1:11" s="136" customFormat="1" ht="14.25" customHeight="1">
      <c r="A58" s="133">
        <v>55</v>
      </c>
      <c r="B58" s="209"/>
      <c r="C58" s="251" t="s">
        <v>93</v>
      </c>
      <c r="D58" s="320">
        <v>38828</v>
      </c>
      <c r="E58" s="298" t="s">
        <v>61</v>
      </c>
      <c r="F58" s="298" t="s">
        <v>66</v>
      </c>
      <c r="G58" s="96">
        <v>46</v>
      </c>
      <c r="H58" s="96">
        <v>11</v>
      </c>
      <c r="I58" s="343">
        <v>293141</v>
      </c>
      <c r="J58" s="322">
        <v>37807</v>
      </c>
      <c r="K58" s="324">
        <f>+I58/J58</f>
        <v>7.753617055042717</v>
      </c>
    </row>
    <row r="59" spans="1:11" s="136" customFormat="1" ht="14.25" customHeight="1">
      <c r="A59" s="133">
        <v>56</v>
      </c>
      <c r="B59" s="209"/>
      <c r="C59" s="256" t="s">
        <v>215</v>
      </c>
      <c r="D59" s="253">
        <v>38877</v>
      </c>
      <c r="E59" s="294" t="s">
        <v>60</v>
      </c>
      <c r="F59" s="294" t="s">
        <v>32</v>
      </c>
      <c r="G59" s="140">
        <v>55</v>
      </c>
      <c r="H59" s="140">
        <v>4</v>
      </c>
      <c r="I59" s="344">
        <f>146528+104613.5+29219+10904.5</f>
        <v>291265</v>
      </c>
      <c r="J59" s="323">
        <f>18308+13411+4628+2089</f>
        <v>38436</v>
      </c>
      <c r="K59" s="324">
        <f>+I59/J59</f>
        <v>7.577921740035383</v>
      </c>
    </row>
    <row r="60" spans="1:11" s="136" customFormat="1" ht="14.25" customHeight="1">
      <c r="A60" s="133">
        <v>57</v>
      </c>
      <c r="B60" s="209"/>
      <c r="C60" s="256" t="s">
        <v>207</v>
      </c>
      <c r="D60" s="253">
        <v>38870</v>
      </c>
      <c r="E60" s="294" t="s">
        <v>60</v>
      </c>
      <c r="F60" s="294" t="s">
        <v>111</v>
      </c>
      <c r="G60" s="140">
        <v>40</v>
      </c>
      <c r="H60" s="140">
        <v>5</v>
      </c>
      <c r="I60" s="344">
        <f>123140+96383.5+44072+11870.5+8393.5</f>
        <v>283859.5</v>
      </c>
      <c r="J60" s="323">
        <f>14489+11433+5334+1832+1529</f>
        <v>34617</v>
      </c>
      <c r="K60" s="324">
        <f>+I60/J60</f>
        <v>8.20000288875408</v>
      </c>
    </row>
    <row r="61" spans="1:11" s="136" customFormat="1" ht="14.25" customHeight="1">
      <c r="A61" s="133">
        <v>58</v>
      </c>
      <c r="B61" s="209"/>
      <c r="C61" s="257" t="s">
        <v>163</v>
      </c>
      <c r="D61" s="320">
        <v>38751</v>
      </c>
      <c r="E61" s="326" t="s">
        <v>63</v>
      </c>
      <c r="F61" s="326" t="s">
        <v>64</v>
      </c>
      <c r="G61" s="55">
        <v>25</v>
      </c>
      <c r="H61" s="55">
        <v>9</v>
      </c>
      <c r="I61" s="345">
        <v>275432.5</v>
      </c>
      <c r="J61" s="321">
        <v>29916</v>
      </c>
      <c r="K61" s="325">
        <f>I61/J61</f>
        <v>9.206862548469047</v>
      </c>
    </row>
    <row r="62" spans="1:11" s="136" customFormat="1" ht="14.25" customHeight="1">
      <c r="A62" s="133">
        <v>59</v>
      </c>
      <c r="B62" s="209"/>
      <c r="C62" s="254" t="s">
        <v>235</v>
      </c>
      <c r="D62" s="320">
        <v>38891</v>
      </c>
      <c r="E62" s="104" t="s">
        <v>123</v>
      </c>
      <c r="F62" s="104" t="s">
        <v>70</v>
      </c>
      <c r="G62" s="96">
        <v>45</v>
      </c>
      <c r="H62" s="96">
        <v>2</v>
      </c>
      <c r="I62" s="343">
        <f>154658.5+107804</f>
        <v>262462.5</v>
      </c>
      <c r="J62" s="322">
        <f>20153+14417</f>
        <v>34570</v>
      </c>
      <c r="K62" s="324">
        <f>+I62/J62</f>
        <v>7.592204223315013</v>
      </c>
    </row>
    <row r="63" spans="1:11" s="136" customFormat="1" ht="14.25" customHeight="1">
      <c r="A63" s="133">
        <v>60</v>
      </c>
      <c r="B63" s="209"/>
      <c r="C63" s="252" t="s">
        <v>164</v>
      </c>
      <c r="D63" s="253">
        <v>38737</v>
      </c>
      <c r="E63" s="137" t="s">
        <v>61</v>
      </c>
      <c r="F63" s="103" t="s">
        <v>165</v>
      </c>
      <c r="G63" s="50">
        <v>28</v>
      </c>
      <c r="H63" s="50">
        <v>12</v>
      </c>
      <c r="I63" s="345">
        <v>246387</v>
      </c>
      <c r="J63" s="322">
        <v>30377</v>
      </c>
      <c r="K63" s="325">
        <f>IF(I63&lt;&gt;0,I63/J63,"")</f>
        <v>8.110972117062252</v>
      </c>
    </row>
    <row r="64" spans="1:11" s="136" customFormat="1" ht="14.25" customHeight="1">
      <c r="A64" s="133">
        <v>61</v>
      </c>
      <c r="B64" s="209"/>
      <c r="C64" s="256" t="s">
        <v>99</v>
      </c>
      <c r="D64" s="253">
        <v>38835</v>
      </c>
      <c r="E64" s="294" t="s">
        <v>60</v>
      </c>
      <c r="F64" s="294" t="s">
        <v>111</v>
      </c>
      <c r="G64" s="140">
        <v>40</v>
      </c>
      <c r="H64" s="140">
        <v>10</v>
      </c>
      <c r="I64" s="344">
        <f>140527+60007+17227+3041.5+24+5449.5+8065.5+2589.5+722.5+832+1861.5</f>
        <v>240347</v>
      </c>
      <c r="J64" s="323">
        <f>16242+7267+2760+627+1138+1358+550+141+166+373</f>
        <v>30622</v>
      </c>
      <c r="K64" s="324">
        <f>+I64/J64</f>
        <v>7.848834171510679</v>
      </c>
    </row>
    <row r="65" spans="1:11" s="136" customFormat="1" ht="14.25" customHeight="1">
      <c r="A65" s="133">
        <v>62</v>
      </c>
      <c r="B65" s="209"/>
      <c r="C65" s="256" t="s">
        <v>51</v>
      </c>
      <c r="D65" s="253">
        <v>38793</v>
      </c>
      <c r="E65" s="294" t="s">
        <v>43</v>
      </c>
      <c r="F65" s="294" t="s">
        <v>70</v>
      </c>
      <c r="G65" s="140">
        <v>71</v>
      </c>
      <c r="H65" s="140">
        <v>14</v>
      </c>
      <c r="I65" s="346">
        <f>139188.5+65126.5+15320+6439+3617+3772+4116+209.5+299+80+130+145+1032+392</f>
        <v>239866.5</v>
      </c>
      <c r="J65" s="322">
        <f>20151+10232+2945+1343+1021+739+717+69+58+16+26+29+187+97</f>
        <v>37630</v>
      </c>
      <c r="K65" s="324">
        <f>+I65/J65</f>
        <v>6.374342280095668</v>
      </c>
    </row>
    <row r="66" spans="1:11" s="136" customFormat="1" ht="14.25" customHeight="1">
      <c r="A66" s="133">
        <v>63</v>
      </c>
      <c r="B66" s="209"/>
      <c r="C66" s="251" t="s">
        <v>216</v>
      </c>
      <c r="D66" s="320">
        <v>38877</v>
      </c>
      <c r="E66" s="298" t="s">
        <v>63</v>
      </c>
      <c r="F66" s="298" t="s">
        <v>76</v>
      </c>
      <c r="G66" s="96">
        <v>50</v>
      </c>
      <c r="H66" s="96">
        <v>4</v>
      </c>
      <c r="I66" s="343">
        <f>105526.5+80630+23538+22039</f>
        <v>231733.5</v>
      </c>
      <c r="J66" s="322">
        <f>13528+10356+3577+4465</f>
        <v>31926</v>
      </c>
      <c r="K66" s="324">
        <f>+I66/J66</f>
        <v>7.2584570569441835</v>
      </c>
    </row>
    <row r="67" spans="1:11" s="136" customFormat="1" ht="14.25" customHeight="1">
      <c r="A67" s="133">
        <v>64</v>
      </c>
      <c r="B67" s="209"/>
      <c r="C67" s="251" t="s">
        <v>229</v>
      </c>
      <c r="D67" s="320">
        <v>38849</v>
      </c>
      <c r="E67" s="298" t="s">
        <v>36</v>
      </c>
      <c r="F67" s="298" t="s">
        <v>76</v>
      </c>
      <c r="G67" s="96">
        <v>21</v>
      </c>
      <c r="H67" s="96">
        <v>8</v>
      </c>
      <c r="I67" s="343">
        <v>219360.79</v>
      </c>
      <c r="J67" s="322">
        <v>27763</v>
      </c>
      <c r="K67" s="324">
        <f>+I67/J67</f>
        <v>7.901191874077009</v>
      </c>
    </row>
    <row r="68" spans="1:11" s="136" customFormat="1" ht="14.25" customHeight="1">
      <c r="A68" s="133">
        <v>65</v>
      </c>
      <c r="B68" s="209"/>
      <c r="C68" s="256" t="s">
        <v>107</v>
      </c>
      <c r="D68" s="253">
        <v>38849</v>
      </c>
      <c r="E68" s="294" t="s">
        <v>60</v>
      </c>
      <c r="F68" s="294" t="s">
        <v>108</v>
      </c>
      <c r="G68" s="140">
        <v>14</v>
      </c>
      <c r="H68" s="140">
        <v>11</v>
      </c>
      <c r="I68" s="344">
        <f>93564+52250+16170+13446.5+8167+4768+4695.5+4957</f>
        <v>198018</v>
      </c>
      <c r="J68" s="323">
        <f>10662+5936+2085+2265+1476+901+664+835</f>
        <v>24824</v>
      </c>
      <c r="K68" s="324">
        <f>+I68/J68</f>
        <v>7.976877215597809</v>
      </c>
    </row>
    <row r="69" spans="1:11" s="136" customFormat="1" ht="14.25" customHeight="1">
      <c r="A69" s="133">
        <v>66</v>
      </c>
      <c r="B69" s="209"/>
      <c r="C69" s="254" t="s">
        <v>217</v>
      </c>
      <c r="D69" s="320">
        <v>38877</v>
      </c>
      <c r="E69" s="104" t="s">
        <v>123</v>
      </c>
      <c r="F69" s="104" t="s">
        <v>184</v>
      </c>
      <c r="G69" s="96">
        <v>64</v>
      </c>
      <c r="H69" s="96">
        <v>4</v>
      </c>
      <c r="I69" s="343">
        <f>94169.5+63426.5+19841+16453.5</f>
        <v>193890.5</v>
      </c>
      <c r="J69" s="322">
        <f>14426+9567+3182+3017</f>
        <v>30192</v>
      </c>
      <c r="K69" s="324">
        <f>+I69/J69</f>
        <v>6.421916401695814</v>
      </c>
    </row>
    <row r="70" spans="1:11" s="136" customFormat="1" ht="14.25" customHeight="1">
      <c r="A70" s="133">
        <v>67</v>
      </c>
      <c r="B70" s="209"/>
      <c r="C70" s="251" t="s">
        <v>166</v>
      </c>
      <c r="D70" s="320">
        <v>38786</v>
      </c>
      <c r="E70" s="298" t="s">
        <v>63</v>
      </c>
      <c r="F70" s="298" t="s">
        <v>70</v>
      </c>
      <c r="G70" s="96">
        <v>30</v>
      </c>
      <c r="H70" s="96">
        <v>11</v>
      </c>
      <c r="I70" s="343">
        <f>94630+42901+16809.5+16862+11072+2518+4525+910+841+1579.5+454</f>
        <v>193102</v>
      </c>
      <c r="J70" s="322">
        <f>12856+5706+2789+3336+2239+567+1047+161+186+380+57</f>
        <v>29324</v>
      </c>
      <c r="K70" s="324">
        <f>+I70/J70</f>
        <v>6.585117992088391</v>
      </c>
    </row>
    <row r="71" spans="1:11" s="136" customFormat="1" ht="14.25" customHeight="1">
      <c r="A71" s="133">
        <v>68</v>
      </c>
      <c r="B71" s="209"/>
      <c r="C71" s="252" t="s">
        <v>122</v>
      </c>
      <c r="D71" s="253">
        <v>38807</v>
      </c>
      <c r="E71" s="102" t="s">
        <v>63</v>
      </c>
      <c r="F71" s="103" t="s">
        <v>64</v>
      </c>
      <c r="G71" s="50">
        <v>20</v>
      </c>
      <c r="H71" s="50">
        <v>8</v>
      </c>
      <c r="I71" s="347">
        <v>190448.5</v>
      </c>
      <c r="J71" s="327">
        <v>26188</v>
      </c>
      <c r="K71" s="325">
        <f>+I71/J71</f>
        <v>7.272357568351917</v>
      </c>
    </row>
    <row r="72" spans="1:11" s="136" customFormat="1" ht="14.25" customHeight="1">
      <c r="A72" s="133">
        <v>69</v>
      </c>
      <c r="B72" s="209"/>
      <c r="C72" s="252" t="s">
        <v>167</v>
      </c>
      <c r="D72" s="253">
        <v>38758</v>
      </c>
      <c r="E72" s="137" t="s">
        <v>61</v>
      </c>
      <c r="F72" s="103" t="s">
        <v>72</v>
      </c>
      <c r="G72" s="50">
        <v>46</v>
      </c>
      <c r="H72" s="50">
        <v>12</v>
      </c>
      <c r="I72" s="343">
        <v>181942</v>
      </c>
      <c r="J72" s="322">
        <v>24046</v>
      </c>
      <c r="K72" s="325">
        <f>IF(I72&lt;&gt;0,I72/J72,"")</f>
        <v>7.566414372452799</v>
      </c>
    </row>
    <row r="73" spans="1:11" s="136" customFormat="1" ht="14.25" customHeight="1">
      <c r="A73" s="133">
        <v>70</v>
      </c>
      <c r="B73" s="209"/>
      <c r="C73" s="256" t="s">
        <v>251</v>
      </c>
      <c r="D73" s="253">
        <v>38898</v>
      </c>
      <c r="E73" s="294" t="s">
        <v>60</v>
      </c>
      <c r="F73" s="294" t="s">
        <v>67</v>
      </c>
      <c r="G73" s="140">
        <v>52</v>
      </c>
      <c r="H73" s="140">
        <v>1</v>
      </c>
      <c r="I73" s="344">
        <v>178154.5</v>
      </c>
      <c r="J73" s="323">
        <v>22672</v>
      </c>
      <c r="K73" s="324">
        <f>+I73/J73</f>
        <v>7.8579084333098095</v>
      </c>
    </row>
    <row r="74" spans="1:11" s="136" customFormat="1" ht="14.25" customHeight="1">
      <c r="A74" s="133">
        <v>71</v>
      </c>
      <c r="B74" s="209"/>
      <c r="C74" s="252" t="s">
        <v>49</v>
      </c>
      <c r="D74" s="253">
        <v>38800</v>
      </c>
      <c r="E74" s="137" t="s">
        <v>60</v>
      </c>
      <c r="F74" s="103" t="s">
        <v>67</v>
      </c>
      <c r="G74" s="50">
        <v>16</v>
      </c>
      <c r="H74" s="50">
        <v>10</v>
      </c>
      <c r="I74" s="344">
        <f>82365.5+56251.5+17508+5415.5+3304+3006+1642+540+283+1164+77</f>
        <v>171556.5</v>
      </c>
      <c r="J74" s="323">
        <f>8878+5706+2045+866+701+556+302+135+56+222+11</f>
        <v>19478</v>
      </c>
      <c r="K74" s="324">
        <f>+I74/J74</f>
        <v>8.807706129992813</v>
      </c>
    </row>
    <row r="75" spans="1:11" s="136" customFormat="1" ht="14.25" customHeight="1">
      <c r="A75" s="133">
        <v>72</v>
      </c>
      <c r="B75" s="209"/>
      <c r="C75" s="250" t="s">
        <v>41</v>
      </c>
      <c r="D75" s="320">
        <v>38793</v>
      </c>
      <c r="E75" s="105" t="s">
        <v>35</v>
      </c>
      <c r="F75" s="105" t="s">
        <v>71</v>
      </c>
      <c r="G75" s="135">
        <v>33</v>
      </c>
      <c r="H75" s="135">
        <v>14</v>
      </c>
      <c r="I75" s="345">
        <v>160573</v>
      </c>
      <c r="J75" s="321">
        <v>32363.333333333336</v>
      </c>
      <c r="K75" s="325">
        <f>IF(I75&lt;&gt;0,I75/J75,"")</f>
        <v>4.9615717375630854</v>
      </c>
    </row>
    <row r="76" spans="1:11" s="134" customFormat="1" ht="14.25" customHeight="1">
      <c r="A76" s="133">
        <v>73</v>
      </c>
      <c r="B76" s="209"/>
      <c r="C76" s="256" t="s">
        <v>95</v>
      </c>
      <c r="D76" s="253">
        <v>38828</v>
      </c>
      <c r="E76" s="294" t="s">
        <v>57</v>
      </c>
      <c r="F76" s="294" t="s">
        <v>72</v>
      </c>
      <c r="G76" s="140" t="s">
        <v>231</v>
      </c>
      <c r="H76" s="140" t="s">
        <v>223</v>
      </c>
      <c r="I76" s="344">
        <v>148535</v>
      </c>
      <c r="J76" s="323">
        <v>21059</v>
      </c>
      <c r="K76" s="324">
        <f>+I76/J76</f>
        <v>7.053278883137851</v>
      </c>
    </row>
    <row r="77" spans="1:11" s="134" customFormat="1" ht="14.25" customHeight="1">
      <c r="A77" s="133">
        <v>74</v>
      </c>
      <c r="B77" s="209"/>
      <c r="C77" s="256" t="s">
        <v>224</v>
      </c>
      <c r="D77" s="253">
        <v>38884</v>
      </c>
      <c r="E77" s="294" t="s">
        <v>60</v>
      </c>
      <c r="F77" s="294" t="s">
        <v>74</v>
      </c>
      <c r="G77" s="140">
        <v>24</v>
      </c>
      <c r="H77" s="140">
        <v>3</v>
      </c>
      <c r="I77" s="344">
        <f>82801+37338.5+9794.5</f>
        <v>129934</v>
      </c>
      <c r="J77" s="323">
        <f>9055+4102+1458</f>
        <v>14615</v>
      </c>
      <c r="K77" s="324">
        <f>+I77/J77</f>
        <v>8.890455011974</v>
      </c>
    </row>
    <row r="78" spans="1:11" s="134" customFormat="1" ht="14.25" customHeight="1">
      <c r="A78" s="133">
        <v>75</v>
      </c>
      <c r="B78" s="209"/>
      <c r="C78" s="250" t="s">
        <v>168</v>
      </c>
      <c r="D78" s="320">
        <v>38765</v>
      </c>
      <c r="E78" s="105" t="s">
        <v>63</v>
      </c>
      <c r="F78" s="105" t="s">
        <v>169</v>
      </c>
      <c r="G78" s="135">
        <v>30</v>
      </c>
      <c r="H78" s="135">
        <v>12</v>
      </c>
      <c r="I78" s="343">
        <f>62768+32353+12961+8129+4050.5+1984.5+2460+376+907+1161.5+935+185</f>
        <v>128270.5</v>
      </c>
      <c r="J78" s="322">
        <f>8337+4470+2425+1438+815+505+607+85+187+317+218+44</f>
        <v>19448</v>
      </c>
      <c r="K78" s="324">
        <f>+I78/J78</f>
        <v>6.5955625257095845</v>
      </c>
    </row>
    <row r="79" spans="1:11" s="134" customFormat="1" ht="14.25" customHeight="1">
      <c r="A79" s="133">
        <v>76</v>
      </c>
      <c r="B79" s="209"/>
      <c r="C79" s="258" t="s">
        <v>170</v>
      </c>
      <c r="D79" s="253">
        <v>38765</v>
      </c>
      <c r="E79" s="328" t="s">
        <v>61</v>
      </c>
      <c r="F79" s="328" t="s">
        <v>57</v>
      </c>
      <c r="G79" s="139">
        <v>20</v>
      </c>
      <c r="H79" s="139">
        <v>7</v>
      </c>
      <c r="I79" s="344">
        <v>125109</v>
      </c>
      <c r="J79" s="323">
        <v>13297</v>
      </c>
      <c r="K79" s="325">
        <f>I79/J79</f>
        <v>9.408814018199594</v>
      </c>
    </row>
    <row r="80" spans="1:11" s="134" customFormat="1" ht="14.25" customHeight="1">
      <c r="A80" s="133">
        <v>77</v>
      </c>
      <c r="B80" s="209"/>
      <c r="C80" s="254" t="s">
        <v>171</v>
      </c>
      <c r="D80" s="320">
        <v>38716</v>
      </c>
      <c r="E80" s="104" t="s">
        <v>123</v>
      </c>
      <c r="F80" s="104" t="s">
        <v>172</v>
      </c>
      <c r="G80" s="96">
        <v>9</v>
      </c>
      <c r="H80" s="96">
        <v>25</v>
      </c>
      <c r="I80" s="343">
        <f>41335+22428+10569.5+2994.5+6995.5+477+1541+1030+1308+1168.5+974+1343+1399+1115+913+1257+1859.5+2654.5+10471+2543+294+573+4437+2101.5+1610</f>
        <v>123391.5</v>
      </c>
      <c r="J80" s="322">
        <f>5101+2761+1545+448+1608+159+304+206+436+246+162+276+329+246+181+254+303+684+2148+666+66+111+863+472+372</f>
        <v>19947</v>
      </c>
      <c r="K80" s="324">
        <f>+I80/J80</f>
        <v>6.185967814708979</v>
      </c>
    </row>
    <row r="81" spans="1:11" s="134" customFormat="1" ht="14.25" customHeight="1">
      <c r="A81" s="133">
        <v>78</v>
      </c>
      <c r="B81" s="209"/>
      <c r="C81" s="251" t="s">
        <v>100</v>
      </c>
      <c r="D81" s="320">
        <v>38835</v>
      </c>
      <c r="E81" s="298" t="s">
        <v>63</v>
      </c>
      <c r="F81" s="298" t="s">
        <v>64</v>
      </c>
      <c r="G81" s="96">
        <v>15</v>
      </c>
      <c r="H81" s="96">
        <v>10</v>
      </c>
      <c r="I81" s="343">
        <f>60845.5+35645.5+5851+2968.5+2340.5+3653.5+711.5+2954.5+1334.5+1829.5</f>
        <v>118134.5</v>
      </c>
      <c r="J81" s="322">
        <f>6762+4054+1018+542+466+689+150+650+287+366</f>
        <v>14984</v>
      </c>
      <c r="K81" s="324">
        <f>+I81/J81</f>
        <v>7.8840429791777895</v>
      </c>
    </row>
    <row r="82" spans="1:11" s="134" customFormat="1" ht="14.25" customHeight="1">
      <c r="A82" s="133">
        <v>79</v>
      </c>
      <c r="B82" s="209"/>
      <c r="C82" s="252" t="s">
        <v>26</v>
      </c>
      <c r="D82" s="253">
        <v>38758</v>
      </c>
      <c r="E82" s="102" t="s">
        <v>63</v>
      </c>
      <c r="F82" s="103" t="s">
        <v>64</v>
      </c>
      <c r="G82" s="50">
        <v>10</v>
      </c>
      <c r="H82" s="50">
        <v>13</v>
      </c>
      <c r="I82" s="347">
        <v>113548.5</v>
      </c>
      <c r="J82" s="327">
        <v>15724</v>
      </c>
      <c r="K82" s="325">
        <f>+I82/J82</f>
        <v>7.221349529381837</v>
      </c>
    </row>
    <row r="83" spans="1:11" s="134" customFormat="1" ht="14.25" customHeight="1">
      <c r="A83" s="133">
        <v>80</v>
      </c>
      <c r="B83" s="209"/>
      <c r="C83" s="256" t="s">
        <v>236</v>
      </c>
      <c r="D83" s="253">
        <v>38891</v>
      </c>
      <c r="E83" s="294" t="s">
        <v>43</v>
      </c>
      <c r="F83" s="294" t="s">
        <v>237</v>
      </c>
      <c r="G83" s="140">
        <v>55</v>
      </c>
      <c r="H83" s="140">
        <v>2</v>
      </c>
      <c r="I83" s="346">
        <f>67295+44281</f>
        <v>111576</v>
      </c>
      <c r="J83" s="322">
        <f>8542+6209</f>
        <v>14751</v>
      </c>
      <c r="K83" s="324">
        <f>+I83/J83</f>
        <v>7.563961765304048</v>
      </c>
    </row>
    <row r="84" spans="1:11" s="134" customFormat="1" ht="14.25" customHeight="1">
      <c r="A84" s="133">
        <v>81</v>
      </c>
      <c r="B84" s="209"/>
      <c r="C84" s="259" t="s">
        <v>121</v>
      </c>
      <c r="D84" s="329">
        <v>38793</v>
      </c>
      <c r="E84" s="330" t="s">
        <v>96</v>
      </c>
      <c r="F84" s="330" t="s">
        <v>101</v>
      </c>
      <c r="G84" s="135">
        <v>4</v>
      </c>
      <c r="H84" s="135">
        <v>10</v>
      </c>
      <c r="I84" s="345">
        <v>103297</v>
      </c>
      <c r="J84" s="321">
        <v>12362</v>
      </c>
      <c r="K84" s="324">
        <f>+I84/J84</f>
        <v>8.3560103543116</v>
      </c>
    </row>
    <row r="85" spans="1:11" s="134" customFormat="1" ht="14.25" customHeight="1">
      <c r="A85" s="133">
        <v>82</v>
      </c>
      <c r="B85" s="209"/>
      <c r="C85" s="259" t="s">
        <v>173</v>
      </c>
      <c r="D85" s="320">
        <v>38779</v>
      </c>
      <c r="E85" s="330" t="s">
        <v>96</v>
      </c>
      <c r="F85" s="330" t="s">
        <v>174</v>
      </c>
      <c r="G85" s="196" t="s">
        <v>211</v>
      </c>
      <c r="H85" s="196">
        <v>9</v>
      </c>
      <c r="I85" s="345">
        <v>96787.5</v>
      </c>
      <c r="J85" s="321">
        <v>12101</v>
      </c>
      <c r="K85" s="325">
        <f>IF(I85&lt;&gt;0,I85/J85,"")</f>
        <v>7.998305925130155</v>
      </c>
    </row>
    <row r="86" spans="1:11" s="134" customFormat="1" ht="14.25" customHeight="1">
      <c r="A86" s="133">
        <v>83</v>
      </c>
      <c r="B86" s="209"/>
      <c r="C86" s="254" t="s">
        <v>137</v>
      </c>
      <c r="D86" s="320">
        <v>38814</v>
      </c>
      <c r="E86" s="104" t="s">
        <v>123</v>
      </c>
      <c r="F86" s="104" t="s">
        <v>138</v>
      </c>
      <c r="G86" s="96">
        <v>14</v>
      </c>
      <c r="H86" s="96">
        <v>12</v>
      </c>
      <c r="I86" s="343">
        <f>43111+13278+6067.5+7325+7474+6516.5+154+328+3068+571+1240+894</f>
        <v>90027</v>
      </c>
      <c r="J86" s="322">
        <f>4620+1821+1003+1445+1813+1225+30+68+737+144+310+211</f>
        <v>13427</v>
      </c>
      <c r="K86" s="324">
        <f>+I86/J86</f>
        <v>6.7049229165115065</v>
      </c>
    </row>
    <row r="87" spans="1:11" s="134" customFormat="1" ht="14.25" customHeight="1">
      <c r="A87" s="133">
        <v>84</v>
      </c>
      <c r="B87" s="209"/>
      <c r="C87" s="254" t="s">
        <v>252</v>
      </c>
      <c r="D87" s="320">
        <v>38898</v>
      </c>
      <c r="E87" s="104" t="s">
        <v>123</v>
      </c>
      <c r="F87" s="104" t="s">
        <v>253</v>
      </c>
      <c r="G87" s="96">
        <v>47</v>
      </c>
      <c r="H87" s="96">
        <v>1</v>
      </c>
      <c r="I87" s="343">
        <f>88058</f>
        <v>88058</v>
      </c>
      <c r="J87" s="322">
        <f>11470</f>
        <v>11470</v>
      </c>
      <c r="K87" s="324">
        <f>+I87/J87</f>
        <v>7.677244986922406</v>
      </c>
    </row>
    <row r="88" spans="1:11" s="134" customFormat="1" ht="14.25" customHeight="1">
      <c r="A88" s="133">
        <v>85</v>
      </c>
      <c r="B88" s="209"/>
      <c r="C88" s="256" t="s">
        <v>102</v>
      </c>
      <c r="D88" s="253">
        <v>38842</v>
      </c>
      <c r="E88" s="294" t="s">
        <v>60</v>
      </c>
      <c r="F88" s="294" t="s">
        <v>80</v>
      </c>
      <c r="G88" s="140">
        <v>14</v>
      </c>
      <c r="H88" s="140">
        <v>9</v>
      </c>
      <c r="I88" s="344">
        <f>41489.5+21950+1583.5+1943+4071+3569+5471+652-603+5736</f>
        <v>85862</v>
      </c>
      <c r="J88" s="323">
        <f>4497+2417+200+294+1148+867+1264+152-128+1003</f>
        <v>11714</v>
      </c>
      <c r="K88" s="324">
        <f>+I88/J88</f>
        <v>7.329861703943998</v>
      </c>
    </row>
    <row r="89" spans="1:11" s="134" customFormat="1" ht="14.25" customHeight="1">
      <c r="A89" s="133">
        <v>86</v>
      </c>
      <c r="B89" s="209"/>
      <c r="C89" s="252" t="s">
        <v>175</v>
      </c>
      <c r="D89" s="253">
        <v>38779</v>
      </c>
      <c r="E89" s="103" t="s">
        <v>176</v>
      </c>
      <c r="F89" s="331" t="s">
        <v>177</v>
      </c>
      <c r="G89" s="50">
        <v>8</v>
      </c>
      <c r="H89" s="50">
        <v>9</v>
      </c>
      <c r="I89" s="347">
        <v>82351.4</v>
      </c>
      <c r="J89" s="327">
        <v>9780</v>
      </c>
      <c r="K89" s="324">
        <f>+I89/J89</f>
        <v>8.42038854805726</v>
      </c>
    </row>
    <row r="90" spans="1:11" s="134" customFormat="1" ht="14.25" customHeight="1">
      <c r="A90" s="133">
        <v>87</v>
      </c>
      <c r="B90" s="209"/>
      <c r="C90" s="256" t="s">
        <v>218</v>
      </c>
      <c r="D90" s="253">
        <v>38877</v>
      </c>
      <c r="E90" s="294" t="s">
        <v>226</v>
      </c>
      <c r="F90" s="294" t="s">
        <v>227</v>
      </c>
      <c r="G90" s="140" t="s">
        <v>219</v>
      </c>
      <c r="H90" s="140" t="s">
        <v>140</v>
      </c>
      <c r="I90" s="344">
        <v>81882.5</v>
      </c>
      <c r="J90" s="323">
        <v>10534</v>
      </c>
      <c r="K90" s="324">
        <f>+I90/J90</f>
        <v>7.773163090943611</v>
      </c>
    </row>
    <row r="91" spans="1:11" s="134" customFormat="1" ht="14.25" customHeight="1">
      <c r="A91" s="133">
        <v>88</v>
      </c>
      <c r="B91" s="209"/>
      <c r="C91" s="254" t="s">
        <v>127</v>
      </c>
      <c r="D91" s="320">
        <v>38744</v>
      </c>
      <c r="E91" s="104" t="s">
        <v>123</v>
      </c>
      <c r="F91" s="104" t="s">
        <v>184</v>
      </c>
      <c r="G91" s="96">
        <v>7</v>
      </c>
      <c r="H91" s="96">
        <v>20</v>
      </c>
      <c r="I91" s="343">
        <f>23060.5+7183+3670+700+2376+2273+1430+3390+1771.5+3246+11360+7257.5+2859+2510+4107+155+170+490+579+165</f>
        <v>78752.5</v>
      </c>
      <c r="J91" s="322">
        <f>2772+1034+467+35+792+451+260+597+327+776+1582+1115+514+499+716+31+45+79+173+21</f>
        <v>12286</v>
      </c>
      <c r="K91" s="324">
        <f>+I91/J91</f>
        <v>6.409938140973466</v>
      </c>
    </row>
    <row r="92" spans="1:11" s="134" customFormat="1" ht="14.25" customHeight="1">
      <c r="A92" s="133">
        <v>89</v>
      </c>
      <c r="B92" s="209"/>
      <c r="C92" s="256" t="s">
        <v>201</v>
      </c>
      <c r="D92" s="253">
        <v>38863</v>
      </c>
      <c r="E92" s="294" t="s">
        <v>60</v>
      </c>
      <c r="F92" s="294" t="s">
        <v>80</v>
      </c>
      <c r="G92" s="140">
        <v>17</v>
      </c>
      <c r="H92" s="140">
        <v>9</v>
      </c>
      <c r="I92" s="344">
        <f>28731.5+16998+5846.5+16940.5+5236+3985.5</f>
        <v>77738</v>
      </c>
      <c r="J92" s="323">
        <f>3778+2334+1022+2867+1066+666</f>
        <v>11733</v>
      </c>
      <c r="K92" s="324">
        <f>+I92/J92</f>
        <v>6.625585954146425</v>
      </c>
    </row>
    <row r="93" spans="1:11" s="134" customFormat="1" ht="14.25" customHeight="1">
      <c r="A93" s="133">
        <v>90</v>
      </c>
      <c r="B93" s="209"/>
      <c r="C93" s="251" t="s">
        <v>103</v>
      </c>
      <c r="D93" s="320">
        <v>38842</v>
      </c>
      <c r="E93" s="298" t="s">
        <v>63</v>
      </c>
      <c r="F93" s="298" t="s">
        <v>104</v>
      </c>
      <c r="G93" s="96">
        <v>40</v>
      </c>
      <c r="H93" s="96">
        <v>9</v>
      </c>
      <c r="I93" s="343">
        <f>38973.5+16801.5+3724.5+1143.5+878.5+1522+359+3464+275</f>
        <v>67141.5</v>
      </c>
      <c r="J93" s="322">
        <f>6538+2897+696+259+197+344+86+866+62</f>
        <v>11945</v>
      </c>
      <c r="K93" s="324">
        <f>+I93/J93</f>
        <v>5.620887400586019</v>
      </c>
    </row>
    <row r="94" spans="1:11" s="134" customFormat="1" ht="14.25" customHeight="1">
      <c r="A94" s="133">
        <v>91</v>
      </c>
      <c r="B94" s="209"/>
      <c r="C94" s="254" t="s">
        <v>129</v>
      </c>
      <c r="D94" s="320">
        <v>38723</v>
      </c>
      <c r="E94" s="104" t="s">
        <v>123</v>
      </c>
      <c r="F94" s="104" t="s">
        <v>130</v>
      </c>
      <c r="G94" s="96">
        <v>3</v>
      </c>
      <c r="H94" s="96">
        <v>16</v>
      </c>
      <c r="I94" s="343">
        <f>22570+12751+6691+4543+3462+1141+1389+1484.5+48+38+1782+1068+714+1188+2340+2005</f>
        <v>63214.5</v>
      </c>
      <c r="J94" s="322">
        <f>2787+1607+844+585+460+145+463+399+9+7+594+356+238+396+780+313</f>
        <v>9983</v>
      </c>
      <c r="K94" s="324">
        <f>+I94/J94</f>
        <v>6.332214765100671</v>
      </c>
    </row>
    <row r="95" spans="1:11" s="134" customFormat="1" ht="14.25" customHeight="1">
      <c r="A95" s="133">
        <v>92</v>
      </c>
      <c r="B95" s="209"/>
      <c r="C95" s="256" t="s">
        <v>254</v>
      </c>
      <c r="D95" s="253">
        <v>38898</v>
      </c>
      <c r="E95" s="294" t="s">
        <v>96</v>
      </c>
      <c r="F95" s="294" t="s">
        <v>176</v>
      </c>
      <c r="G95" s="140" t="s">
        <v>255</v>
      </c>
      <c r="H95" s="140" t="s">
        <v>240</v>
      </c>
      <c r="I95" s="344">
        <v>57728.5</v>
      </c>
      <c r="J95" s="323">
        <v>7058</v>
      </c>
      <c r="K95" s="324">
        <f>+I95/J95</f>
        <v>8.179158401813545</v>
      </c>
    </row>
    <row r="96" spans="1:11" s="134" customFormat="1" ht="14.25" customHeight="1">
      <c r="A96" s="133">
        <v>93</v>
      </c>
      <c r="B96" s="209"/>
      <c r="C96" s="254" t="s">
        <v>133</v>
      </c>
      <c r="D96" s="320">
        <v>38758</v>
      </c>
      <c r="E96" s="104" t="s">
        <v>123</v>
      </c>
      <c r="F96" s="104" t="s">
        <v>134</v>
      </c>
      <c r="G96" s="96">
        <v>4</v>
      </c>
      <c r="H96" s="96">
        <v>19</v>
      </c>
      <c r="I96" s="343">
        <f>12456+7990+4147+1031+2942.5+1687.5+5526.5+3841.5+1352.5+925+2425+2735+1963+2610.5+374+1948+1054+1475.5+196</f>
        <v>56680.5</v>
      </c>
      <c r="J96" s="322">
        <f>1552+1090+669+166+430+252+1516+804+308+163+443+768+612+467+81+595+318+329+55</f>
        <v>10618</v>
      </c>
      <c r="K96" s="324">
        <f>+I96/J96</f>
        <v>5.338152194386891</v>
      </c>
    </row>
    <row r="97" spans="1:11" s="134" customFormat="1" ht="14.25" customHeight="1">
      <c r="A97" s="133">
        <v>94</v>
      </c>
      <c r="B97" s="209"/>
      <c r="C97" s="251" t="s">
        <v>273</v>
      </c>
      <c r="D97" s="320">
        <v>38828</v>
      </c>
      <c r="E97" s="298" t="s">
        <v>73</v>
      </c>
      <c r="F97" s="298" t="s">
        <v>221</v>
      </c>
      <c r="G97" s="96">
        <v>5</v>
      </c>
      <c r="H97" s="96">
        <v>9</v>
      </c>
      <c r="I97" s="343">
        <v>54201</v>
      </c>
      <c r="J97" s="322">
        <v>8011</v>
      </c>
      <c r="K97" s="324">
        <f>+I97/J97</f>
        <v>6.765821994757209</v>
      </c>
    </row>
    <row r="98" spans="1:11" s="134" customFormat="1" ht="14.25" customHeight="1">
      <c r="A98" s="133">
        <v>95</v>
      </c>
      <c r="B98" s="209"/>
      <c r="C98" s="254" t="s">
        <v>128</v>
      </c>
      <c r="D98" s="320">
        <v>38779</v>
      </c>
      <c r="E98" s="104" t="s">
        <v>123</v>
      </c>
      <c r="F98" s="104" t="s">
        <v>243</v>
      </c>
      <c r="G98" s="95" t="s">
        <v>211</v>
      </c>
      <c r="H98" s="96">
        <v>17</v>
      </c>
      <c r="I98" s="343">
        <f>19635+7029.5+1939.5+1932.5+1425+2285+846+5995.5+272.5+3026+831+1782+1425+2693.5+831+321+104</f>
        <v>52374</v>
      </c>
      <c r="J98" s="322">
        <f>2548+994+309+438+475+587+190+1491+27+979+277+594+475+870+277+75+26</f>
        <v>10632</v>
      </c>
      <c r="K98" s="325">
        <f>IF(I98&lt;&gt;0,I98/J98,"")</f>
        <v>4.926072234762979</v>
      </c>
    </row>
    <row r="99" spans="1:11" s="134" customFormat="1" ht="14.25" customHeight="1">
      <c r="A99" s="133">
        <v>96</v>
      </c>
      <c r="B99" s="209"/>
      <c r="C99" s="250" t="s">
        <v>178</v>
      </c>
      <c r="D99" s="320">
        <v>38786</v>
      </c>
      <c r="E99" s="105" t="s">
        <v>73</v>
      </c>
      <c r="F99" s="105" t="s">
        <v>126</v>
      </c>
      <c r="G99" s="135">
        <v>4</v>
      </c>
      <c r="H99" s="135">
        <v>10</v>
      </c>
      <c r="I99" s="343">
        <v>50710.15</v>
      </c>
      <c r="J99" s="322">
        <v>6453.333333333333</v>
      </c>
      <c r="K99" s="324">
        <f>+I99/J99</f>
        <v>7.857977789256199</v>
      </c>
    </row>
    <row r="100" spans="1:11" s="134" customFormat="1" ht="14.25" customHeight="1">
      <c r="A100" s="133">
        <v>97</v>
      </c>
      <c r="B100" s="209"/>
      <c r="C100" s="251" t="s">
        <v>267</v>
      </c>
      <c r="D100" s="320">
        <v>38898</v>
      </c>
      <c r="E100" s="294" t="s">
        <v>96</v>
      </c>
      <c r="F100" s="298" t="s">
        <v>268</v>
      </c>
      <c r="G100" s="96">
        <v>7</v>
      </c>
      <c r="H100" s="96">
        <v>1</v>
      </c>
      <c r="I100" s="343">
        <v>44130</v>
      </c>
      <c r="J100" s="322">
        <v>5201</v>
      </c>
      <c r="K100" s="324">
        <f>+I100/J100</f>
        <v>8.484906748702173</v>
      </c>
    </row>
    <row r="101" spans="1:11" s="136" customFormat="1" ht="14.25" customHeight="1">
      <c r="A101" s="133">
        <v>98</v>
      </c>
      <c r="B101" s="209"/>
      <c r="C101" s="251" t="s">
        <v>208</v>
      </c>
      <c r="D101" s="320">
        <v>38870</v>
      </c>
      <c r="E101" s="294" t="s">
        <v>96</v>
      </c>
      <c r="F101" s="298" t="s">
        <v>209</v>
      </c>
      <c r="G101" s="96">
        <v>5</v>
      </c>
      <c r="H101" s="96">
        <v>5</v>
      </c>
      <c r="I101" s="343">
        <v>41755</v>
      </c>
      <c r="J101" s="322">
        <v>5120</v>
      </c>
      <c r="K101" s="324">
        <f>+I101/J101</f>
        <v>8.1552734375</v>
      </c>
    </row>
    <row r="102" spans="1:11" s="136" customFormat="1" ht="14.25" customHeight="1">
      <c r="A102" s="133">
        <v>99</v>
      </c>
      <c r="B102" s="209"/>
      <c r="C102" s="259" t="s">
        <v>112</v>
      </c>
      <c r="D102" s="329">
        <v>38835</v>
      </c>
      <c r="E102" s="330" t="s">
        <v>96</v>
      </c>
      <c r="F102" s="330" t="s">
        <v>101</v>
      </c>
      <c r="G102" s="196" t="s">
        <v>212</v>
      </c>
      <c r="H102" s="196" t="s">
        <v>141</v>
      </c>
      <c r="I102" s="345">
        <v>41373</v>
      </c>
      <c r="J102" s="321">
        <v>5360</v>
      </c>
      <c r="K102" s="325">
        <f>+I102/J102</f>
        <v>7.71884328358209</v>
      </c>
    </row>
    <row r="103" spans="1:11" s="136" customFormat="1" ht="14.25" customHeight="1">
      <c r="A103" s="133">
        <v>100</v>
      </c>
      <c r="B103" s="211"/>
      <c r="C103" s="254" t="s">
        <v>210</v>
      </c>
      <c r="D103" s="320">
        <v>38870</v>
      </c>
      <c r="E103" s="104" t="s">
        <v>123</v>
      </c>
      <c r="F103" s="104" t="s">
        <v>138</v>
      </c>
      <c r="G103" s="96">
        <v>5</v>
      </c>
      <c r="H103" s="96">
        <v>5</v>
      </c>
      <c r="I103" s="343">
        <f>20882.25+8209.5+3896+2400+1136+1611</f>
        <v>38134.75</v>
      </c>
      <c r="J103" s="322">
        <f>2709+885+473+442+218+235</f>
        <v>4962</v>
      </c>
      <c r="K103" s="324">
        <f>+I103/J103</f>
        <v>7.6853587263200325</v>
      </c>
    </row>
    <row r="104" spans="1:11" s="136" customFormat="1" ht="14.25" customHeight="1">
      <c r="A104" s="133">
        <v>101</v>
      </c>
      <c r="B104" s="211"/>
      <c r="C104" s="254" t="s">
        <v>125</v>
      </c>
      <c r="D104" s="320">
        <v>38849</v>
      </c>
      <c r="E104" s="104" t="s">
        <v>123</v>
      </c>
      <c r="F104" s="104" t="s">
        <v>126</v>
      </c>
      <c r="G104" s="96">
        <v>4</v>
      </c>
      <c r="H104" s="96">
        <v>7</v>
      </c>
      <c r="I104" s="343">
        <f>12183.25+8569+5406+1833+4570+3387+1518.5+434.5</f>
        <v>37901.25</v>
      </c>
      <c r="J104" s="322">
        <f>1678+1149+734+247+1506+495+228+65</f>
        <v>6102</v>
      </c>
      <c r="K104" s="324">
        <f>+I104/J104</f>
        <v>6.211283185840708</v>
      </c>
    </row>
    <row r="105" spans="1:11" s="136" customFormat="1" ht="14.25" customHeight="1">
      <c r="A105" s="133">
        <v>102</v>
      </c>
      <c r="B105" s="211"/>
      <c r="C105" s="256" t="s">
        <v>110</v>
      </c>
      <c r="D105" s="253">
        <v>38849</v>
      </c>
      <c r="E105" s="294" t="s">
        <v>60</v>
      </c>
      <c r="F105" s="294" t="s">
        <v>73</v>
      </c>
      <c r="G105" s="140">
        <v>20</v>
      </c>
      <c r="H105" s="140">
        <v>8</v>
      </c>
      <c r="I105" s="344">
        <f>28036+3671+205.5+163+1253+2839.5+647+761</f>
        <v>37576</v>
      </c>
      <c r="J105" s="323">
        <f>3110+476+42+29+189+527+120+144</f>
        <v>4637</v>
      </c>
      <c r="K105" s="324">
        <f>+I105/J105</f>
        <v>8.103515203795558</v>
      </c>
    </row>
    <row r="106" spans="1:11" s="136" customFormat="1" ht="14.25" customHeight="1">
      <c r="A106" s="133">
        <v>103</v>
      </c>
      <c r="B106" s="211"/>
      <c r="C106" s="254" t="s">
        <v>124</v>
      </c>
      <c r="D106" s="320">
        <v>38856</v>
      </c>
      <c r="E106" s="104" t="s">
        <v>123</v>
      </c>
      <c r="F106" s="104" t="s">
        <v>126</v>
      </c>
      <c r="G106" s="96">
        <v>10</v>
      </c>
      <c r="H106" s="96">
        <v>7</v>
      </c>
      <c r="I106" s="343">
        <f>21534.5+7198.5+1602+1559+1382+790+1068</f>
        <v>35134</v>
      </c>
      <c r="J106" s="322">
        <f>3022+1231+222+243+253+158+356</f>
        <v>5485</v>
      </c>
      <c r="K106" s="324">
        <f>+I106/J106</f>
        <v>6.405469462169553</v>
      </c>
    </row>
    <row r="107" spans="1:11" s="136" customFormat="1" ht="14.25" customHeight="1">
      <c r="A107" s="133">
        <v>104</v>
      </c>
      <c r="B107" s="211"/>
      <c r="C107" s="256" t="s">
        <v>179</v>
      </c>
      <c r="D107" s="253">
        <v>38793</v>
      </c>
      <c r="E107" s="294" t="s">
        <v>43</v>
      </c>
      <c r="F107" s="294" t="s">
        <v>180</v>
      </c>
      <c r="G107" s="140">
        <v>2</v>
      </c>
      <c r="H107" s="140">
        <v>10</v>
      </c>
      <c r="I107" s="346">
        <f>21147.5+3690+1708+783+1453+1727.5+1306.5+559+1606+100</f>
        <v>34080.5</v>
      </c>
      <c r="J107" s="322">
        <f>2248+452+253+99+248+260+197+81+374+17</f>
        <v>4229</v>
      </c>
      <c r="K107" s="324">
        <f>+I107/J107</f>
        <v>8.058760936391582</v>
      </c>
    </row>
    <row r="108" spans="1:11" s="136" customFormat="1" ht="14.25" customHeight="1">
      <c r="A108" s="133">
        <v>105</v>
      </c>
      <c r="B108" s="211"/>
      <c r="C108" s="250" t="s">
        <v>181</v>
      </c>
      <c r="D108" s="320">
        <v>38786</v>
      </c>
      <c r="E108" s="105" t="s">
        <v>36</v>
      </c>
      <c r="F108" s="105" t="s">
        <v>182</v>
      </c>
      <c r="G108" s="135">
        <v>7</v>
      </c>
      <c r="H108" s="135">
        <v>13</v>
      </c>
      <c r="I108" s="343">
        <v>29902.5</v>
      </c>
      <c r="J108" s="322">
        <v>6397</v>
      </c>
      <c r="K108" s="325">
        <f>IF(I108&lt;&gt;0,I108/J108,"")</f>
        <v>4.674456776614038</v>
      </c>
    </row>
    <row r="109" spans="1:11" s="136" customFormat="1" ht="14.25" customHeight="1">
      <c r="A109" s="133">
        <v>106</v>
      </c>
      <c r="B109" s="211"/>
      <c r="C109" s="254" t="s">
        <v>135</v>
      </c>
      <c r="D109" s="320">
        <v>38828</v>
      </c>
      <c r="E109" s="104" t="s">
        <v>123</v>
      </c>
      <c r="F109" s="104" t="s">
        <v>136</v>
      </c>
      <c r="G109" s="96">
        <v>6</v>
      </c>
      <c r="H109" s="96">
        <v>10</v>
      </c>
      <c r="I109" s="343">
        <f>8964+4246+2175+6296+364+3248+189+2148.5+879.5+474</f>
        <v>28984</v>
      </c>
      <c r="J109" s="322">
        <f>1055+574+361+886+56+580+32+529+180+158</f>
        <v>4411</v>
      </c>
      <c r="K109" s="324">
        <f>+I109/J109</f>
        <v>6.570845613239628</v>
      </c>
    </row>
    <row r="110" spans="1:11" s="136" customFormat="1" ht="14.25" customHeight="1">
      <c r="A110" s="133">
        <v>107</v>
      </c>
      <c r="B110" s="211"/>
      <c r="C110" s="254" t="s">
        <v>183</v>
      </c>
      <c r="D110" s="320">
        <v>38751</v>
      </c>
      <c r="E110" s="104" t="s">
        <v>123</v>
      </c>
      <c r="F110" s="104" t="s">
        <v>184</v>
      </c>
      <c r="G110" s="96">
        <v>1</v>
      </c>
      <c r="H110" s="96">
        <v>11</v>
      </c>
      <c r="I110" s="343">
        <f>6339+5656+3753+2609+448+675+1816+2430+1068+117+22</f>
        <v>24933</v>
      </c>
      <c r="J110" s="322">
        <f>796+708+467+329+60+87+264+364+356+20+4</f>
        <v>3455</v>
      </c>
      <c r="K110" s="324">
        <f>+I110/J110</f>
        <v>7.2164978292329955</v>
      </c>
    </row>
    <row r="111" spans="1:11" s="136" customFormat="1" ht="14.25" customHeight="1">
      <c r="A111" s="133">
        <v>108</v>
      </c>
      <c r="B111" s="211"/>
      <c r="C111" s="254" t="s">
        <v>139</v>
      </c>
      <c r="D111" s="320">
        <v>38835</v>
      </c>
      <c r="E111" s="104" t="s">
        <v>123</v>
      </c>
      <c r="F111" s="104" t="s">
        <v>239</v>
      </c>
      <c r="G111" s="96">
        <v>5</v>
      </c>
      <c r="H111" s="96">
        <v>9</v>
      </c>
      <c r="I111" s="343">
        <f>497.5+5960+2567+1138+75+2686+941.5+877+1134+831</f>
        <v>16707</v>
      </c>
      <c r="J111" s="322">
        <f>103+657+317+178+15+682+143+159+211+277</f>
        <v>2742</v>
      </c>
      <c r="K111" s="324">
        <f>+I111/J111</f>
        <v>6.0929978118161925</v>
      </c>
    </row>
    <row r="112" spans="1:11" s="136" customFormat="1" ht="14.25" customHeight="1">
      <c r="A112" s="133">
        <v>109</v>
      </c>
      <c r="B112" s="211"/>
      <c r="C112" s="251" t="s">
        <v>228</v>
      </c>
      <c r="D112" s="320">
        <v>38884</v>
      </c>
      <c r="E112" s="294" t="s">
        <v>96</v>
      </c>
      <c r="F112" s="298" t="s">
        <v>80</v>
      </c>
      <c r="G112" s="96">
        <v>10</v>
      </c>
      <c r="H112" s="96">
        <v>3</v>
      </c>
      <c r="I112" s="343">
        <v>15973.5</v>
      </c>
      <c r="J112" s="322">
        <v>2276</v>
      </c>
      <c r="K112" s="324">
        <f>+I112/J112</f>
        <v>7.01823374340949</v>
      </c>
    </row>
    <row r="113" spans="1:11" s="136" customFormat="1" ht="14.25" customHeight="1">
      <c r="A113" s="133">
        <v>110</v>
      </c>
      <c r="B113" s="211"/>
      <c r="C113" s="254" t="s">
        <v>187</v>
      </c>
      <c r="D113" s="320">
        <v>38779</v>
      </c>
      <c r="E113" s="104" t="s">
        <v>123</v>
      </c>
      <c r="F113" s="104" t="s">
        <v>188</v>
      </c>
      <c r="G113" s="96">
        <v>6</v>
      </c>
      <c r="H113" s="96">
        <v>6</v>
      </c>
      <c r="I113" s="343">
        <f>9397.5+2137+188+1545+1416+96</f>
        <v>14779.5</v>
      </c>
      <c r="J113" s="322">
        <f>1039+275+26+515+419+32</f>
        <v>2306</v>
      </c>
      <c r="K113" s="324">
        <f>+I113/J113</f>
        <v>6.409150043365134</v>
      </c>
    </row>
    <row r="114" spans="1:11" s="136" customFormat="1" ht="14.25" customHeight="1">
      <c r="A114" s="133">
        <v>111</v>
      </c>
      <c r="B114" s="211"/>
      <c r="C114" s="252" t="s">
        <v>185</v>
      </c>
      <c r="D114" s="320">
        <v>38772</v>
      </c>
      <c r="E114" s="103" t="s">
        <v>80</v>
      </c>
      <c r="F114" s="103" t="s">
        <v>186</v>
      </c>
      <c r="G114" s="140">
        <v>1</v>
      </c>
      <c r="H114" s="139">
        <v>6</v>
      </c>
      <c r="I114" s="347">
        <v>14052</v>
      </c>
      <c r="J114" s="327">
        <v>1802</v>
      </c>
      <c r="K114" s="324">
        <f>+I114/J114</f>
        <v>7.798002219755827</v>
      </c>
    </row>
    <row r="115" spans="1:11" s="136" customFormat="1" ht="14.25" customHeight="1">
      <c r="A115" s="133">
        <v>112</v>
      </c>
      <c r="B115" s="211"/>
      <c r="C115" s="250" t="s">
        <v>189</v>
      </c>
      <c r="D115" s="320">
        <v>38723</v>
      </c>
      <c r="E115" s="332" t="s">
        <v>123</v>
      </c>
      <c r="F115" s="105" t="s">
        <v>190</v>
      </c>
      <c r="G115" s="135">
        <v>5</v>
      </c>
      <c r="H115" s="135">
        <v>8</v>
      </c>
      <c r="I115" s="343">
        <f>7149+2747+756+1338+270+74+91+462</f>
        <v>12887</v>
      </c>
      <c r="J115" s="322">
        <f>932+357+92+247+90+24+25+88</f>
        <v>1855</v>
      </c>
      <c r="K115" s="324">
        <f>+I115/J115</f>
        <v>6.947169811320754</v>
      </c>
    </row>
    <row r="116" spans="1:11" s="136" customFormat="1" ht="14.25" customHeight="1">
      <c r="A116" s="133">
        <v>113</v>
      </c>
      <c r="B116" s="211"/>
      <c r="C116" s="251" t="s">
        <v>230</v>
      </c>
      <c r="D116" s="320">
        <v>38884</v>
      </c>
      <c r="E116" s="298" t="s">
        <v>63</v>
      </c>
      <c r="F116" s="298" t="s">
        <v>222</v>
      </c>
      <c r="G116" s="96">
        <v>5</v>
      </c>
      <c r="H116" s="96">
        <v>3</v>
      </c>
      <c r="I116" s="343">
        <f>4549+2813+1503</f>
        <v>8865</v>
      </c>
      <c r="J116" s="322">
        <f>644+413+227</f>
        <v>1284</v>
      </c>
      <c r="K116" s="324">
        <f>+I116/J116</f>
        <v>6.904205607476635</v>
      </c>
    </row>
    <row r="117" spans="1:11" s="136" customFormat="1" ht="14.25" customHeight="1">
      <c r="A117" s="133">
        <v>114</v>
      </c>
      <c r="B117" s="211"/>
      <c r="C117" s="254" t="s">
        <v>271</v>
      </c>
      <c r="D117" s="320">
        <v>38898</v>
      </c>
      <c r="E117" s="104" t="s">
        <v>123</v>
      </c>
      <c r="F117" s="104" t="s">
        <v>272</v>
      </c>
      <c r="G117" s="96">
        <v>5</v>
      </c>
      <c r="H117" s="96">
        <v>1</v>
      </c>
      <c r="I117" s="343">
        <f>6551.5</f>
        <v>6551.5</v>
      </c>
      <c r="J117" s="322">
        <f>756</f>
        <v>756</v>
      </c>
      <c r="K117" s="324">
        <f>+I117/J117</f>
        <v>8.666005291005291</v>
      </c>
    </row>
    <row r="118" spans="1:11" s="136" customFormat="1" ht="14.25" customHeight="1">
      <c r="A118" s="133">
        <v>115</v>
      </c>
      <c r="B118" s="211"/>
      <c r="C118" s="252" t="s">
        <v>191</v>
      </c>
      <c r="D118" s="329">
        <v>38821</v>
      </c>
      <c r="E118" s="105" t="s">
        <v>96</v>
      </c>
      <c r="F118" s="105" t="s">
        <v>192</v>
      </c>
      <c r="G118" s="135">
        <v>5</v>
      </c>
      <c r="H118" s="135">
        <v>5</v>
      </c>
      <c r="I118" s="345">
        <v>6450.5</v>
      </c>
      <c r="J118" s="321">
        <v>1115</v>
      </c>
      <c r="K118" s="325">
        <f>+I118/J118</f>
        <v>5.785201793721973</v>
      </c>
    </row>
    <row r="119" spans="1:11" s="136" customFormat="1" ht="14.25" customHeight="1">
      <c r="A119" s="133">
        <v>116</v>
      </c>
      <c r="B119" s="211"/>
      <c r="C119" s="250" t="s">
        <v>193</v>
      </c>
      <c r="D119" s="253">
        <v>38758</v>
      </c>
      <c r="E119" s="105" t="s">
        <v>80</v>
      </c>
      <c r="F119" s="105" t="s">
        <v>194</v>
      </c>
      <c r="G119" s="135">
        <v>4</v>
      </c>
      <c r="H119" s="135">
        <v>10</v>
      </c>
      <c r="I119" s="344">
        <v>6143</v>
      </c>
      <c r="J119" s="323">
        <v>976</v>
      </c>
      <c r="K119" s="324">
        <f>+I119/J119</f>
        <v>6.29405737704918</v>
      </c>
    </row>
    <row r="120" spans="1:11" s="136" customFormat="1" ht="14.25" customHeight="1">
      <c r="A120" s="133">
        <v>117</v>
      </c>
      <c r="B120" s="211"/>
      <c r="C120" s="254" t="s">
        <v>131</v>
      </c>
      <c r="D120" s="320">
        <v>38849</v>
      </c>
      <c r="E120" s="104" t="s">
        <v>123</v>
      </c>
      <c r="F120" s="104" t="s">
        <v>132</v>
      </c>
      <c r="G120" s="95" t="s">
        <v>240</v>
      </c>
      <c r="H120" s="96">
        <v>4</v>
      </c>
      <c r="I120" s="343">
        <f>3427.5+602+330+168+951</f>
        <v>5478.5</v>
      </c>
      <c r="J120" s="322">
        <f>772+80+66+24+317</f>
        <v>1259</v>
      </c>
      <c r="K120" s="325">
        <f>IF(I120&lt;&gt;0,I120/J120,"")</f>
        <v>4.351469420174742</v>
      </c>
    </row>
    <row r="121" spans="1:11" s="136" customFormat="1" ht="14.25" customHeight="1">
      <c r="A121" s="133">
        <v>118</v>
      </c>
      <c r="B121" s="211"/>
      <c r="C121" s="254" t="s">
        <v>241</v>
      </c>
      <c r="D121" s="320">
        <v>38891</v>
      </c>
      <c r="E121" s="104" t="s">
        <v>123</v>
      </c>
      <c r="F121" s="104" t="s">
        <v>126</v>
      </c>
      <c r="G121" s="96">
        <v>1</v>
      </c>
      <c r="H121" s="96">
        <v>2</v>
      </c>
      <c r="I121" s="343">
        <f>3624+741+309</f>
        <v>4674</v>
      </c>
      <c r="J121" s="322">
        <f>883+117+49</f>
        <v>1049</v>
      </c>
      <c r="K121" s="324">
        <f>+I121/J121</f>
        <v>4.4556720686367965</v>
      </c>
    </row>
    <row r="122" spans="1:11" s="136" customFormat="1" ht="14.25" customHeight="1" thickBot="1">
      <c r="A122" s="133">
        <v>119</v>
      </c>
      <c r="B122" s="225"/>
      <c r="C122" s="333" t="s">
        <v>195</v>
      </c>
      <c r="D122" s="334">
        <v>38807</v>
      </c>
      <c r="E122" s="245" t="s">
        <v>96</v>
      </c>
      <c r="F122" s="245" t="s">
        <v>174</v>
      </c>
      <c r="G122" s="335">
        <v>8</v>
      </c>
      <c r="H122" s="246">
        <v>5</v>
      </c>
      <c r="I122" s="348">
        <v>4628.5</v>
      </c>
      <c r="J122" s="336">
        <v>707</v>
      </c>
      <c r="K122" s="337">
        <f>IF(I122&lt;&gt;0,I122/J122,"")</f>
        <v>6.546676096181047</v>
      </c>
    </row>
    <row r="123" spans="1:11" s="136" customFormat="1" ht="15">
      <c r="A123" s="141"/>
      <c r="B123" s="212"/>
      <c r="C123" s="213" t="s">
        <v>45</v>
      </c>
      <c r="D123" s="213"/>
      <c r="E123" s="214"/>
      <c r="F123" s="214"/>
      <c r="G123" s="215">
        <f>SUM(G4:G122)</f>
        <v>5778</v>
      </c>
      <c r="H123" s="213"/>
      <c r="I123" s="227">
        <f>SUM(I4:I122)</f>
        <v>120111385.31000002</v>
      </c>
      <c r="J123" s="216">
        <f>SUM(J4:J122)</f>
        <v>17582364.333333332</v>
      </c>
      <c r="K123" s="217">
        <f>I123/J123</f>
        <v>6.831355728551715</v>
      </c>
    </row>
    <row r="124" spans="1:11" s="136" customFormat="1" ht="15.75" thickBot="1">
      <c r="A124" s="141"/>
      <c r="B124" s="142"/>
      <c r="C124" s="36" t="s">
        <v>78</v>
      </c>
      <c r="D124" s="36"/>
      <c r="E124" s="38"/>
      <c r="F124" s="38"/>
      <c r="G124" s="37">
        <v>5188</v>
      </c>
      <c r="H124" s="36"/>
      <c r="I124" s="228">
        <v>96098592.59</v>
      </c>
      <c r="J124" s="143">
        <v>14821886</v>
      </c>
      <c r="K124" s="144">
        <f>I124/J124</f>
        <v>6.48356036404544</v>
      </c>
    </row>
    <row r="125" spans="1:11" s="136" customFormat="1" ht="13.5" thickBot="1">
      <c r="A125" s="145"/>
      <c r="C125" s="146"/>
      <c r="D125" s="147"/>
      <c r="E125" s="147"/>
      <c r="F125" s="147"/>
      <c r="G125" s="147"/>
      <c r="H125" s="147"/>
      <c r="I125" s="229"/>
      <c r="J125" s="148"/>
      <c r="K125" s="149"/>
    </row>
    <row r="126" spans="1:11" s="152" customFormat="1" ht="12.75">
      <c r="A126" s="150"/>
      <c r="B126" s="151"/>
      <c r="C126" s="286" t="s">
        <v>13</v>
      </c>
      <c r="D126" s="286"/>
      <c r="E126" s="263" t="s">
        <v>196</v>
      </c>
      <c r="F126" s="90"/>
      <c r="G126" s="263" t="s">
        <v>197</v>
      </c>
      <c r="H126" s="263"/>
      <c r="I126" s="263" t="s">
        <v>17</v>
      </c>
      <c r="J126" s="263"/>
      <c r="K126" s="284" t="s">
        <v>146</v>
      </c>
    </row>
    <row r="127" spans="1:11" s="152" customFormat="1" ht="26.25" customHeight="1" thickBot="1">
      <c r="A127" s="153"/>
      <c r="B127" s="154"/>
      <c r="C127" s="287"/>
      <c r="D127" s="287"/>
      <c r="E127" s="288"/>
      <c r="F127" s="155"/>
      <c r="G127" s="288"/>
      <c r="H127" s="283"/>
      <c r="I127" s="226" t="s">
        <v>147</v>
      </c>
      <c r="J127" s="156" t="s">
        <v>4</v>
      </c>
      <c r="K127" s="285"/>
    </row>
    <row r="128" spans="1:11" ht="15">
      <c r="A128" s="133">
        <v>1</v>
      </c>
      <c r="B128" s="157"/>
      <c r="C128" s="158" t="s">
        <v>198</v>
      </c>
      <c r="D128" s="159"/>
      <c r="E128" s="159">
        <v>12</v>
      </c>
      <c r="F128" s="159"/>
      <c r="G128" s="160">
        <f>G4+G5+G7+G9+G10+G15+G24+G75+G78+G93+G108+G28</f>
        <v>1523</v>
      </c>
      <c r="H128" s="159"/>
      <c r="I128" s="230">
        <f>I4+I5+I7+I9+I10+I15+I24+I28+I75+I78+I93+I108</f>
        <v>58683139.220000006</v>
      </c>
      <c r="J128" s="161">
        <f>J4+J5+J7+J9+J10+J15+J24+J28+J75+J78+J93+J108</f>
        <v>9158513.000000002</v>
      </c>
      <c r="K128" s="162">
        <f>I128/J128</f>
        <v>6.407496415629916</v>
      </c>
    </row>
    <row r="129" spans="1:11" ht="15.75" thickBot="1">
      <c r="A129" s="133">
        <v>2</v>
      </c>
      <c r="B129" s="164"/>
      <c r="C129" s="165" t="s">
        <v>199</v>
      </c>
      <c r="D129" s="166"/>
      <c r="E129" s="166">
        <v>107</v>
      </c>
      <c r="F129" s="166"/>
      <c r="G129" s="167">
        <f>G123-G128</f>
        <v>4255</v>
      </c>
      <c r="H129" s="166"/>
      <c r="I129" s="231">
        <f>I123-I128</f>
        <v>61428246.09000001</v>
      </c>
      <c r="J129" s="168">
        <f>J123-J128</f>
        <v>8423851.33333333</v>
      </c>
      <c r="K129" s="169">
        <f>I129/J129</f>
        <v>7.292180697316837</v>
      </c>
    </row>
    <row r="130" spans="2:11" ht="15.75" thickBot="1">
      <c r="B130" s="170"/>
      <c r="C130" s="171"/>
      <c r="D130" s="172"/>
      <c r="E130" s="172">
        <f>SUM(E128:E129)</f>
        <v>119</v>
      </c>
      <c r="F130" s="172"/>
      <c r="G130" s="173">
        <f>SUM(G128:G129)</f>
        <v>5778</v>
      </c>
      <c r="H130" s="172"/>
      <c r="I130" s="232">
        <f>SUM(I128:I129)</f>
        <v>120111385.31000002</v>
      </c>
      <c r="J130" s="174">
        <f>SUM(J128:J129)</f>
        <v>17582364.333333332</v>
      </c>
      <c r="K130" s="175">
        <f>I130/J130</f>
        <v>6.831355728551715</v>
      </c>
    </row>
    <row r="132" ht="14.25" customHeight="1" thickBot="1"/>
    <row r="133" spans="1:9" ht="15.75" thickBot="1">
      <c r="A133" s="180"/>
      <c r="B133" s="58"/>
      <c r="C133" s="237" t="s">
        <v>46</v>
      </c>
      <c r="D133" s="360" t="s">
        <v>200</v>
      </c>
      <c r="E133" s="357"/>
      <c r="F133" s="357"/>
      <c r="G133" s="361"/>
      <c r="H133" s="359"/>
      <c r="I133" s="359"/>
    </row>
    <row r="134" spans="1:11" ht="14.25" customHeight="1">
      <c r="A134" s="128">
        <v>1</v>
      </c>
      <c r="C134" s="349" t="s">
        <v>35</v>
      </c>
      <c r="D134" s="358">
        <v>4</v>
      </c>
      <c r="E134" s="362">
        <v>38306307.6</v>
      </c>
      <c r="F134" s="363">
        <v>5917822</v>
      </c>
      <c r="G134" s="364">
        <f>E134/F134</f>
        <v>6.473041534537538</v>
      </c>
      <c r="H134" s="178"/>
      <c r="I134" s="179"/>
      <c r="J134" s="163"/>
      <c r="K134" s="163"/>
    </row>
    <row r="135" spans="1:9" ht="14.25" customHeight="1">
      <c r="A135" s="181">
        <v>2</v>
      </c>
      <c r="B135" s="58"/>
      <c r="C135" s="350" t="s">
        <v>33</v>
      </c>
      <c r="D135" s="351">
        <v>22</v>
      </c>
      <c r="E135" s="365">
        <v>31641507.12</v>
      </c>
      <c r="F135" s="262">
        <v>4828338</v>
      </c>
      <c r="G135" s="366">
        <f>E135/F135</f>
        <v>6.553291654395363</v>
      </c>
      <c r="I135" s="177"/>
    </row>
    <row r="136" spans="1:9" ht="14.25" customHeight="1">
      <c r="A136" s="181">
        <v>3</v>
      </c>
      <c r="B136" s="58"/>
      <c r="C136" s="350" t="s">
        <v>32</v>
      </c>
      <c r="D136" s="367">
        <v>27</v>
      </c>
      <c r="E136" s="365">
        <v>23508036.75</v>
      </c>
      <c r="F136" s="262">
        <v>3156264</v>
      </c>
      <c r="G136" s="366">
        <f>E136/F136</f>
        <v>7.448057814555437</v>
      </c>
      <c r="I136" s="177"/>
    </row>
    <row r="137" spans="1:9" ht="14.25" customHeight="1">
      <c r="A137" s="181">
        <v>4</v>
      </c>
      <c r="B137" s="58"/>
      <c r="C137" s="350" t="s">
        <v>34</v>
      </c>
      <c r="D137" s="351">
        <v>21</v>
      </c>
      <c r="E137" s="365">
        <v>20081208</v>
      </c>
      <c r="F137" s="262">
        <v>2739938</v>
      </c>
      <c r="G137" s="366">
        <f>E137/F137</f>
        <v>7.329073869554713</v>
      </c>
      <c r="I137" s="177"/>
    </row>
    <row r="138" spans="1:9" ht="14.25" customHeight="1">
      <c r="A138" s="181">
        <v>5</v>
      </c>
      <c r="B138" s="58"/>
      <c r="C138" s="350" t="s">
        <v>79</v>
      </c>
      <c r="D138" s="351">
        <v>2</v>
      </c>
      <c r="E138" s="365">
        <v>2239181</v>
      </c>
      <c r="F138" s="262">
        <v>312095</v>
      </c>
      <c r="G138" s="366">
        <f>E138/F138</f>
        <v>7.174677582146462</v>
      </c>
      <c r="I138" s="177"/>
    </row>
    <row r="139" spans="1:9" ht="14.25" customHeight="1">
      <c r="A139" s="181">
        <v>6</v>
      </c>
      <c r="B139" s="58"/>
      <c r="C139" s="350" t="s">
        <v>123</v>
      </c>
      <c r="D139" s="351">
        <v>21</v>
      </c>
      <c r="E139" s="365">
        <v>1754790.5</v>
      </c>
      <c r="F139" s="262">
        <v>259071</v>
      </c>
      <c r="G139" s="366">
        <f>E139/F139</f>
        <v>6.77339609605089</v>
      </c>
      <c r="I139" s="177"/>
    </row>
    <row r="140" spans="1:9" ht="14.25" customHeight="1">
      <c r="A140" s="181">
        <v>7</v>
      </c>
      <c r="B140" s="58"/>
      <c r="C140" s="350" t="s">
        <v>43</v>
      </c>
      <c r="D140" s="351">
        <v>5</v>
      </c>
      <c r="E140" s="365">
        <v>1629627.5</v>
      </c>
      <c r="F140" s="262">
        <v>245370</v>
      </c>
      <c r="G140" s="366">
        <f>E140/F140</f>
        <v>6.641510779638913</v>
      </c>
      <c r="I140" s="177"/>
    </row>
    <row r="141" spans="1:9" ht="14.25" customHeight="1">
      <c r="A141" s="181">
        <v>8</v>
      </c>
      <c r="B141" s="58"/>
      <c r="C141" s="350" t="s">
        <v>96</v>
      </c>
      <c r="D141" s="351">
        <v>9</v>
      </c>
      <c r="E141" s="365">
        <v>412123.5</v>
      </c>
      <c r="F141" s="262">
        <v>51300</v>
      </c>
      <c r="G141" s="366">
        <f>E141/F141</f>
        <v>8.03359649122807</v>
      </c>
      <c r="I141" s="177"/>
    </row>
    <row r="142" spans="1:9" ht="14.25" customHeight="1">
      <c r="A142" s="181">
        <v>9</v>
      </c>
      <c r="B142" s="58"/>
      <c r="C142" s="352" t="s">
        <v>36</v>
      </c>
      <c r="D142" s="351">
        <v>2</v>
      </c>
      <c r="E142" s="365">
        <v>249263.29</v>
      </c>
      <c r="F142" s="262">
        <v>34610</v>
      </c>
      <c r="G142" s="366">
        <f>E142/F142</f>
        <v>7.20205980930367</v>
      </c>
      <c r="I142" s="177"/>
    </row>
    <row r="143" spans="1:9" ht="14.25" customHeight="1">
      <c r="A143" s="181">
        <v>10</v>
      </c>
      <c r="B143" s="58"/>
      <c r="C143" s="352" t="s">
        <v>176</v>
      </c>
      <c r="D143" s="351">
        <v>2</v>
      </c>
      <c r="E143" s="365">
        <v>164233.9</v>
      </c>
      <c r="F143" s="262">
        <v>20314</v>
      </c>
      <c r="G143" s="368">
        <f>E143/F143</f>
        <v>8.084764202028158</v>
      </c>
      <c r="I143" s="177"/>
    </row>
    <row r="144" spans="1:9" ht="14.25" customHeight="1">
      <c r="A144" s="181">
        <v>11</v>
      </c>
      <c r="B144" s="58"/>
      <c r="C144" s="352" t="s">
        <v>37</v>
      </c>
      <c r="D144" s="351">
        <v>2</v>
      </c>
      <c r="E144" s="365">
        <v>104911.15</v>
      </c>
      <c r="F144" s="262">
        <v>14464</v>
      </c>
      <c r="G144" s="369">
        <f>E144/F144</f>
        <v>7.2532598174778755</v>
      </c>
      <c r="I144" s="177"/>
    </row>
    <row r="145" spans="1:9" ht="14.25" customHeight="1" thickBot="1">
      <c r="A145" s="181">
        <v>12</v>
      </c>
      <c r="B145" s="58"/>
      <c r="C145" s="353" t="s">
        <v>80</v>
      </c>
      <c r="D145" s="354">
        <v>2</v>
      </c>
      <c r="E145" s="370">
        <v>20195</v>
      </c>
      <c r="F145" s="355">
        <v>2778</v>
      </c>
      <c r="G145" s="371">
        <f>E145/F145</f>
        <v>7.269618430525558</v>
      </c>
      <c r="I145" s="177"/>
    </row>
    <row r="146" spans="5:7" ht="14.25" customHeight="1">
      <c r="E146" s="218"/>
      <c r="F146" s="219"/>
      <c r="G146" s="219"/>
    </row>
    <row r="147" ht="14.25" customHeight="1">
      <c r="F147" s="219"/>
    </row>
  </sheetData>
  <mergeCells count="17">
    <mergeCell ref="B1:K1"/>
    <mergeCell ref="C2:C3"/>
    <mergeCell ref="D2:D3"/>
    <mergeCell ref="E2:E3"/>
    <mergeCell ref="F2:F3"/>
    <mergeCell ref="G2:G3"/>
    <mergeCell ref="H2:H3"/>
    <mergeCell ref="I2:J2"/>
    <mergeCell ref="K2:K3"/>
    <mergeCell ref="C126:C127"/>
    <mergeCell ref="D126:D127"/>
    <mergeCell ref="E126:E127"/>
    <mergeCell ref="G126:G127"/>
    <mergeCell ref="H126:H127"/>
    <mergeCell ref="I126:J126"/>
    <mergeCell ref="K126:K127"/>
    <mergeCell ref="D133:G133"/>
  </mergeCells>
  <printOptions/>
  <pageMargins left="0.75" right="0.75" top="0.63" bottom="0.49" header="0.12" footer="0.45"/>
  <pageSetup orientation="portrait" paperSize="9" scale="36" r:id="rId1"/>
  <ignoredErrors>
    <ignoredError sqref="I10:I63 I6:I8 J6:J8 J10:J63 K100:K107 K6:K51 I64:J75 I105:J120 G134 G135:G145" unlockedFormula="1"/>
    <ignoredError sqref="K121" formula="1"/>
    <ignoredError sqref="K52:K63 K64:K78 K79:K91 K92:K99 K108:K120 I76:J91 I92:J104" formula="1" unlockedFormula="1"/>
    <ignoredError sqref="H13:H28 G76:H104 G120" numberStoredAsText="1"/>
    <ignoredError sqref="I76:J91 I92:J104" numberStoredAsText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.</cp:lastModifiedBy>
  <cp:lastPrinted>2006-07-07T17:13:53Z</cp:lastPrinted>
  <dcterms:created xsi:type="dcterms:W3CDTF">2006-03-17T12:24:26Z</dcterms:created>
  <dcterms:modified xsi:type="dcterms:W3CDTF">2006-07-07T17:13:54Z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2046748808</vt:i4>
  </property>
  <property fmtid="{D5CDD505-2E9C-101B-9397-08002B2CF9AE}" pid="3" name="_EmailSubject">
    <vt:lpwstr>WB Weekly Box Office Report</vt:lpwstr>
  </property>
  <property fmtid="{D5CDD505-2E9C-101B-9397-08002B2CF9AE}" pid="4" name="_AuthorEmail">
    <vt:lpwstr>Gokhan.Elyetistiren@warnerbros.com</vt:lpwstr>
  </property>
  <property fmtid="{D5CDD505-2E9C-101B-9397-08002B2CF9AE}" pid="5" name="_AuthorEmailDisplayName">
    <vt:lpwstr>Elyetistiren, Gokhan</vt:lpwstr>
  </property>
  <property fmtid="{D5CDD505-2E9C-101B-9397-08002B2CF9AE}" pid="6" name="_ReviewingToolsShownOnce">
    <vt:lpwstr/>
  </property>
</Properties>
</file>