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5760" windowHeight="11640" tabRatio="385" activeTab="0"/>
  </bookViews>
  <sheets>
    <sheet name="05 - 11 May'(WK 19)" sheetId="1" r:id="rId1"/>
    <sheet name="30 Dec' - 11 May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'05 - 11 May''(WK 19)'!$A$1:$P$129</definedName>
    <definedName name="_xlnm.Print_Area" localSheetId="1">'30 Dec' - 11 May' (Annual)'!$A$1:$K$112</definedName>
  </definedNames>
  <calcPr fullCalcOnLoad="1"/>
</workbook>
</file>

<file path=xl/sharedStrings.xml><?xml version="1.0" encoding="utf-8"?>
<sst xmlns="http://schemas.openxmlformats.org/spreadsheetml/2006/main" count="638" uniqueCount="235">
  <si>
    <t>SAINT ANGE</t>
  </si>
  <si>
    <t>CACHE</t>
  </si>
  <si>
    <t>CRASH</t>
  </si>
  <si>
    <t>HACIVAT KARAGOZ NEDEN OLDURULDU?</t>
  </si>
  <si>
    <t>KURTLAR VADISI IRAK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</si>
  <si>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</si>
  <si>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</si>
  <si>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</si>
  <si>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</si>
  <si>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</si>
  <si>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</si>
  <si>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</si>
  <si>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</si>
  <si>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</si>
  <si>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</si>
  <si>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</si>
  <si>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</si>
  <si>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</si>
  <si>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</si>
  <si>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</si>
  <si>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</si>
  <si>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</si>
  <si>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</si>
  <si>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</si>
  <si>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</si>
  <si>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</si>
  <si>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</si>
  <si>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NEW WORLD, THE</t>
  </si>
  <si>
    <t>MEMOIRS OF A GEISHA</t>
  </si>
  <si>
    <t>FOG, THE</t>
  </si>
  <si>
    <t>RUMOR HAS IT</t>
  </si>
  <si>
    <t>TIM BURTON'S CORPSE BRIDE</t>
  </si>
  <si>
    <t>SIN CITY</t>
  </si>
  <si>
    <t>DABBE</t>
  </si>
  <si>
    <t>WALK THE LINE</t>
  </si>
  <si>
    <t>SAW 2</t>
  </si>
  <si>
    <t>ZATHURA</t>
  </si>
  <si>
    <t>JARHEAD</t>
  </si>
  <si>
    <t>G.B.O. YTL</t>
  </si>
  <si>
    <t>Week in Release</t>
  </si>
  <si>
    <t>Avg. Ticket Price</t>
  </si>
  <si>
    <t>Release Date</t>
  </si>
  <si>
    <t>LES TEMPS QUI CHANGENT</t>
  </si>
  <si>
    <t>TIGER AND THE SNOW, THE</t>
  </si>
  <si>
    <t>HABABAM SINIFI UCBUCUK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</si>
  <si>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</si>
  <si>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</si>
  <si>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</si>
  <si>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</si>
  <si>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</si>
  <si>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</si>
  <si>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</si>
  <si>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</si>
  <si>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</si>
  <si>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</si>
  <si>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PROOF</t>
  </si>
  <si>
    <t>MUNICH</t>
  </si>
  <si>
    <t>DREAMER</t>
  </si>
  <si>
    <t>CHICKEN LITTLE</t>
  </si>
  <si>
    <t>FATELESS</t>
  </si>
  <si>
    <t>LE GRAND VOYAGE</t>
  </si>
  <si>
    <t>DANDELION</t>
  </si>
  <si>
    <t>STOLEN EYES</t>
  </si>
  <si>
    <t>RED SHOES</t>
  </si>
  <si>
    <t>BAMBI 2</t>
  </si>
  <si>
    <t>BIR FILM</t>
  </si>
  <si>
    <t>OYUN</t>
  </si>
  <si>
    <t>*Sorted according to Week Total G.B.O. - Haftalık toplam hasılat sütununa göre sıralanmıştır.</t>
  </si>
  <si>
    <t>KORKUYORUM ANNE</t>
  </si>
  <si>
    <t>SYRIANA</t>
  </si>
  <si>
    <t>BEYZA'NIN KADINLARI</t>
  </si>
  <si>
    <t>MEDYAVIZYON</t>
  </si>
  <si>
    <t>LAST WEEK</t>
  </si>
  <si>
    <t>TOTAL</t>
  </si>
  <si>
    <t>DISTRIBUTORS CHART</t>
  </si>
  <si>
    <t>THIS WEEKS</t>
  </si>
  <si>
    <t>LOCAL FILMS</t>
  </si>
  <si>
    <t>FOREIGN FILMS</t>
  </si>
  <si>
    <t># of Total
Prints</t>
  </si>
  <si>
    <t># of Films</t>
  </si>
  <si>
    <t>BROKEBACK MOUNTAIN</t>
  </si>
  <si>
    <t>CAPOTE</t>
  </si>
  <si>
    <t>HOODWINKED</t>
  </si>
  <si>
    <t>CRY_WOLF</t>
  </si>
  <si>
    <t>LADIES IN LAVENDER</t>
  </si>
  <si>
    <t>16 BLOCKS</t>
  </si>
  <si>
    <t>PINK PANTHER</t>
  </si>
  <si>
    <t>DARK HORSE</t>
  </si>
  <si>
    <t>MATCH POINT</t>
  </si>
  <si>
    <t>Screen Avg.
(Adm.)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</si>
  <si>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</si>
  <si>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</si>
  <si>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</si>
  <si>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</si>
  <si>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</si>
  <si>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</si>
  <si>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</si>
  <si>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</si>
  <si>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</si>
  <si>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</si>
  <si>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</si>
  <si>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</si>
  <si>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</si>
  <si>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BEE SEASON</t>
  </si>
  <si>
    <t>COLUMBIA</t>
  </si>
  <si>
    <t>J PLAN</t>
  </si>
  <si>
    <t>PANA</t>
  </si>
  <si>
    <t>FRANCE</t>
  </si>
  <si>
    <t>FOCUS</t>
  </si>
  <si>
    <t>ATLANTIK</t>
  </si>
  <si>
    <t>UNIVERSAL</t>
  </si>
  <si>
    <t>CHANTIER</t>
  </si>
  <si>
    <t>PRA</t>
  </si>
  <si>
    <t>WHAT THE BLEEP DO WE KNOW</t>
  </si>
  <si>
    <t>PARAMOUNT</t>
  </si>
  <si>
    <t>ENERGY</t>
  </si>
  <si>
    <t>YAKA FILM</t>
  </si>
  <si>
    <t>SINE FILM</t>
  </si>
  <si>
    <t>DUN GECE BIR RUYA GORDUM</t>
  </si>
  <si>
    <t>TRAVMA</t>
  </si>
  <si>
    <t>CERTI BAMBINI</t>
  </si>
  <si>
    <t>BELGE FILM</t>
  </si>
  <si>
    <t>LAKESHORE</t>
  </si>
  <si>
    <t>OZEN - UMUT</t>
  </si>
  <si>
    <t>DREAMWORKS</t>
  </si>
  <si>
    <t>WILD BUNCH</t>
  </si>
  <si>
    <t>CELLULOID</t>
  </si>
  <si>
    <t>ARZU - FIDA</t>
  </si>
  <si>
    <t>GOOD NIGHT &amp; GOOD LUCK</t>
  </si>
  <si>
    <t>AVSAR</t>
  </si>
  <si>
    <t>FAMILY STONE,THE</t>
  </si>
  <si>
    <t>SAME PERIOD LAST YEAR</t>
  </si>
  <si>
    <t>U.N.P.</t>
  </si>
  <si>
    <t>R FILM</t>
  </si>
  <si>
    <t>H20</t>
  </si>
  <si>
    <t>UNICEF</t>
  </si>
  <si>
    <t>GEN</t>
  </si>
  <si>
    <t>TIGLON</t>
  </si>
  <si>
    <t>WOLF CREEK</t>
  </si>
  <si>
    <t>WEINSTEIN CO.</t>
  </si>
  <si>
    <t>JOYEUX NOEL</t>
  </si>
  <si>
    <t>FILMS DIST.</t>
  </si>
  <si>
    <t>IFR</t>
  </si>
  <si>
    <t>BIG MOMMA'S HOUSE 2</t>
  </si>
  <si>
    <t>PRIDE &amp; PRIDJUDICE</t>
  </si>
  <si>
    <t>FIDA</t>
  </si>
  <si>
    <t>SQUID AND THE WHALE, THE</t>
  </si>
  <si>
    <t>ASK THE DUST</t>
  </si>
  <si>
    <t>PHANTOM OF THE OPERA, THE</t>
  </si>
  <si>
    <t>BABAM VE OGLUM</t>
  </si>
  <si>
    <t>ZOZO</t>
  </si>
  <si>
    <t>SEX &amp; PHILOSOPHY</t>
  </si>
  <si>
    <t>ENEL MUNDO E CADA RATO</t>
  </si>
  <si>
    <t>MADAGASCAR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</si>
  <si>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</si>
  <si>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</si>
  <si>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</si>
  <si>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</si>
  <si>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</si>
  <si>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</si>
  <si>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ODSSEY</t>
  </si>
  <si>
    <t>REZZO</t>
  </si>
  <si>
    <t>MON ANGE</t>
  </si>
  <si>
    <t>MK2</t>
  </si>
  <si>
    <t>TRUST FILMS</t>
  </si>
  <si>
    <t>WEATHERMAN, THE</t>
  </si>
  <si>
    <t>HAYALEVI</t>
  </si>
  <si>
    <t>CINECLICK ASIA</t>
  </si>
  <si>
    <t>SONY PICTURES</t>
  </si>
  <si>
    <t>WALLACE &amp; GROMITE</t>
  </si>
  <si>
    <t>35 MILIM</t>
  </si>
  <si>
    <t>87 FILMS SHOWN</t>
  </si>
  <si>
    <t>ICE AGE 2; THE MELTDOWN</t>
  </si>
  <si>
    <t>INSIDE MAN</t>
  </si>
  <si>
    <t>FINAL DESTINATION 3</t>
  </si>
  <si>
    <t>TWO FOR THE MONEY</t>
  </si>
  <si>
    <t xml:space="preserve">WILD, THE   </t>
  </si>
  <si>
    <t>DATE MOVIE</t>
  </si>
  <si>
    <t>PI FILM</t>
  </si>
  <si>
    <t>ENTRE SES MAINS</t>
  </si>
  <si>
    <t>PATHE</t>
  </si>
  <si>
    <t>WEDDING DATE, THE</t>
  </si>
  <si>
    <t>ME AND YOU AND EVERYONE WE KNOW</t>
  </si>
  <si>
    <t>PINEMA</t>
  </si>
  <si>
    <t>2006 Türkiye Annual Box Office Report / 30 Dec' - 11 May '06</t>
  </si>
  <si>
    <t>MISSION IMPOSSIBLE 3</t>
  </si>
  <si>
    <t>FILM POP</t>
  </si>
  <si>
    <t>MATADOR</t>
  </si>
  <si>
    <t>ANNE YA DA LEYLA</t>
  </si>
  <si>
    <t>SINEMA AJANS</t>
  </si>
  <si>
    <t>JE NES SUISPAS LA POUR ETRE AIME</t>
  </si>
  <si>
    <t>VIZYON</t>
  </si>
  <si>
    <t>AMORES PERROS</t>
  </si>
  <si>
    <t>LIONS GATE</t>
  </si>
  <si>
    <t>LES CHORISTES</t>
  </si>
  <si>
    <t>AEUN FLUX</t>
  </si>
  <si>
    <t>ASKD - PYRAMIDE</t>
  </si>
  <si>
    <t>ERMAN F. - PATHE</t>
  </si>
  <si>
    <t>MILLION DOLLAR BABY</t>
  </si>
  <si>
    <t>PARADISE NOW</t>
  </si>
  <si>
    <t>THE ROAD TO GUANTANAMO</t>
  </si>
  <si>
    <t>KELOGLAN KARA PRENSE KARSI</t>
  </si>
  <si>
    <t>AS IT IS IN HEAVEN</t>
  </si>
  <si>
    <t>LE FEMMES DE GILLES</t>
  </si>
  <si>
    <t>ARTEMIS</t>
  </si>
  <si>
    <t>ORGANIZE ISLER</t>
  </si>
  <si>
    <t>BKM</t>
  </si>
  <si>
    <t>WHISKY</t>
  </si>
  <si>
    <t>BARBAR FILM</t>
  </si>
  <si>
    <t>BAVARIA</t>
  </si>
  <si>
    <t>BOMBON EL PERRO</t>
  </si>
  <si>
    <t>DOUCHES FROIDES</t>
  </si>
  <si>
    <t>VOZVRASHCHENIYE</t>
  </si>
  <si>
    <t>CINEMA ART</t>
  </si>
  <si>
    <t>AVSAR FILM</t>
  </si>
  <si>
    <t>NANNY MCHPEE</t>
  </si>
  <si>
    <t>TROUBLE</t>
  </si>
  <si>
    <t>TF 1</t>
  </si>
  <si>
    <t>DEAR WENDY</t>
  </si>
  <si>
    <t>SIR F. - TRUST F.</t>
  </si>
  <si>
    <t>DAR ALANDA KISA PASLAŞMALAR</t>
  </si>
  <si>
    <t>RABBIT ON THE MOON</t>
  </si>
  <si>
    <t>LIMON - CAPITOL</t>
  </si>
  <si>
    <t>BIN JIP</t>
  </si>
  <si>
    <t>SAMARITAN GIRL</t>
  </si>
  <si>
    <t>NARNIA</t>
  </si>
  <si>
    <t>ROBOTLAR</t>
  </si>
  <si>
    <t>97 FILMS SHOWN</t>
  </si>
  <si>
    <t>66 FILMS SHOWN</t>
  </si>
  <si>
    <t>3</t>
  </si>
  <si>
    <t>11.05.2006 - 15.30</t>
  </si>
  <si>
    <t>ROAD TO GUANTANAMO</t>
  </si>
  <si>
    <t>Prints</t>
  </si>
  <si>
    <t>All Week's Total in 2006</t>
  </si>
  <si>
    <t>Print Avg. G.B.O.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</si>
</sst>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</numFmts>
  <fonts count="3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4"/>
      <name val="Impact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b/>
      <sz val="14"/>
      <name val="Arial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sz val="8"/>
      <name val="Verdana"/>
      <family val="0"/>
    </font>
    <font>
      <b/>
      <sz val="8"/>
      <name val="Albertus Extra Bold"/>
      <family val="0"/>
    </font>
    <font>
      <sz val="8"/>
      <name val="Arial"/>
      <family val="2"/>
    </font>
    <font>
      <sz val="25"/>
      <color indexed="9"/>
      <name val="Impact"/>
      <family val="0"/>
    </font>
    <font>
      <i/>
      <sz val="9"/>
      <name val="Arial"/>
      <family val="2"/>
    </font>
    <font>
      <b/>
      <sz val="10"/>
      <color indexed="9"/>
      <name val="Century Gothic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10"/>
      <color indexed="10"/>
      <name val="Trebuchet MS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1" xfId="0" applyFont="1" applyFill="1" applyBorder="1" applyAlignment="1" applyProtection="1">
      <alignment horizontal="left" vertical="center" indent="1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21" fillId="0" borderId="11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vertical="center" wrapText="1"/>
    </xf>
    <xf numFmtId="0" fontId="29" fillId="2" borderId="13" xfId="0" applyFont="1" applyFill="1" applyBorder="1" applyAlignment="1">
      <alignment horizontal="center" vertical="center"/>
    </xf>
    <xf numFmtId="3" fontId="29" fillId="2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9" fillId="2" borderId="19" xfId="0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0" fillId="2" borderId="20" xfId="0" applyFont="1" applyFill="1" applyBorder="1" applyAlignment="1" applyProtection="1">
      <alignment vertical="center"/>
      <protection locked="0"/>
    </xf>
    <xf numFmtId="0" fontId="29" fillId="2" borderId="21" xfId="0" applyFont="1" applyFill="1" applyBorder="1" applyAlignment="1">
      <alignment horizontal="center" vertical="center"/>
    </xf>
    <xf numFmtId="3" fontId="29" fillId="2" borderId="21" xfId="0" applyNumberFormat="1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vertical="center"/>
    </xf>
    <xf numFmtId="184" fontId="21" fillId="0" borderId="11" xfId="0" applyNumberFormat="1" applyFont="1" applyFill="1" applyBorder="1" applyAlignment="1">
      <alignment horizontal="center" vertical="center"/>
    </xf>
    <xf numFmtId="184" fontId="29" fillId="2" borderId="21" xfId="0" applyNumberFormat="1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 applyProtection="1">
      <alignment horizontal="center" vertical="center"/>
      <protection locked="0"/>
    </xf>
    <xf numFmtId="184" fontId="13" fillId="0" borderId="6" xfId="0" applyNumberFormat="1" applyFont="1" applyFill="1" applyBorder="1" applyAlignment="1" applyProtection="1">
      <alignment horizontal="center" vertical="center"/>
      <protection locked="0"/>
    </xf>
    <xf numFmtId="187" fontId="29" fillId="2" borderId="2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vertical="center"/>
      <protection/>
    </xf>
    <xf numFmtId="193" fontId="29" fillId="2" borderId="21" xfId="0" applyNumberFormat="1" applyFont="1" applyFill="1" applyBorder="1" applyAlignment="1">
      <alignment vertical="center"/>
    </xf>
    <xf numFmtId="193" fontId="13" fillId="0" borderId="0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>
      <alignment horizontal="center" wrapText="1"/>
    </xf>
    <xf numFmtId="0" fontId="30" fillId="2" borderId="15" xfId="0" applyFont="1" applyFill="1" applyBorder="1" applyAlignment="1" applyProtection="1">
      <alignment vertical="center"/>
      <protection locked="0"/>
    </xf>
    <xf numFmtId="0" fontId="30" fillId="2" borderId="16" xfId="0" applyFont="1" applyFill="1" applyBorder="1" applyAlignment="1">
      <alignment vertical="center"/>
    </xf>
    <xf numFmtId="184" fontId="30" fillId="2" borderId="16" xfId="0" applyNumberFormat="1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3" fontId="30" fillId="2" borderId="16" xfId="0" applyNumberFormat="1" applyFont="1" applyFill="1" applyBorder="1" applyAlignment="1">
      <alignment horizontal="center" vertical="center"/>
    </xf>
    <xf numFmtId="187" fontId="30" fillId="2" borderId="16" xfId="0" applyNumberFormat="1" applyFont="1" applyFill="1" applyBorder="1" applyAlignment="1">
      <alignment vertical="center"/>
    </xf>
    <xf numFmtId="193" fontId="30" fillId="2" borderId="16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184" fontId="29" fillId="2" borderId="11" xfId="0" applyNumberFormat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3" fontId="29" fillId="2" borderId="11" xfId="0" applyNumberFormat="1" applyFont="1" applyFill="1" applyBorder="1" applyAlignment="1">
      <alignment horizontal="center" vertical="center"/>
    </xf>
    <xf numFmtId="187" fontId="29" fillId="2" borderId="11" xfId="0" applyNumberFormat="1" applyFont="1" applyFill="1" applyBorder="1" applyAlignment="1">
      <alignment vertical="center"/>
    </xf>
    <xf numFmtId="193" fontId="29" fillId="2" borderId="11" xfId="0" applyNumberFormat="1" applyFont="1" applyFill="1" applyBorder="1" applyAlignment="1">
      <alignment vertical="center"/>
    </xf>
    <xf numFmtId="0" fontId="20" fillId="2" borderId="1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  <protection/>
    </xf>
    <xf numFmtId="187" fontId="5" fillId="0" borderId="6" xfId="0" applyNumberFormat="1" applyFont="1" applyFill="1" applyBorder="1" applyAlignment="1" applyProtection="1">
      <alignment horizontal="center" vertical="center"/>
      <protection/>
    </xf>
    <xf numFmtId="193" fontId="5" fillId="0" borderId="6" xfId="0" applyNumberFormat="1" applyFont="1" applyFill="1" applyBorder="1" applyAlignment="1" applyProtection="1">
      <alignment horizontal="center" vertical="center"/>
      <protection/>
    </xf>
    <xf numFmtId="193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84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vertical="center"/>
      <protection locked="0"/>
    </xf>
    <xf numFmtId="187" fontId="3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187" fontId="32" fillId="0" borderId="0" xfId="0" applyNumberFormat="1" applyFont="1" applyFill="1" applyBorder="1" applyAlignment="1" applyProtection="1">
      <alignment horizontal="right" vertical="center"/>
      <protection locked="0"/>
    </xf>
    <xf numFmtId="187" fontId="33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vertical="center"/>
      <protection/>
    </xf>
    <xf numFmtId="187" fontId="5" fillId="0" borderId="6" xfId="0" applyNumberFormat="1" applyFont="1" applyFill="1" applyBorder="1" applyAlignment="1" applyProtection="1">
      <alignment horizontal="center" vertical="center" wrapText="1"/>
      <protection/>
    </xf>
    <xf numFmtId="187" fontId="14" fillId="0" borderId="0" xfId="0" applyNumberFormat="1" applyFont="1" applyFill="1" applyAlignment="1">
      <alignment vertical="center"/>
    </xf>
    <xf numFmtId="187" fontId="5" fillId="0" borderId="23" xfId="0" applyNumberFormat="1" applyFont="1" applyFill="1" applyBorder="1" applyAlignment="1" applyProtection="1">
      <alignment horizontal="center" vertical="center" wrapText="1"/>
      <protection/>
    </xf>
    <xf numFmtId="187" fontId="20" fillId="0" borderId="16" xfId="0" applyNumberFormat="1" applyFont="1" applyBorder="1" applyAlignment="1">
      <alignment vertical="center"/>
    </xf>
    <xf numFmtId="187" fontId="20" fillId="0" borderId="18" xfId="0" applyNumberFormat="1" applyFont="1" applyBorder="1" applyAlignment="1">
      <alignment vertical="center"/>
    </xf>
    <xf numFmtId="187" fontId="29" fillId="2" borderId="13" xfId="0" applyNumberFormat="1" applyFont="1" applyFill="1" applyBorder="1" applyAlignment="1">
      <alignment vertical="center"/>
    </xf>
    <xf numFmtId="187" fontId="14" fillId="0" borderId="0" xfId="0" applyNumberFormat="1" applyFont="1" applyAlignment="1">
      <alignment vertical="center"/>
    </xf>
    <xf numFmtId="2" fontId="21" fillId="0" borderId="26" xfId="0" applyNumberFormat="1" applyFont="1" applyBorder="1" applyAlignment="1">
      <alignment horizontal="right" vertical="center" indent="1"/>
    </xf>
    <xf numFmtId="2" fontId="21" fillId="0" borderId="27" xfId="0" applyNumberFormat="1" applyFont="1" applyBorder="1" applyAlignment="1">
      <alignment horizontal="right" vertical="center" indent="1"/>
    </xf>
    <xf numFmtId="2" fontId="29" fillId="2" borderId="28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3" fontId="14" fillId="0" borderId="0" xfId="0" applyNumberFormat="1" applyFont="1" applyFill="1" applyAlignment="1">
      <alignment horizontal="right" vertical="center" indent="1"/>
    </xf>
    <xf numFmtId="3" fontId="5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6" xfId="0" applyNumberFormat="1" applyFont="1" applyBorder="1" applyAlignment="1">
      <alignment horizontal="right" vertical="center" indent="1"/>
    </xf>
    <xf numFmtId="3" fontId="21" fillId="0" borderId="18" xfId="0" applyNumberFormat="1" applyFont="1" applyBorder="1" applyAlignment="1">
      <alignment horizontal="right" vertical="center" indent="1"/>
    </xf>
    <xf numFmtId="3" fontId="29" fillId="2" borderId="13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Alignment="1">
      <alignment horizontal="right" vertical="center" indent="1"/>
    </xf>
    <xf numFmtId="192" fontId="3" fillId="0" borderId="0" xfId="0" applyNumberFormat="1" applyFont="1" applyFill="1" applyBorder="1" applyAlignment="1" applyProtection="1">
      <alignment horizontal="right" vertical="center" indent="1"/>
      <protection/>
    </xf>
    <xf numFmtId="192" fontId="30" fillId="2" borderId="26" xfId="0" applyNumberFormat="1" applyFont="1" applyFill="1" applyBorder="1" applyAlignment="1">
      <alignment horizontal="right" vertical="center" indent="1"/>
    </xf>
    <xf numFmtId="192" fontId="29" fillId="2" borderId="29" xfId="0" applyNumberFormat="1" applyFont="1" applyFill="1" applyBorder="1" applyAlignment="1">
      <alignment horizontal="right" vertical="center" indent="1"/>
    </xf>
    <xf numFmtId="192" fontId="29" fillId="2" borderId="30" xfId="0" applyNumberFormat="1" applyFont="1" applyFill="1" applyBorder="1" applyAlignment="1">
      <alignment horizontal="right" vertical="center" indent="1"/>
    </xf>
    <xf numFmtId="193" fontId="13" fillId="0" borderId="0" xfId="0" applyNumberFormat="1" applyFont="1" applyFill="1" applyBorder="1" applyAlignment="1" applyProtection="1">
      <alignment horizontal="right" vertical="center" indent="1"/>
      <protection locked="0"/>
    </xf>
    <xf numFmtId="192" fontId="13" fillId="0" borderId="0" xfId="0" applyNumberFormat="1" applyFont="1" applyFill="1" applyBorder="1" applyAlignment="1" applyProtection="1">
      <alignment horizontal="right" vertical="center" indent="1"/>
      <protection locked="0"/>
    </xf>
    <xf numFmtId="192" fontId="7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21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 indent="1"/>
    </xf>
    <xf numFmtId="0" fontId="21" fillId="0" borderId="11" xfId="0" applyFont="1" applyFill="1" applyBorder="1" applyAlignment="1">
      <alignment vertical="center"/>
    </xf>
    <xf numFmtId="204" fontId="21" fillId="0" borderId="11" xfId="0" applyNumberFormat="1" applyFont="1" applyFill="1" applyBorder="1" applyAlignment="1">
      <alignment vertical="center"/>
    </xf>
    <xf numFmtId="184" fontId="21" fillId="0" borderId="11" xfId="0" applyNumberFormat="1" applyFont="1" applyFill="1" applyBorder="1" applyAlignment="1" applyProtection="1">
      <alignment vertical="center"/>
      <protection locked="0"/>
    </xf>
    <xf numFmtId="197" fontId="21" fillId="0" borderId="11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1" xfId="0" applyFont="1" applyFill="1" applyBorder="1" applyAlignment="1" applyProtection="1">
      <alignment vertical="center"/>
      <protection locked="0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30" fillId="2" borderId="16" xfId="0" applyNumberFormat="1" applyFont="1" applyFill="1" applyBorder="1" applyAlignment="1">
      <alignment vertical="center"/>
    </xf>
    <xf numFmtId="192" fontId="29" fillId="2" borderId="11" xfId="0" applyNumberFormat="1" applyFont="1" applyFill="1" applyBorder="1" applyAlignment="1">
      <alignment vertical="center"/>
    </xf>
    <xf numFmtId="192" fontId="29" fillId="2" borderId="21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11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21" fillId="0" borderId="11" xfId="0" applyFont="1" applyFill="1" applyBorder="1" applyAlignment="1" applyProtection="1">
      <alignment wrapText="1"/>
      <protection locked="0"/>
    </xf>
    <xf numFmtId="0" fontId="21" fillId="0" borderId="11" xfId="19" applyFont="1" applyFill="1" applyBorder="1" applyAlignment="1" applyProtection="1">
      <alignment wrapText="1"/>
      <protection locked="0"/>
    </xf>
    <xf numFmtId="184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187" fontId="21" fillId="0" borderId="11" xfId="0" applyNumberFormat="1" applyFont="1" applyFill="1" applyBorder="1" applyAlignment="1">
      <alignment vertical="center"/>
    </xf>
    <xf numFmtId="193" fontId="21" fillId="0" borderId="11" xfId="0" applyNumberFormat="1" applyFont="1" applyFill="1" applyBorder="1" applyAlignment="1">
      <alignment vertical="center"/>
    </xf>
    <xf numFmtId="193" fontId="21" fillId="0" borderId="11" xfId="22" applyNumberFormat="1" applyFont="1" applyFill="1" applyBorder="1" applyAlignment="1" applyProtection="1">
      <alignment vertical="center"/>
      <protection/>
    </xf>
    <xf numFmtId="192" fontId="21" fillId="0" borderId="11" xfId="22" applyNumberFormat="1" applyFont="1" applyFill="1" applyBorder="1" applyAlignment="1" applyProtection="1">
      <alignment vertical="center"/>
      <protection/>
    </xf>
    <xf numFmtId="192" fontId="21" fillId="0" borderId="29" xfId="22" applyNumberFormat="1" applyFont="1" applyFill="1" applyBorder="1" applyAlignment="1" applyProtection="1">
      <alignment vertical="center"/>
      <protection/>
    </xf>
    <xf numFmtId="192" fontId="21" fillId="0" borderId="29" xfId="15" applyNumberFormat="1" applyFont="1" applyFill="1" applyBorder="1" applyAlignment="1" applyProtection="1">
      <alignment vertical="center"/>
      <protection/>
    </xf>
    <xf numFmtId="187" fontId="21" fillId="0" borderId="11" xfId="15" applyNumberFormat="1" applyFont="1" applyFill="1" applyBorder="1" applyAlignment="1">
      <alignment vertical="center"/>
    </xf>
    <xf numFmtId="193" fontId="21" fillId="0" borderId="11" xfId="15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 applyProtection="1">
      <alignment vertical="center"/>
      <protection locked="0"/>
    </xf>
    <xf numFmtId="193" fontId="21" fillId="0" borderId="11" xfId="0" applyNumberFormat="1" applyFont="1" applyFill="1" applyBorder="1" applyAlignment="1" applyProtection="1">
      <alignment vertical="center"/>
      <protection locked="0"/>
    </xf>
    <xf numFmtId="187" fontId="21" fillId="0" borderId="11" xfId="15" applyNumberFormat="1" applyFont="1" applyFill="1" applyBorder="1" applyAlignment="1" applyProtection="1">
      <alignment vertical="center"/>
      <protection/>
    </xf>
    <xf numFmtId="193" fontId="21" fillId="0" borderId="11" xfId="15" applyNumberFormat="1" applyFont="1" applyFill="1" applyBorder="1" applyAlignment="1" applyProtection="1">
      <alignment vertical="center"/>
      <protection/>
    </xf>
    <xf numFmtId="187" fontId="21" fillId="0" borderId="11" xfId="15" applyNumberFormat="1" applyFont="1" applyFill="1" applyBorder="1" applyAlignment="1" applyProtection="1">
      <alignment vertical="center"/>
      <protection locked="0"/>
    </xf>
    <xf numFmtId="193" fontId="21" fillId="0" borderId="11" xfId="15" applyNumberFormat="1" applyFont="1" applyFill="1" applyBorder="1" applyAlignment="1" applyProtection="1">
      <alignment vertical="center"/>
      <protection locked="0"/>
    </xf>
    <xf numFmtId="192" fontId="21" fillId="0" borderId="11" xfId="15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vertical="center"/>
      <protection locked="0"/>
    </xf>
    <xf numFmtId="187" fontId="21" fillId="0" borderId="21" xfId="15" applyNumberFormat="1" applyFont="1" applyFill="1" applyBorder="1" applyAlignment="1">
      <alignment vertical="center"/>
    </xf>
    <xf numFmtId="193" fontId="21" fillId="0" borderId="21" xfId="0" applyNumberFormat="1" applyFont="1" applyFill="1" applyBorder="1" applyAlignment="1">
      <alignment vertical="center"/>
    </xf>
    <xf numFmtId="193" fontId="21" fillId="0" borderId="21" xfId="22" applyNumberFormat="1" applyFont="1" applyFill="1" applyBorder="1" applyAlignment="1" applyProtection="1">
      <alignment vertical="center"/>
      <protection/>
    </xf>
    <xf numFmtId="192" fontId="21" fillId="0" borderId="21" xfId="22" applyNumberFormat="1" applyFont="1" applyFill="1" applyBorder="1" applyAlignment="1" applyProtection="1">
      <alignment vertical="center"/>
      <protection/>
    </xf>
    <xf numFmtId="192" fontId="21" fillId="0" borderId="30" xfId="15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187" fontId="21" fillId="0" borderId="16" xfId="0" applyNumberFormat="1" applyFont="1" applyFill="1" applyBorder="1" applyAlignment="1">
      <alignment vertical="center"/>
    </xf>
    <xf numFmtId="193" fontId="21" fillId="0" borderId="16" xfId="0" applyNumberFormat="1" applyFont="1" applyFill="1" applyBorder="1" applyAlignment="1">
      <alignment vertical="center"/>
    </xf>
    <xf numFmtId="193" fontId="21" fillId="0" borderId="16" xfId="22" applyNumberFormat="1" applyFont="1" applyFill="1" applyBorder="1" applyAlignment="1" applyProtection="1">
      <alignment vertical="center"/>
      <protection/>
    </xf>
    <xf numFmtId="192" fontId="21" fillId="0" borderId="16" xfId="22" applyNumberFormat="1" applyFont="1" applyFill="1" applyBorder="1" applyAlignment="1" applyProtection="1">
      <alignment vertical="center"/>
      <protection/>
    </xf>
    <xf numFmtId="192" fontId="21" fillId="0" borderId="26" xfId="15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187" fontId="37" fillId="0" borderId="0" xfId="0" applyNumberFormat="1" applyFont="1" applyFill="1" applyBorder="1" applyAlignment="1" applyProtection="1">
      <alignment horizontal="right" vertical="center"/>
      <protection locked="0"/>
    </xf>
    <xf numFmtId="193" fontId="21" fillId="0" borderId="0" xfId="0" applyNumberFormat="1" applyFont="1" applyFill="1" applyBorder="1" applyAlignment="1" applyProtection="1">
      <alignment vertical="center"/>
      <protection locked="0"/>
    </xf>
    <xf numFmtId="192" fontId="21" fillId="0" borderId="0" xfId="0" applyNumberFormat="1" applyFont="1" applyFill="1" applyBorder="1" applyAlignment="1" applyProtection="1">
      <alignment vertical="center"/>
      <protection locked="0"/>
    </xf>
    <xf numFmtId="187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184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187" fontId="20" fillId="0" borderId="0" xfId="0" applyNumberFormat="1" applyFont="1" applyFill="1" applyBorder="1" applyAlignment="1" applyProtection="1">
      <alignment horizontal="center" vertical="center"/>
      <protection locked="0"/>
    </xf>
    <xf numFmtId="193" fontId="37" fillId="0" borderId="0" xfId="0" applyNumberFormat="1" applyFont="1" applyFill="1" applyBorder="1" applyAlignment="1" applyProtection="1">
      <alignment vertical="center"/>
      <protection locked="0"/>
    </xf>
    <xf numFmtId="187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 indent="1"/>
      <protection locked="0"/>
    </xf>
    <xf numFmtId="0" fontId="21" fillId="0" borderId="34" xfId="0" applyFont="1" applyFill="1" applyBorder="1" applyAlignment="1" applyProtection="1">
      <alignment horizontal="right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4" fontId="20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21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right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0" fillId="0" borderId="1" xfId="0" applyNumberFormat="1" applyFont="1" applyFill="1" applyBorder="1" applyAlignment="1" applyProtection="1">
      <alignment horizontal="right" vertical="center" indent="1"/>
      <protection locked="0"/>
    </xf>
    <xf numFmtId="193" fontId="21" fillId="0" borderId="1" xfId="0" applyNumberFormat="1" applyFont="1" applyFill="1" applyBorder="1" applyAlignment="1" applyProtection="1">
      <alignment horizontal="right" vertical="center" indent="1"/>
      <protection locked="0"/>
    </xf>
    <xf numFmtId="192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right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187" fontId="20" fillId="0" borderId="16" xfId="0" applyNumberFormat="1" applyFont="1" applyFill="1" applyBorder="1" applyAlignment="1">
      <alignment vertical="center"/>
    </xf>
    <xf numFmtId="187" fontId="20" fillId="0" borderId="11" xfId="0" applyNumberFormat="1" applyFont="1" applyFill="1" applyBorder="1" applyAlignment="1">
      <alignment vertical="center"/>
    </xf>
    <xf numFmtId="187" fontId="20" fillId="0" borderId="11" xfId="15" applyNumberFormat="1" applyFont="1" applyFill="1" applyBorder="1" applyAlignment="1" applyProtection="1">
      <alignment vertical="center"/>
      <protection locked="0"/>
    </xf>
    <xf numFmtId="187" fontId="20" fillId="0" borderId="11" xfId="15" applyNumberFormat="1" applyFont="1" applyFill="1" applyBorder="1" applyAlignment="1" applyProtection="1">
      <alignment vertical="center"/>
      <protection/>
    </xf>
    <xf numFmtId="187" fontId="20" fillId="0" borderId="11" xfId="15" applyNumberFormat="1" applyFont="1" applyFill="1" applyBorder="1" applyAlignment="1">
      <alignment vertical="center"/>
    </xf>
    <xf numFmtId="187" fontId="20" fillId="0" borderId="11" xfId="0" applyNumberFormat="1" applyFont="1" applyFill="1" applyBorder="1" applyAlignment="1" applyProtection="1">
      <alignment vertical="center"/>
      <protection locked="0"/>
    </xf>
    <xf numFmtId="187" fontId="20" fillId="0" borderId="21" xfId="15" applyNumberFormat="1" applyFont="1" applyFill="1" applyBorder="1" applyAlignment="1">
      <alignment vertical="center"/>
    </xf>
    <xf numFmtId="192" fontId="5" fillId="0" borderId="6" xfId="0" applyNumberFormat="1" applyFont="1" applyFill="1" applyBorder="1" applyAlignment="1" applyProtection="1">
      <alignment horizontal="center" vertical="center" wrapText="1"/>
      <protection/>
    </xf>
    <xf numFmtId="192" fontId="5" fillId="0" borderId="3" xfId="0" applyNumberFormat="1" applyFont="1" applyFill="1" applyBorder="1" applyAlignment="1" applyProtection="1">
      <alignment horizontal="center" vertical="center" wrapText="1"/>
      <protection/>
    </xf>
    <xf numFmtId="187" fontId="20" fillId="0" borderId="11" xfId="0" applyNumberFormat="1" applyFont="1" applyBorder="1" applyAlignment="1">
      <alignment vertical="center"/>
    </xf>
    <xf numFmtId="193" fontId="21" fillId="0" borderId="11" xfId="0" applyNumberFormat="1" applyFont="1" applyBorder="1" applyAlignment="1">
      <alignment vertical="center"/>
    </xf>
    <xf numFmtId="193" fontId="34" fillId="0" borderId="11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187" fontId="35" fillId="0" borderId="11" xfId="15" applyNumberFormat="1" applyFont="1" applyFill="1" applyBorder="1" applyAlignment="1">
      <alignment vertical="center"/>
    </xf>
    <xf numFmtId="0" fontId="21" fillId="0" borderId="11" xfId="19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187" fontId="20" fillId="0" borderId="16" xfId="15" applyNumberFormat="1" applyFont="1" applyFill="1" applyBorder="1" applyAlignment="1">
      <alignment vertical="center"/>
    </xf>
    <xf numFmtId="193" fontId="21" fillId="0" borderId="16" xfId="15" applyNumberFormat="1" applyFont="1" applyFill="1" applyBorder="1" applyAlignment="1">
      <alignment vertical="center"/>
    </xf>
    <xf numFmtId="192" fontId="21" fillId="0" borderId="26" xfId="22" applyNumberFormat="1" applyFont="1" applyFill="1" applyBorder="1" applyAlignment="1" applyProtection="1">
      <alignment vertical="center"/>
      <protection/>
    </xf>
    <xf numFmtId="192" fontId="21" fillId="0" borderId="29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21" fillId="0" borderId="18" xfId="0" applyFont="1" applyFill="1" applyBorder="1" applyAlignment="1" applyProtection="1">
      <alignment vertical="center"/>
      <protection locked="0"/>
    </xf>
    <xf numFmtId="184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187" fontId="20" fillId="0" borderId="18" xfId="15" applyNumberFormat="1" applyFont="1" applyFill="1" applyBorder="1" applyAlignment="1">
      <alignment vertical="center"/>
    </xf>
    <xf numFmtId="193" fontId="21" fillId="0" borderId="18" xfId="15" applyNumberFormat="1" applyFont="1" applyFill="1" applyBorder="1" applyAlignment="1">
      <alignment vertical="center"/>
    </xf>
    <xf numFmtId="192" fontId="21" fillId="0" borderId="27" xfId="22" applyNumberFormat="1" applyFont="1" applyFill="1" applyBorder="1" applyAlignment="1" applyProtection="1">
      <alignment vertical="center"/>
      <protection/>
    </xf>
    <xf numFmtId="0" fontId="30" fillId="2" borderId="15" xfId="0" applyFont="1" applyFill="1" applyBorder="1" applyAlignment="1">
      <alignment vertical="center"/>
    </xf>
    <xf numFmtId="3" fontId="30" fillId="2" borderId="16" xfId="0" applyNumberFormat="1" applyFont="1" applyFill="1" applyBorder="1" applyAlignment="1">
      <alignment horizontal="right" vertical="center" indent="1"/>
    </xf>
    <xf numFmtId="2" fontId="30" fillId="2" borderId="26" xfId="0" applyNumberFormat="1" applyFont="1" applyFill="1" applyBorder="1" applyAlignment="1">
      <alignment horizontal="right" vertical="center" indent="1"/>
    </xf>
    <xf numFmtId="0" fontId="30" fillId="2" borderId="20" xfId="0" applyFont="1" applyFill="1" applyBorder="1" applyAlignment="1">
      <alignment vertical="center"/>
    </xf>
    <xf numFmtId="3" fontId="29" fillId="2" borderId="21" xfId="0" applyNumberFormat="1" applyFont="1" applyFill="1" applyBorder="1" applyAlignment="1">
      <alignment horizontal="right" vertical="center" indent="1"/>
    </xf>
    <xf numFmtId="2" fontId="29" fillId="2" borderId="30" xfId="0" applyNumberFormat="1" applyFont="1" applyFill="1" applyBorder="1" applyAlignment="1">
      <alignment horizontal="right" vertical="center" indent="1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193" fontId="21" fillId="0" borderId="37" xfId="0" applyNumberFormat="1" applyFont="1" applyFill="1" applyBorder="1" applyAlignment="1" applyProtection="1">
      <alignment horizontal="right" vertical="center" indent="1"/>
      <protection locked="0"/>
    </xf>
    <xf numFmtId="4" fontId="20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21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21" fillId="0" borderId="36" xfId="0" applyNumberFormat="1" applyFont="1" applyFill="1" applyBorder="1" applyAlignment="1" applyProtection="1">
      <alignment horizontal="right" vertical="center" indent="1"/>
      <protection locked="0"/>
    </xf>
    <xf numFmtId="192" fontId="21" fillId="0" borderId="3" xfId="0" applyNumberFormat="1" applyFont="1" applyFill="1" applyBorder="1" applyAlignment="1" applyProtection="1">
      <alignment horizontal="center" vertical="center"/>
      <protection locked="0"/>
    </xf>
    <xf numFmtId="192" fontId="38" fillId="0" borderId="2" xfId="0" applyNumberFormat="1" applyFont="1" applyFill="1" applyBorder="1" applyAlignment="1" applyProtection="1">
      <alignment horizontal="center" vertical="center"/>
      <protection locked="0"/>
    </xf>
    <xf numFmtId="193" fontId="38" fillId="0" borderId="37" xfId="0" applyNumberFormat="1" applyFont="1" applyFill="1" applyBorder="1" applyAlignment="1" applyProtection="1">
      <alignment horizontal="right" vertical="center" indent="1"/>
      <protection locked="0"/>
    </xf>
    <xf numFmtId="0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22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right" vertical="center" indent="1"/>
      <protection locked="0"/>
    </xf>
    <xf numFmtId="193" fontId="38" fillId="0" borderId="22" xfId="0" applyNumberFormat="1" applyFont="1" applyFill="1" applyBorder="1" applyAlignment="1" applyProtection="1">
      <alignment horizontal="right" vertical="center" indent="1"/>
      <protection locked="0"/>
    </xf>
    <xf numFmtId="193" fontId="21" fillId="0" borderId="38" xfId="0" applyNumberFormat="1" applyFont="1" applyFill="1" applyBorder="1" applyAlignment="1" applyProtection="1">
      <alignment horizontal="right" vertical="center" indent="1"/>
      <protection locked="0"/>
    </xf>
    <xf numFmtId="192" fontId="21" fillId="0" borderId="39" xfId="0" applyNumberFormat="1" applyFont="1" applyFill="1" applyBorder="1" applyAlignment="1" applyProtection="1">
      <alignment horizontal="center" vertical="center"/>
      <protection locked="0"/>
    </xf>
    <xf numFmtId="193" fontId="38" fillId="0" borderId="38" xfId="0" applyNumberFormat="1" applyFont="1" applyFill="1" applyBorder="1" applyAlignment="1" applyProtection="1">
      <alignment horizontal="right" vertical="center" inden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39" xfId="0" applyFont="1" applyBorder="1" applyAlignment="1">
      <alignment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Alignment="1">
      <alignment horizontal="center" vertical="center"/>
    </xf>
    <xf numFmtId="184" fontId="12" fillId="0" borderId="12" xfId="0" applyNumberFormat="1" applyFont="1" applyFill="1" applyBorder="1" applyAlignment="1" applyProtection="1">
      <alignment horizontal="center" vertical="center"/>
      <protection locked="0"/>
    </xf>
    <xf numFmtId="184" fontId="0" fillId="0" borderId="40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locked="0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/>
    </xf>
    <xf numFmtId="43" fontId="5" fillId="0" borderId="22" xfId="15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184" fontId="0" fillId="0" borderId="6" xfId="0" applyNumberFormat="1" applyBorder="1" applyAlignment="1">
      <alignment horizontal="center"/>
    </xf>
    <xf numFmtId="184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26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2" fontId="5" fillId="0" borderId="39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2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4872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12</xdr:col>
      <xdr:colOff>457200</xdr:colOff>
      <xdr:row>0</xdr:row>
      <xdr:rowOff>466725</xdr:rowOff>
    </xdr:from>
    <xdr:to>
      <xdr:col>15</xdr:col>
      <xdr:colOff>447675</xdr:colOff>
      <xdr:row>0</xdr:row>
      <xdr:rowOff>1076325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125075" y="466725"/>
          <a:ext cx="2181225" cy="6096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19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05 - 11  MAY'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6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421875" style="29" bestFit="1" customWidth="1"/>
    <col min="2" max="2" width="1.28515625" style="6" customWidth="1"/>
    <col min="3" max="3" width="35.7109375" style="5" bestFit="1" customWidth="1"/>
    <col min="4" max="4" width="8.7109375" style="45" bestFit="1" customWidth="1"/>
    <col min="5" max="5" width="19.140625" style="74" customWidth="1"/>
    <col min="6" max="6" width="17.00390625" style="74" bestFit="1" customWidth="1"/>
    <col min="7" max="7" width="11.00390625" style="8" bestFit="1" customWidth="1"/>
    <col min="8" max="8" width="7.7109375" style="8" bestFit="1" customWidth="1"/>
    <col min="9" max="9" width="9.28125" style="8" customWidth="1"/>
    <col min="10" max="10" width="14.8515625" style="129" bestFit="1" customWidth="1"/>
    <col min="11" max="11" width="9.140625" style="90" bestFit="1" customWidth="1"/>
    <col min="12" max="12" width="7.7109375" style="90" bestFit="1" customWidth="1"/>
    <col min="13" max="13" width="7.7109375" style="177" customWidth="1"/>
    <col min="14" max="14" width="14.8515625" style="86" bestFit="1" customWidth="1"/>
    <col min="15" max="15" width="10.28125" style="90" customWidth="1"/>
    <col min="16" max="16" width="9.7109375" style="157" customWidth="1"/>
    <col min="17" max="16384" width="9.140625" style="5" customWidth="1"/>
  </cols>
  <sheetData>
    <row r="1" spans="1:16" s="3" customFormat="1" ht="104.25" customHeight="1">
      <c r="A1" s="26"/>
      <c r="B1" s="1"/>
      <c r="C1" s="2"/>
      <c r="D1" s="43"/>
      <c r="E1" s="72"/>
      <c r="F1" s="72"/>
      <c r="G1" s="7"/>
      <c r="H1" s="7"/>
      <c r="I1" s="7"/>
      <c r="J1" s="126"/>
      <c r="K1" s="87"/>
      <c r="L1" s="87"/>
      <c r="M1" s="173"/>
      <c r="N1" s="84"/>
      <c r="O1" s="91"/>
      <c r="P1" s="151"/>
    </row>
    <row r="2" spans="1:16" s="33" customFormat="1" ht="39.75" customHeight="1" thickBot="1">
      <c r="A2" s="305" t="s">
        <v>154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s="4" customFormat="1" ht="14.25">
      <c r="A3" s="27"/>
      <c r="B3" s="46"/>
      <c r="C3" s="316" t="s">
        <v>16</v>
      </c>
      <c r="D3" s="320" t="s">
        <v>17</v>
      </c>
      <c r="E3" s="317" t="s">
        <v>91</v>
      </c>
      <c r="F3" s="317" t="s">
        <v>90</v>
      </c>
      <c r="G3" s="314" t="s">
        <v>18</v>
      </c>
      <c r="H3" s="314" t="s">
        <v>45</v>
      </c>
      <c r="I3" s="314" t="s">
        <v>46</v>
      </c>
      <c r="J3" s="319" t="s">
        <v>19</v>
      </c>
      <c r="K3" s="319"/>
      <c r="L3" s="319"/>
      <c r="M3" s="319"/>
      <c r="N3" s="312" t="s">
        <v>20</v>
      </c>
      <c r="O3" s="312"/>
      <c r="P3" s="313"/>
    </row>
    <row r="4" spans="1:16" s="4" customFormat="1" ht="50.25" customHeight="1" thickBot="1">
      <c r="A4" s="28"/>
      <c r="B4" s="113"/>
      <c r="C4" s="315"/>
      <c r="D4" s="321"/>
      <c r="E4" s="318"/>
      <c r="F4" s="318"/>
      <c r="G4" s="315"/>
      <c r="H4" s="315"/>
      <c r="I4" s="315"/>
      <c r="J4" s="114" t="s">
        <v>21</v>
      </c>
      <c r="K4" s="115" t="s">
        <v>22</v>
      </c>
      <c r="L4" s="116" t="s">
        <v>89</v>
      </c>
      <c r="M4" s="252" t="s">
        <v>23</v>
      </c>
      <c r="N4" s="114" t="s">
        <v>21</v>
      </c>
      <c r="O4" s="115" t="s">
        <v>22</v>
      </c>
      <c r="P4" s="253" t="s">
        <v>24</v>
      </c>
    </row>
    <row r="5" spans="1:16" s="4" customFormat="1" ht="15">
      <c r="A5" s="34">
        <v>1</v>
      </c>
      <c r="B5" s="93"/>
      <c r="C5" s="183" t="s">
        <v>185</v>
      </c>
      <c r="D5" s="182">
        <v>38842</v>
      </c>
      <c r="E5" s="183" t="s">
        <v>97</v>
      </c>
      <c r="F5" s="183" t="s">
        <v>114</v>
      </c>
      <c r="G5" s="184">
        <v>173</v>
      </c>
      <c r="H5" s="184">
        <v>178</v>
      </c>
      <c r="I5" s="184">
        <v>1</v>
      </c>
      <c r="J5" s="245">
        <v>1556949</v>
      </c>
      <c r="K5" s="208">
        <v>200326</v>
      </c>
      <c r="L5" s="209">
        <f>IF(J5&lt;&gt;0,K5/H5,"")</f>
        <v>1125.426966292135</v>
      </c>
      <c r="M5" s="210">
        <f>IF(J5&lt;&gt;0,J5/K5,"")</f>
        <v>7.7720765152800935</v>
      </c>
      <c r="N5" s="207">
        <v>1560949</v>
      </c>
      <c r="O5" s="208">
        <v>200826</v>
      </c>
      <c r="P5" s="211">
        <f aca="true" t="shared" si="0" ref="P5:P36">+N5/O5</f>
        <v>7.772643980361108</v>
      </c>
    </row>
    <row r="6" spans="1:16" s="4" customFormat="1" ht="15">
      <c r="A6" s="34">
        <v>2</v>
      </c>
      <c r="B6" s="69"/>
      <c r="C6" s="167" t="s">
        <v>172</v>
      </c>
      <c r="D6" s="79">
        <v>38821</v>
      </c>
      <c r="E6" s="167" t="s">
        <v>99</v>
      </c>
      <c r="F6" s="167" t="s">
        <v>100</v>
      </c>
      <c r="G6" s="124">
        <v>118</v>
      </c>
      <c r="H6" s="124">
        <v>115</v>
      </c>
      <c r="I6" s="124">
        <v>4</v>
      </c>
      <c r="J6" s="246">
        <v>606582.5</v>
      </c>
      <c r="K6" s="186">
        <v>93283</v>
      </c>
      <c r="L6" s="187">
        <f>IF(J6&lt;&gt;0,K6/H6,"")</f>
        <v>811.1565217391304</v>
      </c>
      <c r="M6" s="188">
        <f>IF(J6&lt;&gt;0,J6/K6,"")</f>
        <v>6.502604976255052</v>
      </c>
      <c r="N6" s="185">
        <f>1908861+1583540+976953.5+606582.5</f>
        <v>5075937</v>
      </c>
      <c r="O6" s="186">
        <f>267837+226672+141343+93283</f>
        <v>729135</v>
      </c>
      <c r="P6" s="190">
        <f t="shared" si="0"/>
        <v>6.961587360365365</v>
      </c>
    </row>
    <row r="7" spans="1:16" s="4" customFormat="1" ht="15">
      <c r="A7" s="34">
        <v>3</v>
      </c>
      <c r="B7" s="69"/>
      <c r="C7" s="125" t="s">
        <v>173</v>
      </c>
      <c r="D7" s="42">
        <v>38835</v>
      </c>
      <c r="E7" s="125" t="s">
        <v>97</v>
      </c>
      <c r="F7" s="125" t="s">
        <v>110</v>
      </c>
      <c r="G7" s="120">
        <v>71</v>
      </c>
      <c r="H7" s="120">
        <v>73</v>
      </c>
      <c r="I7" s="120">
        <v>2</v>
      </c>
      <c r="J7" s="246">
        <v>247009</v>
      </c>
      <c r="K7" s="186">
        <v>28973</v>
      </c>
      <c r="L7" s="187">
        <f>IF(J7&lt;&gt;0,K7/H7,"")</f>
        <v>396.8904109589041</v>
      </c>
      <c r="M7" s="188">
        <f>IF(J7&lt;&gt;0,J7/K7,"")</f>
        <v>8.525489248610775</v>
      </c>
      <c r="N7" s="185">
        <v>760525</v>
      </c>
      <c r="O7" s="186">
        <v>88179</v>
      </c>
      <c r="P7" s="190">
        <f t="shared" si="0"/>
        <v>8.624785946767371</v>
      </c>
    </row>
    <row r="8" spans="1:16" s="4" customFormat="1" ht="15">
      <c r="A8" s="34">
        <v>4</v>
      </c>
      <c r="B8" s="69"/>
      <c r="C8" s="167" t="s">
        <v>174</v>
      </c>
      <c r="D8" s="79">
        <v>38835</v>
      </c>
      <c r="E8" s="167" t="s">
        <v>99</v>
      </c>
      <c r="F8" s="167" t="s">
        <v>129</v>
      </c>
      <c r="G8" s="124">
        <v>65</v>
      </c>
      <c r="H8" s="124">
        <v>65</v>
      </c>
      <c r="I8" s="124">
        <v>2</v>
      </c>
      <c r="J8" s="246">
        <v>235958</v>
      </c>
      <c r="K8" s="186">
        <v>35225</v>
      </c>
      <c r="L8" s="187">
        <f>IF(J8&lt;&gt;0,K8/H8,"")</f>
        <v>541.9230769230769</v>
      </c>
      <c r="M8" s="188">
        <f>IF(J8&lt;&gt;0,J8/K8,"")</f>
        <v>6.6985947480482615</v>
      </c>
      <c r="N8" s="185">
        <f>381578+253958</f>
        <v>635536</v>
      </c>
      <c r="O8" s="186">
        <f>51957+35225</f>
        <v>87182</v>
      </c>
      <c r="P8" s="190">
        <f t="shared" si="0"/>
        <v>7.289761648046615</v>
      </c>
    </row>
    <row r="9" spans="1:16" s="10" customFormat="1" ht="15">
      <c r="A9" s="34">
        <v>5</v>
      </c>
      <c r="B9" s="35"/>
      <c r="C9" s="125" t="s">
        <v>155</v>
      </c>
      <c r="D9" s="42">
        <v>38828</v>
      </c>
      <c r="E9" s="169" t="s">
        <v>96</v>
      </c>
      <c r="F9" s="125" t="s">
        <v>112</v>
      </c>
      <c r="G9" s="120">
        <v>54</v>
      </c>
      <c r="H9" s="120">
        <v>54</v>
      </c>
      <c r="I9" s="120">
        <v>3</v>
      </c>
      <c r="J9" s="247">
        <f>102288+967.5</f>
        <v>103255.5</v>
      </c>
      <c r="K9" s="198">
        <f>13085+1</f>
        <v>13086</v>
      </c>
      <c r="L9" s="196">
        <f>K9/H9</f>
        <v>242.33333333333334</v>
      </c>
      <c r="M9" s="199">
        <f>J9/K9</f>
        <v>7.8905318661164605</v>
      </c>
      <c r="N9" s="197">
        <f>365673.5+242198.5+102288+967.5</f>
        <v>711127.5</v>
      </c>
      <c r="O9" s="198">
        <f>45213+29847+13085+1</f>
        <v>88146</v>
      </c>
      <c r="P9" s="190">
        <f t="shared" si="0"/>
        <v>8.067609420733783</v>
      </c>
    </row>
    <row r="10" spans="1:16" s="10" customFormat="1" ht="15">
      <c r="A10" s="34">
        <v>6</v>
      </c>
      <c r="B10" s="35"/>
      <c r="C10" s="167" t="s">
        <v>156</v>
      </c>
      <c r="D10" s="79">
        <v>38828</v>
      </c>
      <c r="E10" s="167" t="s">
        <v>99</v>
      </c>
      <c r="F10" s="167" t="s">
        <v>123</v>
      </c>
      <c r="G10" s="124">
        <v>43</v>
      </c>
      <c r="H10" s="124">
        <v>43</v>
      </c>
      <c r="I10" s="124">
        <v>3</v>
      </c>
      <c r="J10" s="246">
        <v>100334.5</v>
      </c>
      <c r="K10" s="186">
        <v>15047</v>
      </c>
      <c r="L10" s="187">
        <f>IF(J10&lt;&gt;0,K10/H10,"")</f>
        <v>349.93023255813955</v>
      </c>
      <c r="M10" s="188">
        <f>IF(J10&lt;&gt;0,J10/K10,"")</f>
        <v>6.668073370106998</v>
      </c>
      <c r="N10" s="185">
        <f>221837.5+151726+100334.5</f>
        <v>473898</v>
      </c>
      <c r="O10" s="186">
        <f>31465+21243+15047</f>
        <v>67755</v>
      </c>
      <c r="P10" s="189">
        <f t="shared" si="0"/>
        <v>6.994288244410007</v>
      </c>
    </row>
    <row r="11" spans="1:16" s="10" customFormat="1" ht="15">
      <c r="A11" s="34">
        <v>7</v>
      </c>
      <c r="B11" s="35"/>
      <c r="C11" s="125" t="s">
        <v>176</v>
      </c>
      <c r="D11" s="42">
        <v>38815</v>
      </c>
      <c r="E11" s="125" t="s">
        <v>97</v>
      </c>
      <c r="F11" s="125" t="s">
        <v>102</v>
      </c>
      <c r="G11" s="120">
        <v>94</v>
      </c>
      <c r="H11" s="120">
        <v>88</v>
      </c>
      <c r="I11" s="120">
        <v>4</v>
      </c>
      <c r="J11" s="246">
        <v>74066</v>
      </c>
      <c r="K11" s="186">
        <v>13596</v>
      </c>
      <c r="L11" s="187">
        <f>IF(J11&lt;&gt;0,K11/H11,"")</f>
        <v>154.5</v>
      </c>
      <c r="M11" s="188">
        <f>IF(J11&lt;&gt;0,J11/K11,"")</f>
        <v>5.447631656369521</v>
      </c>
      <c r="N11" s="185">
        <v>901950</v>
      </c>
      <c r="O11" s="186">
        <v>129043</v>
      </c>
      <c r="P11" s="189">
        <f t="shared" si="0"/>
        <v>6.989530621575754</v>
      </c>
    </row>
    <row r="12" spans="1:16" s="10" customFormat="1" ht="15">
      <c r="A12" s="34">
        <v>8</v>
      </c>
      <c r="B12" s="35"/>
      <c r="C12" s="125" t="s">
        <v>175</v>
      </c>
      <c r="D12" s="42">
        <v>38835</v>
      </c>
      <c r="E12" s="169" t="s">
        <v>96</v>
      </c>
      <c r="F12" s="125" t="s">
        <v>186</v>
      </c>
      <c r="G12" s="120">
        <v>40</v>
      </c>
      <c r="H12" s="120">
        <v>40</v>
      </c>
      <c r="I12" s="120">
        <v>2</v>
      </c>
      <c r="J12" s="247">
        <v>60007</v>
      </c>
      <c r="K12" s="198">
        <v>7267</v>
      </c>
      <c r="L12" s="196">
        <f>K12/H12</f>
        <v>181.675</v>
      </c>
      <c r="M12" s="199">
        <f>J12/K12</f>
        <v>8.257465253887437</v>
      </c>
      <c r="N12" s="197">
        <f>140527+60007</f>
        <v>200534</v>
      </c>
      <c r="O12" s="198">
        <f>16242+7267</f>
        <v>23509</v>
      </c>
      <c r="P12" s="190">
        <f t="shared" si="0"/>
        <v>8.530094857288699</v>
      </c>
    </row>
    <row r="13" spans="1:16" s="10" customFormat="1" ht="15">
      <c r="A13" s="34">
        <v>9</v>
      </c>
      <c r="B13" s="35"/>
      <c r="C13" s="125" t="s">
        <v>187</v>
      </c>
      <c r="D13" s="42">
        <v>38842</v>
      </c>
      <c r="E13" s="169" t="s">
        <v>96</v>
      </c>
      <c r="F13" s="125" t="s">
        <v>133</v>
      </c>
      <c r="G13" s="120">
        <v>14</v>
      </c>
      <c r="H13" s="120">
        <v>14</v>
      </c>
      <c r="I13" s="120">
        <v>1</v>
      </c>
      <c r="J13" s="247">
        <v>41489.5</v>
      </c>
      <c r="K13" s="198">
        <v>4497</v>
      </c>
      <c r="L13" s="196">
        <f>K13/H13</f>
        <v>321.2142857142857</v>
      </c>
      <c r="M13" s="199">
        <f>J13/K13</f>
        <v>9.226039581943517</v>
      </c>
      <c r="N13" s="197">
        <v>41489.5</v>
      </c>
      <c r="O13" s="198">
        <v>4497</v>
      </c>
      <c r="P13" s="190">
        <f t="shared" si="0"/>
        <v>9.226039581943517</v>
      </c>
    </row>
    <row r="14" spans="1:16" s="10" customFormat="1" ht="15">
      <c r="A14" s="34">
        <v>10</v>
      </c>
      <c r="B14" s="35"/>
      <c r="C14" s="125" t="s">
        <v>136</v>
      </c>
      <c r="D14" s="42">
        <v>38814</v>
      </c>
      <c r="E14" s="169" t="s">
        <v>96</v>
      </c>
      <c r="F14" s="125" t="s">
        <v>137</v>
      </c>
      <c r="G14" s="120">
        <v>124</v>
      </c>
      <c r="H14" s="120">
        <v>47</v>
      </c>
      <c r="I14" s="120">
        <v>5</v>
      </c>
      <c r="J14" s="247">
        <f>43293.5-3918</f>
        <v>39375.5</v>
      </c>
      <c r="K14" s="198">
        <f>9474-1031</f>
        <v>8443</v>
      </c>
      <c r="L14" s="196">
        <f>K14/H14</f>
        <v>179.63829787234042</v>
      </c>
      <c r="M14" s="199">
        <f>J14/K14</f>
        <v>4.663685893639702</v>
      </c>
      <c r="N14" s="197">
        <f>439414+274192+192421+64.5+69171.5+43293.5-3918</f>
        <v>1014638.5</v>
      </c>
      <c r="O14" s="198">
        <f>65914+42392+32259+2+13519+9474-1031</f>
        <v>162529</v>
      </c>
      <c r="P14" s="190">
        <f t="shared" si="0"/>
        <v>6.24281512837709</v>
      </c>
    </row>
    <row r="15" spans="1:16" s="10" customFormat="1" ht="15">
      <c r="A15" s="34">
        <v>11</v>
      </c>
      <c r="B15" s="118"/>
      <c r="C15" s="167" t="s">
        <v>188</v>
      </c>
      <c r="D15" s="79">
        <v>38842</v>
      </c>
      <c r="E15" s="167" t="s">
        <v>99</v>
      </c>
      <c r="F15" s="167" t="s">
        <v>189</v>
      </c>
      <c r="G15" s="124">
        <v>40</v>
      </c>
      <c r="H15" s="124">
        <v>40</v>
      </c>
      <c r="I15" s="124">
        <v>1</v>
      </c>
      <c r="J15" s="246">
        <v>38973.5</v>
      </c>
      <c r="K15" s="186">
        <v>6538</v>
      </c>
      <c r="L15" s="187">
        <f>IF(J15&lt;&gt;0,K15/H15,"")</f>
        <v>163.45</v>
      </c>
      <c r="M15" s="188">
        <f>IF(J15&lt;&gt;0,J15/K15,"")</f>
        <v>5.961073722851025</v>
      </c>
      <c r="N15" s="185">
        <f>38973.5</f>
        <v>38973.5</v>
      </c>
      <c r="O15" s="186">
        <f>6538</f>
        <v>6538</v>
      </c>
      <c r="P15" s="189">
        <f t="shared" si="0"/>
        <v>5.961073722851025</v>
      </c>
    </row>
    <row r="16" spans="1:16" s="10" customFormat="1" ht="15">
      <c r="A16" s="34">
        <v>12</v>
      </c>
      <c r="B16" s="35"/>
      <c r="C16" s="167" t="s">
        <v>177</v>
      </c>
      <c r="D16" s="79">
        <v>38835</v>
      </c>
      <c r="E16" s="167" t="s">
        <v>99</v>
      </c>
      <c r="F16" s="167" t="s">
        <v>100</v>
      </c>
      <c r="G16" s="124">
        <v>15</v>
      </c>
      <c r="H16" s="124">
        <v>15</v>
      </c>
      <c r="I16" s="124">
        <v>2</v>
      </c>
      <c r="J16" s="246">
        <v>35645.5</v>
      </c>
      <c r="K16" s="186">
        <v>4054</v>
      </c>
      <c r="L16" s="187">
        <f>IF(J16&lt;&gt;0,K16/H16,"")</f>
        <v>270.26666666666665</v>
      </c>
      <c r="M16" s="188">
        <f>IF(J16&lt;&gt;0,J16/K16,"")</f>
        <v>8.792673902318697</v>
      </c>
      <c r="N16" s="185">
        <f>60845.5+35645.5</f>
        <v>96491</v>
      </c>
      <c r="O16" s="186">
        <f>6762+4054</f>
        <v>10816</v>
      </c>
      <c r="P16" s="189">
        <f t="shared" si="0"/>
        <v>8.921135355029586</v>
      </c>
    </row>
    <row r="17" spans="1:16" s="10" customFormat="1" ht="15">
      <c r="A17" s="34">
        <v>13</v>
      </c>
      <c r="B17" s="35"/>
      <c r="C17" s="125" t="s">
        <v>92</v>
      </c>
      <c r="D17" s="42">
        <v>38807</v>
      </c>
      <c r="E17" s="125" t="s">
        <v>93</v>
      </c>
      <c r="F17" s="125" t="s">
        <v>94</v>
      </c>
      <c r="G17" s="120">
        <v>115</v>
      </c>
      <c r="H17" s="120">
        <v>46</v>
      </c>
      <c r="I17" s="120">
        <v>5</v>
      </c>
      <c r="J17" s="246">
        <v>29961.5</v>
      </c>
      <c r="K17" s="186">
        <v>6508</v>
      </c>
      <c r="L17" s="187">
        <f>+K17/H17</f>
        <v>141.47826086956522</v>
      </c>
      <c r="M17" s="188">
        <f>+J17/K17</f>
        <v>4.6037953288260605</v>
      </c>
      <c r="N17" s="185">
        <v>2073930.1</v>
      </c>
      <c r="O17" s="186">
        <v>287319</v>
      </c>
      <c r="P17" s="189">
        <f t="shared" si="0"/>
        <v>7.218214249666747</v>
      </c>
    </row>
    <row r="18" spans="1:16" s="10" customFormat="1" ht="15">
      <c r="A18" s="34">
        <v>14</v>
      </c>
      <c r="B18" s="35"/>
      <c r="C18" s="125" t="s">
        <v>157</v>
      </c>
      <c r="D18" s="42">
        <v>38828</v>
      </c>
      <c r="E18" s="125" t="s">
        <v>97</v>
      </c>
      <c r="F18" s="125" t="s">
        <v>102</v>
      </c>
      <c r="G18" s="120">
        <v>46</v>
      </c>
      <c r="H18" s="120">
        <v>45</v>
      </c>
      <c r="I18" s="120">
        <v>3</v>
      </c>
      <c r="J18" s="246">
        <v>27689</v>
      </c>
      <c r="K18" s="186">
        <v>3919</v>
      </c>
      <c r="L18" s="187">
        <f>IF(J18&lt;&gt;0,K18/H18,"")</f>
        <v>87.08888888888889</v>
      </c>
      <c r="M18" s="188">
        <f>IF(J18&lt;&gt;0,J18/K18,"")</f>
        <v>7.065322786425108</v>
      </c>
      <c r="N18" s="185">
        <v>260201</v>
      </c>
      <c r="O18" s="186">
        <v>30383</v>
      </c>
      <c r="P18" s="189">
        <f t="shared" si="0"/>
        <v>8.564032518184511</v>
      </c>
    </row>
    <row r="19" spans="1:16" s="10" customFormat="1" ht="15">
      <c r="A19" s="34">
        <v>15</v>
      </c>
      <c r="B19" s="35"/>
      <c r="C19" s="167" t="s">
        <v>149</v>
      </c>
      <c r="D19" s="79">
        <v>38674</v>
      </c>
      <c r="E19" s="167" t="s">
        <v>99</v>
      </c>
      <c r="F19" s="167" t="s">
        <v>129</v>
      </c>
      <c r="G19" s="124">
        <v>72</v>
      </c>
      <c r="H19" s="124">
        <v>9</v>
      </c>
      <c r="I19" s="124">
        <v>25</v>
      </c>
      <c r="J19" s="246">
        <v>18948</v>
      </c>
      <c r="K19" s="186">
        <v>5752</v>
      </c>
      <c r="L19" s="187">
        <f>IF(J19&lt;&gt;0,K19/H19,"")</f>
        <v>639.1111111111111</v>
      </c>
      <c r="M19" s="188">
        <f>IF(J19&lt;&gt;0,J19/K19,"")</f>
        <v>3.2941585535465925</v>
      </c>
      <c r="N19" s="185">
        <f>574568+1404261+2751877+3258896.5+2619095+1721177.5+1470030+1888546+1731654+1414026+1497050.5+996634+787201+777126+643480+509219.5+398974.5+275448+165366.5+73833.5+34414.5+18373+9776.5+10959.5+18948</f>
        <v>25050936</v>
      </c>
      <c r="O19" s="186">
        <f>74406+182802+367017+453161+369242+239307+216443+244832+235512+212084+230729+167361+134787+155924+132040+97910+71996+60438+31787+16691+9973+5959+2986+3569+5752</f>
        <v>3722708</v>
      </c>
      <c r="P19" s="189">
        <f t="shared" si="0"/>
        <v>6.729223995005786</v>
      </c>
    </row>
    <row r="20" spans="1:16" s="10" customFormat="1" ht="15">
      <c r="A20" s="34">
        <v>16</v>
      </c>
      <c r="B20" s="35"/>
      <c r="C20" s="167" t="s">
        <v>86</v>
      </c>
      <c r="D20" s="79">
        <v>38800</v>
      </c>
      <c r="E20" s="167" t="s">
        <v>99</v>
      </c>
      <c r="F20" s="167" t="s">
        <v>100</v>
      </c>
      <c r="G20" s="124">
        <v>92</v>
      </c>
      <c r="H20" s="124">
        <v>7</v>
      </c>
      <c r="I20" s="124">
        <v>7</v>
      </c>
      <c r="J20" s="246">
        <v>18127</v>
      </c>
      <c r="K20" s="186">
        <v>4473</v>
      </c>
      <c r="L20" s="187">
        <f>IF(J20&lt;&gt;0,K20/H20,"")</f>
        <v>639</v>
      </c>
      <c r="M20" s="188">
        <f>IF(J20&lt;&gt;0,J20/K20,"")</f>
        <v>4.052537446903644</v>
      </c>
      <c r="N20" s="185">
        <f>481751.5+308419.5+242119.5+52953+38471.5+16408.5+18127</f>
        <v>1158250.5</v>
      </c>
      <c r="O20" s="186">
        <f>67910+40806+32344+8727+9142+4213+4473</f>
        <v>167615</v>
      </c>
      <c r="P20" s="190">
        <f t="shared" si="0"/>
        <v>6.91018405273991</v>
      </c>
    </row>
    <row r="21" spans="1:16" s="10" customFormat="1" ht="15">
      <c r="A21" s="34">
        <v>17</v>
      </c>
      <c r="B21" s="35"/>
      <c r="C21" s="125" t="s">
        <v>82</v>
      </c>
      <c r="D21" s="42">
        <v>38800</v>
      </c>
      <c r="E21" s="125" t="s">
        <v>71</v>
      </c>
      <c r="F21" s="125" t="s">
        <v>139</v>
      </c>
      <c r="G21" s="120">
        <v>58</v>
      </c>
      <c r="H21" s="120">
        <v>22</v>
      </c>
      <c r="I21" s="120">
        <v>7</v>
      </c>
      <c r="J21" s="248">
        <v>16036.5</v>
      </c>
      <c r="K21" s="196">
        <v>3760</v>
      </c>
      <c r="L21" s="187">
        <f>IF(J21&lt;&gt;0,K21/H21,"")</f>
        <v>170.9090909090909</v>
      </c>
      <c r="M21" s="188">
        <f>IF(J21&lt;&gt;0,J21/K21,"")</f>
        <v>4.265026595744681</v>
      </c>
      <c r="N21" s="195">
        <f>350945.5+222517.5+139156.5+40897.5+38142.5+25481.5+16036.5</f>
        <v>833177.5</v>
      </c>
      <c r="O21" s="186">
        <f>46256+31606+20219+8293+8608+6050+3760</f>
        <v>124792</v>
      </c>
      <c r="P21" s="190">
        <f t="shared" si="0"/>
        <v>6.676529745496506</v>
      </c>
    </row>
    <row r="22" spans="1:16" s="10" customFormat="1" ht="15">
      <c r="A22" s="34">
        <v>18</v>
      </c>
      <c r="B22" s="35"/>
      <c r="C22" s="125" t="s">
        <v>147</v>
      </c>
      <c r="D22" s="42">
        <v>38821</v>
      </c>
      <c r="E22" s="169" t="s">
        <v>96</v>
      </c>
      <c r="F22" s="125" t="s">
        <v>145</v>
      </c>
      <c r="G22" s="120">
        <v>32</v>
      </c>
      <c r="H22" s="120">
        <v>14</v>
      </c>
      <c r="I22" s="120">
        <v>4</v>
      </c>
      <c r="J22" s="247">
        <v>16007.5</v>
      </c>
      <c r="K22" s="198">
        <v>2670</v>
      </c>
      <c r="L22" s="196">
        <f>K22/H22</f>
        <v>190.71428571428572</v>
      </c>
      <c r="M22" s="199">
        <f>J22/K22</f>
        <v>5.995318352059925</v>
      </c>
      <c r="N22" s="197">
        <f>122911+88335.5+16+40828.5+16007.5</f>
        <v>268098.5</v>
      </c>
      <c r="O22" s="198">
        <f>13093+9562-3+4800+2670</f>
        <v>30122</v>
      </c>
      <c r="P22" s="190">
        <f t="shared" si="0"/>
        <v>8.900421618750414</v>
      </c>
    </row>
    <row r="23" spans="1:16" s="10" customFormat="1" ht="15">
      <c r="A23" s="34">
        <v>19</v>
      </c>
      <c r="B23" s="35"/>
      <c r="C23" s="125" t="s">
        <v>95</v>
      </c>
      <c r="D23" s="42">
        <v>38807</v>
      </c>
      <c r="E23" s="169" t="s">
        <v>96</v>
      </c>
      <c r="F23" s="125" t="s">
        <v>49</v>
      </c>
      <c r="G23" s="120">
        <v>77</v>
      </c>
      <c r="H23" s="120">
        <v>20</v>
      </c>
      <c r="I23" s="120">
        <v>6</v>
      </c>
      <c r="J23" s="247">
        <v>15128</v>
      </c>
      <c r="K23" s="198">
        <v>4011</v>
      </c>
      <c r="L23" s="196">
        <f>K23/H23</f>
        <v>200.55</v>
      </c>
      <c r="M23" s="199">
        <f>J23/K23</f>
        <v>3.7716280229369237</v>
      </c>
      <c r="N23" s="197">
        <f>360631+281662+146898.5-10+41732+5+35353+15128</f>
        <v>881399.5</v>
      </c>
      <c r="O23" s="198">
        <f>47208+36381+19166-5+6638+7219+4011</f>
        <v>120618</v>
      </c>
      <c r="P23" s="190">
        <f t="shared" si="0"/>
        <v>7.307362914324562</v>
      </c>
    </row>
    <row r="24" spans="1:16" s="10" customFormat="1" ht="15">
      <c r="A24" s="34">
        <v>20</v>
      </c>
      <c r="B24" s="35"/>
      <c r="C24" s="125" t="s">
        <v>158</v>
      </c>
      <c r="D24" s="42">
        <v>38821</v>
      </c>
      <c r="E24" s="169" t="s">
        <v>96</v>
      </c>
      <c r="F24" s="125" t="s">
        <v>104</v>
      </c>
      <c r="G24" s="120">
        <v>54</v>
      </c>
      <c r="H24" s="120">
        <v>23</v>
      </c>
      <c r="I24" s="120">
        <v>4</v>
      </c>
      <c r="J24" s="247">
        <v>13957.5</v>
      </c>
      <c r="K24" s="198">
        <v>2568</v>
      </c>
      <c r="L24" s="196">
        <f>K24/H24</f>
        <v>111.65217391304348</v>
      </c>
      <c r="M24" s="199">
        <f>J24/K24</f>
        <v>5.435163551401869</v>
      </c>
      <c r="N24" s="197">
        <f>155465+86253.5+51+32563.5+13957.5</f>
        <v>288290.5</v>
      </c>
      <c r="O24" s="198">
        <f>21109+11912+4921+2568</f>
        <v>40510</v>
      </c>
      <c r="P24" s="190">
        <f t="shared" si="0"/>
        <v>7.116526783510245</v>
      </c>
    </row>
    <row r="25" spans="1:16" s="10" customFormat="1" ht="15">
      <c r="A25" s="34">
        <v>21</v>
      </c>
      <c r="B25" s="35"/>
      <c r="C25" s="167" t="s">
        <v>103</v>
      </c>
      <c r="D25" s="79">
        <v>38807</v>
      </c>
      <c r="E25" s="167" t="s">
        <v>99</v>
      </c>
      <c r="F25" s="167" t="s">
        <v>100</v>
      </c>
      <c r="G25" s="124">
        <v>20</v>
      </c>
      <c r="H25" s="124">
        <v>19</v>
      </c>
      <c r="I25" s="124">
        <v>6</v>
      </c>
      <c r="J25" s="246">
        <v>11377.5</v>
      </c>
      <c r="K25" s="186">
        <v>2617</v>
      </c>
      <c r="L25" s="187">
        <f>IF(J25&lt;&gt;0,K25/H25,"")</f>
        <v>137.73684210526315</v>
      </c>
      <c r="M25" s="188">
        <f>IF(J25&lt;&gt;0,J25/K25,"")</f>
        <v>4.347535345815819</v>
      </c>
      <c r="N25" s="185">
        <f>79858.5+57561+16625.5+10101+9488+11377.5</f>
        <v>185011.5</v>
      </c>
      <c r="O25" s="186">
        <f>9494+7131+2064+2030+1770+2617</f>
        <v>25106</v>
      </c>
      <c r="P25" s="190">
        <f t="shared" si="0"/>
        <v>7.369214530391141</v>
      </c>
    </row>
    <row r="26" spans="1:16" s="10" customFormat="1" ht="15">
      <c r="A26" s="34">
        <v>22</v>
      </c>
      <c r="B26" s="35"/>
      <c r="C26" s="125" t="s">
        <v>159</v>
      </c>
      <c r="D26" s="42">
        <v>38828</v>
      </c>
      <c r="E26" s="125" t="s">
        <v>93</v>
      </c>
      <c r="F26" s="125" t="s">
        <v>110</v>
      </c>
      <c r="G26" s="120">
        <v>46</v>
      </c>
      <c r="H26" s="120">
        <v>19</v>
      </c>
      <c r="I26" s="120">
        <v>2</v>
      </c>
      <c r="J26" s="246">
        <v>10722.5</v>
      </c>
      <c r="K26" s="186">
        <v>1854</v>
      </c>
      <c r="L26" s="187">
        <f>+K26/H26</f>
        <v>97.57894736842105</v>
      </c>
      <c r="M26" s="188">
        <f>+J26/K26</f>
        <v>5.783441208198489</v>
      </c>
      <c r="N26" s="185">
        <v>130765</v>
      </c>
      <c r="O26" s="186">
        <v>17854</v>
      </c>
      <c r="P26" s="189">
        <f t="shared" si="0"/>
        <v>7.324129046712222</v>
      </c>
    </row>
    <row r="27" spans="1:16" s="10" customFormat="1" ht="15">
      <c r="A27" s="34">
        <v>23</v>
      </c>
      <c r="B27" s="35"/>
      <c r="C27" s="125" t="s">
        <v>1</v>
      </c>
      <c r="D27" s="42">
        <v>38779</v>
      </c>
      <c r="E27" s="125" t="s">
        <v>170</v>
      </c>
      <c r="F27" s="125" t="s">
        <v>121</v>
      </c>
      <c r="G27" s="120">
        <v>10</v>
      </c>
      <c r="H27" s="120">
        <v>1</v>
      </c>
      <c r="I27" s="120">
        <v>9</v>
      </c>
      <c r="J27" s="249">
        <v>9990</v>
      </c>
      <c r="K27" s="192">
        <v>1242</v>
      </c>
      <c r="L27" s="187">
        <f aca="true" t="shared" si="1" ref="L27:L42">IF(J27&lt;&gt;0,K27/H27,"")</f>
        <v>1242</v>
      </c>
      <c r="M27" s="188">
        <f aca="true" t="shared" si="2" ref="M27:M42">IF(J27&lt;&gt;0,J27/K27,"")</f>
        <v>8.043478260869565</v>
      </c>
      <c r="N27" s="191">
        <v>30670.5</v>
      </c>
      <c r="O27" s="192">
        <v>3611</v>
      </c>
      <c r="P27" s="190">
        <f t="shared" si="0"/>
        <v>8.493630573248408</v>
      </c>
    </row>
    <row r="28" spans="1:16" s="10" customFormat="1" ht="15">
      <c r="A28" s="34">
        <v>24</v>
      </c>
      <c r="B28" s="35"/>
      <c r="C28" s="167" t="s">
        <v>148</v>
      </c>
      <c r="D28" s="79">
        <v>38814</v>
      </c>
      <c r="E28" s="167" t="s">
        <v>99</v>
      </c>
      <c r="F28" s="167" t="s">
        <v>160</v>
      </c>
      <c r="G28" s="124">
        <v>50</v>
      </c>
      <c r="H28" s="124">
        <v>14</v>
      </c>
      <c r="I28" s="124">
        <v>5</v>
      </c>
      <c r="J28" s="246">
        <v>8703</v>
      </c>
      <c r="K28" s="186">
        <v>1437</v>
      </c>
      <c r="L28" s="187">
        <f t="shared" si="1"/>
        <v>102.64285714285714</v>
      </c>
      <c r="M28" s="188">
        <f t="shared" si="2"/>
        <v>6.056367432150314</v>
      </c>
      <c r="N28" s="185">
        <f>159204+117003.5+55112+26308.5+8703</f>
        <v>366331</v>
      </c>
      <c r="O28" s="186">
        <f>19860+13877+7175+4316+1437</f>
        <v>46665</v>
      </c>
      <c r="P28" s="189">
        <f t="shared" si="0"/>
        <v>7.850230365370192</v>
      </c>
    </row>
    <row r="29" spans="1:16" s="10" customFormat="1" ht="15">
      <c r="A29" s="34">
        <v>25</v>
      </c>
      <c r="B29" s="35"/>
      <c r="C29" s="125" t="s">
        <v>144</v>
      </c>
      <c r="D29" s="42">
        <v>38751</v>
      </c>
      <c r="E29" s="125" t="s">
        <v>97</v>
      </c>
      <c r="F29" s="125" t="s">
        <v>110</v>
      </c>
      <c r="G29" s="120">
        <v>51</v>
      </c>
      <c r="H29" s="120">
        <v>5</v>
      </c>
      <c r="I29" s="120">
        <v>13</v>
      </c>
      <c r="J29" s="246">
        <v>8452</v>
      </c>
      <c r="K29" s="186">
        <v>1624</v>
      </c>
      <c r="L29" s="187">
        <f t="shared" si="1"/>
        <v>324.8</v>
      </c>
      <c r="M29" s="188">
        <f t="shared" si="2"/>
        <v>5.204433497536946</v>
      </c>
      <c r="N29" s="185">
        <v>1331905</v>
      </c>
      <c r="O29" s="186">
        <v>173821</v>
      </c>
      <c r="P29" s="190">
        <f t="shared" si="0"/>
        <v>7.662509132958618</v>
      </c>
    </row>
    <row r="30" spans="1:16" s="10" customFormat="1" ht="15">
      <c r="A30" s="34">
        <v>26</v>
      </c>
      <c r="B30" s="35"/>
      <c r="C30" s="125" t="s">
        <v>138</v>
      </c>
      <c r="D30" s="42">
        <v>38814</v>
      </c>
      <c r="E30" s="125" t="s">
        <v>71</v>
      </c>
      <c r="F30" s="125" t="s">
        <v>139</v>
      </c>
      <c r="G30" s="120">
        <v>56</v>
      </c>
      <c r="H30" s="120">
        <v>19</v>
      </c>
      <c r="I30" s="120">
        <v>5</v>
      </c>
      <c r="J30" s="248">
        <v>8424.5</v>
      </c>
      <c r="K30" s="196">
        <v>2001</v>
      </c>
      <c r="L30" s="187">
        <f t="shared" si="1"/>
        <v>105.3157894736842</v>
      </c>
      <c r="M30" s="188">
        <f t="shared" si="2"/>
        <v>4.2101449275362315</v>
      </c>
      <c r="N30" s="195">
        <f>217941.5+99459+32613+17816.5+8424.5</f>
        <v>376254.5</v>
      </c>
      <c r="O30" s="186">
        <f>30137+15034+5570+3956+2001</f>
        <v>56698</v>
      </c>
      <c r="P30" s="190">
        <f t="shared" si="0"/>
        <v>6.6361159123778615</v>
      </c>
    </row>
    <row r="31" spans="1:16" s="10" customFormat="1" ht="15">
      <c r="A31" s="34">
        <v>27</v>
      </c>
      <c r="B31" s="35"/>
      <c r="C31" s="167" t="s">
        <v>140</v>
      </c>
      <c r="D31" s="79">
        <v>38814</v>
      </c>
      <c r="E31" s="170" t="s">
        <v>65</v>
      </c>
      <c r="F31" s="167" t="s">
        <v>141</v>
      </c>
      <c r="G31" s="124">
        <v>14</v>
      </c>
      <c r="H31" s="124">
        <v>8</v>
      </c>
      <c r="I31" s="124">
        <v>4</v>
      </c>
      <c r="J31" s="246">
        <v>7474</v>
      </c>
      <c r="K31" s="186">
        <v>1813</v>
      </c>
      <c r="L31" s="187">
        <f t="shared" si="1"/>
        <v>226.625</v>
      </c>
      <c r="M31" s="188">
        <f t="shared" si="2"/>
        <v>4.122448979591836</v>
      </c>
      <c r="N31" s="185">
        <f>43111+13278+6067.5+7325+7474</f>
        <v>77255.5</v>
      </c>
      <c r="O31" s="186">
        <f>4620+1821+1003+1445+1813</f>
        <v>10702</v>
      </c>
      <c r="P31" s="189">
        <f t="shared" si="0"/>
        <v>7.218790880209307</v>
      </c>
    </row>
    <row r="32" spans="1:16" s="10" customFormat="1" ht="15">
      <c r="A32" s="34">
        <v>28</v>
      </c>
      <c r="B32" s="35"/>
      <c r="C32" s="125" t="s">
        <v>101</v>
      </c>
      <c r="D32" s="42">
        <v>38807</v>
      </c>
      <c r="E32" s="125" t="s">
        <v>97</v>
      </c>
      <c r="F32" s="125" t="s">
        <v>102</v>
      </c>
      <c r="G32" s="120">
        <v>62</v>
      </c>
      <c r="H32" s="120">
        <v>10</v>
      </c>
      <c r="I32" s="120">
        <v>6</v>
      </c>
      <c r="J32" s="246">
        <v>6302</v>
      </c>
      <c r="K32" s="186">
        <v>1508</v>
      </c>
      <c r="L32" s="187">
        <f t="shared" si="1"/>
        <v>150.8</v>
      </c>
      <c r="M32" s="188">
        <f t="shared" si="2"/>
        <v>4.179045092838196</v>
      </c>
      <c r="N32" s="185">
        <v>541653</v>
      </c>
      <c r="O32" s="186">
        <v>70140</v>
      </c>
      <c r="P32" s="190">
        <f t="shared" si="0"/>
        <v>7.722455089820359</v>
      </c>
    </row>
    <row r="33" spans="1:16" s="10" customFormat="1" ht="15">
      <c r="A33" s="34">
        <v>29</v>
      </c>
      <c r="B33" s="35"/>
      <c r="C33" s="167" t="s">
        <v>33</v>
      </c>
      <c r="D33" s="79">
        <v>38758</v>
      </c>
      <c r="E33" s="167" t="s">
        <v>99</v>
      </c>
      <c r="F33" s="167" t="s">
        <v>119</v>
      </c>
      <c r="G33" s="124">
        <v>80</v>
      </c>
      <c r="H33" s="124">
        <v>4</v>
      </c>
      <c r="I33" s="124">
        <v>13</v>
      </c>
      <c r="J33" s="246">
        <v>6242</v>
      </c>
      <c r="K33" s="186">
        <v>1179</v>
      </c>
      <c r="L33" s="187">
        <f t="shared" si="1"/>
        <v>294.75</v>
      </c>
      <c r="M33" s="188">
        <f t="shared" si="2"/>
        <v>5.29431721798134</v>
      </c>
      <c r="N33" s="185">
        <f>1046144.5+776147+471268+342390+240709.5+167344+96416.5+41350+35967.5+31795.5+14506+10028+6242</f>
        <v>3280308.5</v>
      </c>
      <c r="O33" s="186">
        <f>153560+115584+70079+59336+46681+34549+19625+8318+8035+8705+3661+2044+1179</f>
        <v>531356</v>
      </c>
      <c r="P33" s="190">
        <f t="shared" si="0"/>
        <v>6.173466564788955</v>
      </c>
    </row>
    <row r="34" spans="1:16" s="10" customFormat="1" ht="15">
      <c r="A34" s="34">
        <v>30</v>
      </c>
      <c r="B34" s="35"/>
      <c r="C34" s="167" t="s">
        <v>68</v>
      </c>
      <c r="D34" s="79">
        <v>38793</v>
      </c>
      <c r="E34" s="167" t="s">
        <v>52</v>
      </c>
      <c r="F34" s="167" t="s">
        <v>109</v>
      </c>
      <c r="G34" s="124">
        <v>33</v>
      </c>
      <c r="H34" s="124">
        <v>6</v>
      </c>
      <c r="I34" s="124">
        <v>8</v>
      </c>
      <c r="J34" s="249">
        <v>6015.5</v>
      </c>
      <c r="K34" s="192">
        <v>1867</v>
      </c>
      <c r="L34" s="187">
        <f t="shared" si="1"/>
        <v>311.1666666666667</v>
      </c>
      <c r="M34" s="188">
        <f t="shared" si="2"/>
        <v>3.2220139260846277</v>
      </c>
      <c r="N34" s="191">
        <v>148469.5</v>
      </c>
      <c r="O34" s="192">
        <v>28711</v>
      </c>
      <c r="P34" s="189">
        <f t="shared" si="0"/>
        <v>5.171171328062415</v>
      </c>
    </row>
    <row r="35" spans="1:16" s="10" customFormat="1" ht="15">
      <c r="A35" s="34">
        <v>31</v>
      </c>
      <c r="B35" s="35"/>
      <c r="C35" s="167" t="s">
        <v>190</v>
      </c>
      <c r="D35" s="79">
        <v>38828</v>
      </c>
      <c r="E35" s="167" t="s">
        <v>111</v>
      </c>
      <c r="F35" s="167" t="s">
        <v>161</v>
      </c>
      <c r="G35" s="124">
        <v>5</v>
      </c>
      <c r="H35" s="124">
        <v>5</v>
      </c>
      <c r="I35" s="124">
        <v>3</v>
      </c>
      <c r="J35" s="246">
        <v>5704</v>
      </c>
      <c r="K35" s="186">
        <v>792</v>
      </c>
      <c r="L35" s="187">
        <f t="shared" si="1"/>
        <v>158.4</v>
      </c>
      <c r="M35" s="188">
        <f t="shared" si="2"/>
        <v>7.202020202020202</v>
      </c>
      <c r="N35" s="185">
        <v>37022.9</v>
      </c>
      <c r="O35" s="186">
        <v>5036</v>
      </c>
      <c r="P35" s="189">
        <f t="shared" si="0"/>
        <v>7.351648133439237</v>
      </c>
    </row>
    <row r="36" spans="1:16" s="10" customFormat="1" ht="15">
      <c r="A36" s="34">
        <v>32</v>
      </c>
      <c r="B36" s="35"/>
      <c r="C36" s="125" t="s">
        <v>85</v>
      </c>
      <c r="D36" s="42">
        <v>38793</v>
      </c>
      <c r="E36" s="167" t="s">
        <v>99</v>
      </c>
      <c r="F36" s="125" t="s">
        <v>191</v>
      </c>
      <c r="G36" s="120">
        <v>50</v>
      </c>
      <c r="H36" s="120">
        <v>6</v>
      </c>
      <c r="I36" s="120">
        <v>8</v>
      </c>
      <c r="J36" s="246">
        <v>5017.5</v>
      </c>
      <c r="K36" s="186">
        <v>1744</v>
      </c>
      <c r="L36" s="187">
        <f t="shared" si="1"/>
        <v>290.6666666666667</v>
      </c>
      <c r="M36" s="188">
        <f t="shared" si="2"/>
        <v>2.877006880733945</v>
      </c>
      <c r="N36" s="185">
        <f>196913+123210+45760+23987+14825+9931+11940+5017.5</f>
        <v>431583.5</v>
      </c>
      <c r="O36" s="186">
        <f>26732+15006+5997+4114+3495+3333+3072+1744</f>
        <v>63493</v>
      </c>
      <c r="P36" s="190">
        <f t="shared" si="0"/>
        <v>6.797339864237003</v>
      </c>
    </row>
    <row r="37" spans="1:16" s="10" customFormat="1" ht="15">
      <c r="A37" s="34">
        <v>33</v>
      </c>
      <c r="B37" s="35"/>
      <c r="C37" s="167" t="s">
        <v>4</v>
      </c>
      <c r="D37" s="79">
        <v>38751</v>
      </c>
      <c r="E37" s="167" t="s">
        <v>52</v>
      </c>
      <c r="F37" s="167" t="s">
        <v>106</v>
      </c>
      <c r="G37" s="124">
        <v>277</v>
      </c>
      <c r="H37" s="124">
        <v>6</v>
      </c>
      <c r="I37" s="124">
        <v>14</v>
      </c>
      <c r="J37" s="249">
        <v>4830</v>
      </c>
      <c r="K37" s="192">
        <v>3986</v>
      </c>
      <c r="L37" s="187">
        <f t="shared" si="1"/>
        <v>664.3333333333334</v>
      </c>
      <c r="M37" s="188">
        <f t="shared" si="2"/>
        <v>1.2117410938283995</v>
      </c>
      <c r="N37" s="191">
        <v>27403176</v>
      </c>
      <c r="O37" s="192">
        <v>4239215</v>
      </c>
      <c r="P37" s="189">
        <f aca="true" t="shared" si="3" ref="P37:P68">+N37/O37</f>
        <v>6.46421000114408</v>
      </c>
    </row>
    <row r="38" spans="1:16" s="10" customFormat="1" ht="15">
      <c r="A38" s="34">
        <v>34</v>
      </c>
      <c r="B38" s="35"/>
      <c r="C38" s="125" t="s">
        <v>192</v>
      </c>
      <c r="D38" s="42">
        <v>37071</v>
      </c>
      <c r="E38" s="125" t="s">
        <v>53</v>
      </c>
      <c r="F38" s="125" t="s">
        <v>193</v>
      </c>
      <c r="G38" s="120">
        <v>13</v>
      </c>
      <c r="H38" s="120">
        <v>1</v>
      </c>
      <c r="I38" s="120">
        <v>78</v>
      </c>
      <c r="J38" s="250">
        <v>4616.25</v>
      </c>
      <c r="K38" s="194">
        <v>791</v>
      </c>
      <c r="L38" s="187">
        <f t="shared" si="1"/>
        <v>791</v>
      </c>
      <c r="M38" s="188">
        <f t="shared" si="2"/>
        <v>5.835967130214918</v>
      </c>
      <c r="N38" s="193">
        <v>226426.2</v>
      </c>
      <c r="O38" s="194">
        <v>82187</v>
      </c>
      <c r="P38" s="190">
        <f t="shared" si="3"/>
        <v>2.7550123498850185</v>
      </c>
    </row>
    <row r="39" spans="1:16" s="10" customFormat="1" ht="15">
      <c r="A39" s="34">
        <v>35</v>
      </c>
      <c r="B39" s="35"/>
      <c r="C39" s="125" t="s">
        <v>194</v>
      </c>
      <c r="D39" s="42">
        <v>38471</v>
      </c>
      <c r="E39" s="125" t="s">
        <v>71</v>
      </c>
      <c r="F39" s="125" t="s">
        <v>180</v>
      </c>
      <c r="G39" s="120">
        <v>27</v>
      </c>
      <c r="H39" s="120">
        <v>2</v>
      </c>
      <c r="I39" s="120">
        <v>24</v>
      </c>
      <c r="J39" s="248">
        <v>4158</v>
      </c>
      <c r="K39" s="196">
        <v>1386</v>
      </c>
      <c r="L39" s="187">
        <f t="shared" si="1"/>
        <v>693</v>
      </c>
      <c r="M39" s="188">
        <f t="shared" si="2"/>
        <v>3</v>
      </c>
      <c r="N39" s="195">
        <f>100946.5+55963.5+28361+17286+15308+4449+3593.5+993+1211+3079+982+1260+235+50+584+2200+164+563+370+488+594+262+2376+4158</f>
        <v>245476.5</v>
      </c>
      <c r="O39" s="186">
        <f>12221+7275+3835+2366+2783+860+655+187+231+464+149+250+38+15+117+501+35+98+89+122+198+59+792+1386</f>
        <v>34726</v>
      </c>
      <c r="P39" s="189">
        <f t="shared" si="3"/>
        <v>7.06895409779416</v>
      </c>
    </row>
    <row r="40" spans="1:16" s="10" customFormat="1" ht="15">
      <c r="A40" s="34">
        <v>36</v>
      </c>
      <c r="B40" s="35"/>
      <c r="C40" s="125" t="s">
        <v>64</v>
      </c>
      <c r="D40" s="42">
        <v>38779</v>
      </c>
      <c r="E40" s="125" t="s">
        <v>97</v>
      </c>
      <c r="F40" s="125" t="s">
        <v>102</v>
      </c>
      <c r="G40" s="120">
        <v>72</v>
      </c>
      <c r="H40" s="120">
        <v>7</v>
      </c>
      <c r="I40" s="120">
        <v>24</v>
      </c>
      <c r="J40" s="246">
        <v>4040</v>
      </c>
      <c r="K40" s="186">
        <v>1414</v>
      </c>
      <c r="L40" s="187">
        <f t="shared" si="1"/>
        <v>202</v>
      </c>
      <c r="M40" s="188">
        <f t="shared" si="2"/>
        <v>2.857142857142857</v>
      </c>
      <c r="N40" s="185">
        <v>962280</v>
      </c>
      <c r="O40" s="186">
        <v>142392</v>
      </c>
      <c r="P40" s="190">
        <f t="shared" si="3"/>
        <v>6.757963930557897</v>
      </c>
    </row>
    <row r="41" spans="1:16" s="10" customFormat="1" ht="15">
      <c r="A41" s="34">
        <v>37</v>
      </c>
      <c r="B41" s="35"/>
      <c r="C41" s="125" t="s">
        <v>70</v>
      </c>
      <c r="D41" s="42">
        <v>38793</v>
      </c>
      <c r="E41" s="125" t="s">
        <v>97</v>
      </c>
      <c r="F41" s="125" t="s">
        <v>98</v>
      </c>
      <c r="G41" s="120">
        <v>129</v>
      </c>
      <c r="H41" s="120">
        <v>10</v>
      </c>
      <c r="I41" s="120">
        <v>8</v>
      </c>
      <c r="J41" s="246">
        <v>3767</v>
      </c>
      <c r="K41" s="186">
        <v>845</v>
      </c>
      <c r="L41" s="187">
        <f t="shared" si="1"/>
        <v>84.5</v>
      </c>
      <c r="M41" s="188">
        <f t="shared" si="2"/>
        <v>4.457988165680473</v>
      </c>
      <c r="N41" s="185">
        <v>1782416</v>
      </c>
      <c r="O41" s="186">
        <v>270816</v>
      </c>
      <c r="P41" s="190">
        <f t="shared" si="3"/>
        <v>6.5816495332624365</v>
      </c>
    </row>
    <row r="42" spans="1:16" s="10" customFormat="1" ht="15">
      <c r="A42" s="34">
        <v>38</v>
      </c>
      <c r="B42" s="35"/>
      <c r="C42" s="125" t="s">
        <v>66</v>
      </c>
      <c r="D42" s="42">
        <v>38786</v>
      </c>
      <c r="E42" s="125" t="s">
        <v>53</v>
      </c>
      <c r="F42" s="125" t="s">
        <v>117</v>
      </c>
      <c r="G42" s="120">
        <v>7</v>
      </c>
      <c r="H42" s="120">
        <v>3</v>
      </c>
      <c r="I42" s="120">
        <v>9</v>
      </c>
      <c r="J42" s="250">
        <v>3758</v>
      </c>
      <c r="K42" s="194">
        <v>1217</v>
      </c>
      <c r="L42" s="187">
        <f t="shared" si="1"/>
        <v>405.6666666666667</v>
      </c>
      <c r="M42" s="188">
        <f t="shared" si="2"/>
        <v>3.0879211175020544</v>
      </c>
      <c r="N42" s="193">
        <v>25057.5</v>
      </c>
      <c r="O42" s="194">
        <v>4796</v>
      </c>
      <c r="P42" s="190">
        <f t="shared" si="3"/>
        <v>5.224666388657214</v>
      </c>
    </row>
    <row r="43" spans="1:16" s="10" customFormat="1" ht="15">
      <c r="A43" s="34">
        <v>39</v>
      </c>
      <c r="B43" s="35"/>
      <c r="C43" s="125" t="s">
        <v>25</v>
      </c>
      <c r="D43" s="42">
        <v>38786</v>
      </c>
      <c r="E43" s="169" t="s">
        <v>96</v>
      </c>
      <c r="F43" s="125" t="s">
        <v>104</v>
      </c>
      <c r="G43" s="120">
        <v>36</v>
      </c>
      <c r="H43" s="120">
        <v>4</v>
      </c>
      <c r="I43" s="120">
        <v>9</v>
      </c>
      <c r="J43" s="247">
        <v>3330</v>
      </c>
      <c r="K43" s="198">
        <v>711</v>
      </c>
      <c r="L43" s="196">
        <f>K43/H43</f>
        <v>177.75</v>
      </c>
      <c r="M43" s="199">
        <f>J43/K43</f>
        <v>4.6835443037974684</v>
      </c>
      <c r="N43" s="197">
        <f>766172.5+426876.5+722.5+265870+79562.5+40+30203.5+20801+7671+6348+3330</f>
        <v>1607597.5</v>
      </c>
      <c r="O43" s="198">
        <f>104283+58908+78+37818+14443+4+6768+4620+1770+1277+711</f>
        <v>230680</v>
      </c>
      <c r="P43" s="190">
        <f t="shared" si="3"/>
        <v>6.968950494191088</v>
      </c>
    </row>
    <row r="44" spans="1:16" s="10" customFormat="1" ht="15">
      <c r="A44" s="34">
        <v>40</v>
      </c>
      <c r="B44" s="35"/>
      <c r="C44" s="167" t="s">
        <v>195</v>
      </c>
      <c r="D44" s="79">
        <v>38765</v>
      </c>
      <c r="E44" s="167" t="s">
        <v>97</v>
      </c>
      <c r="F44" s="167" t="s">
        <v>114</v>
      </c>
      <c r="G44" s="124">
        <v>41</v>
      </c>
      <c r="H44" s="124">
        <v>5</v>
      </c>
      <c r="I44" s="124">
        <v>12</v>
      </c>
      <c r="J44" s="249">
        <v>3305</v>
      </c>
      <c r="K44" s="186">
        <v>789</v>
      </c>
      <c r="L44" s="187">
        <f>IF(J44&lt;&gt;0,K44/H44,"")</f>
        <v>157.8</v>
      </c>
      <c r="M44" s="188">
        <f>IF(J44&lt;&gt;0,J44/K44,"")</f>
        <v>4.188846641318124</v>
      </c>
      <c r="N44" s="191">
        <v>334661</v>
      </c>
      <c r="O44" s="186">
        <v>45663</v>
      </c>
      <c r="P44" s="189">
        <f t="shared" si="3"/>
        <v>7.328931520049055</v>
      </c>
    </row>
    <row r="45" spans="1:16" s="10" customFormat="1" ht="15">
      <c r="A45" s="34">
        <v>41</v>
      </c>
      <c r="B45" s="35"/>
      <c r="C45" s="125" t="s">
        <v>69</v>
      </c>
      <c r="D45" s="42">
        <v>38793</v>
      </c>
      <c r="E45" s="169" t="s">
        <v>96</v>
      </c>
      <c r="F45" s="125" t="s">
        <v>49</v>
      </c>
      <c r="G45" s="120">
        <v>20</v>
      </c>
      <c r="H45" s="120">
        <v>6</v>
      </c>
      <c r="I45" s="120">
        <v>8</v>
      </c>
      <c r="J45" s="247">
        <v>3281.5</v>
      </c>
      <c r="K45" s="198">
        <v>538</v>
      </c>
      <c r="L45" s="196">
        <f>K45/H45</f>
        <v>89.66666666666667</v>
      </c>
      <c r="M45" s="199">
        <f>J45/K45</f>
        <v>6.099442379182156</v>
      </c>
      <c r="N45" s="197">
        <f>382650.25+216772+80793+19622+15213+10279+6237+3281.5</f>
        <v>734847.75</v>
      </c>
      <c r="O45" s="198">
        <f>44423+25158+2+10694+4081+3731+2440+1502+538</f>
        <v>92569</v>
      </c>
      <c r="P45" s="190">
        <f t="shared" si="3"/>
        <v>7.938378398816019</v>
      </c>
    </row>
    <row r="46" spans="1:16" s="10" customFormat="1" ht="15">
      <c r="A46" s="34">
        <v>42</v>
      </c>
      <c r="B46" s="35"/>
      <c r="C46" s="125" t="s">
        <v>113</v>
      </c>
      <c r="D46" s="42">
        <v>38793</v>
      </c>
      <c r="E46" s="125" t="s">
        <v>170</v>
      </c>
      <c r="F46" s="125" t="s">
        <v>178</v>
      </c>
      <c r="G46" s="120">
        <v>4</v>
      </c>
      <c r="H46" s="120">
        <v>4</v>
      </c>
      <c r="I46" s="120">
        <v>8</v>
      </c>
      <c r="J46" s="249">
        <v>3157</v>
      </c>
      <c r="K46" s="192">
        <v>573</v>
      </c>
      <c r="L46" s="187">
        <f>IF(J46&lt;&gt;0,K46/H46,"")</f>
        <v>143.25</v>
      </c>
      <c r="M46" s="188">
        <f>IF(J46&lt;&gt;0,J46/K46,"")</f>
        <v>5.509598603839441</v>
      </c>
      <c r="N46" s="191">
        <v>100122.5</v>
      </c>
      <c r="O46" s="192">
        <v>11850</v>
      </c>
      <c r="P46" s="190">
        <f t="shared" si="3"/>
        <v>8.44915611814346</v>
      </c>
    </row>
    <row r="47" spans="1:16" s="10" customFormat="1" ht="15">
      <c r="A47" s="34">
        <v>43</v>
      </c>
      <c r="B47" s="35"/>
      <c r="C47" s="125" t="s">
        <v>80</v>
      </c>
      <c r="D47" s="42">
        <v>38800</v>
      </c>
      <c r="E47" s="169" t="s">
        <v>96</v>
      </c>
      <c r="F47" s="125" t="s">
        <v>186</v>
      </c>
      <c r="G47" s="120">
        <v>36</v>
      </c>
      <c r="H47" s="120">
        <v>7</v>
      </c>
      <c r="I47" s="120">
        <v>7</v>
      </c>
      <c r="J47" s="247">
        <v>3145</v>
      </c>
      <c r="K47" s="198">
        <v>527</v>
      </c>
      <c r="L47" s="196">
        <f>K47/H47</f>
        <v>75.28571428571429</v>
      </c>
      <c r="M47" s="199">
        <f>J47/K47</f>
        <v>5.967741935483871</v>
      </c>
      <c r="N47" s="197">
        <f>288395.5+117307+73357+9936.5+3180.5+6040+3145</f>
        <v>501361.5</v>
      </c>
      <c r="O47" s="198">
        <f>32591+13752+9420+1407+573+1208+527</f>
        <v>59478</v>
      </c>
      <c r="P47" s="190">
        <f t="shared" si="3"/>
        <v>8.429360435791384</v>
      </c>
    </row>
    <row r="48" spans="1:16" s="10" customFormat="1" ht="15">
      <c r="A48" s="34">
        <v>44</v>
      </c>
      <c r="B48" s="35"/>
      <c r="C48" s="167" t="s">
        <v>60</v>
      </c>
      <c r="D48" s="79">
        <v>38779</v>
      </c>
      <c r="E48" s="170" t="s">
        <v>65</v>
      </c>
      <c r="F48" s="167" t="s">
        <v>196</v>
      </c>
      <c r="G48" s="124">
        <v>10</v>
      </c>
      <c r="H48" s="124">
        <v>4</v>
      </c>
      <c r="I48" s="124">
        <v>10</v>
      </c>
      <c r="J48" s="246">
        <v>3026</v>
      </c>
      <c r="K48" s="186">
        <v>979</v>
      </c>
      <c r="L48" s="187">
        <f aca="true" t="shared" si="4" ref="L48:L54">IF(J48&lt;&gt;0,K48/H48,"")</f>
        <v>244.75</v>
      </c>
      <c r="M48" s="188">
        <f aca="true" t="shared" si="5" ref="M48:M54">IF(J48&lt;&gt;0,J48/K48,"")</f>
        <v>3.090909090909091</v>
      </c>
      <c r="N48" s="185">
        <f>19635+7029.5+1939.5+1932.5+1425+2285+846+5995.5+272.5+3026</f>
        <v>44386.5</v>
      </c>
      <c r="O48" s="186">
        <f>2548+994+309+438+475+587+190+1491+27+979</f>
        <v>8038</v>
      </c>
      <c r="P48" s="190">
        <f t="shared" si="3"/>
        <v>5.522082607613834</v>
      </c>
    </row>
    <row r="49" spans="1:16" s="10" customFormat="1" ht="15">
      <c r="A49" s="34">
        <v>45</v>
      </c>
      <c r="B49" s="35"/>
      <c r="C49" s="167" t="s">
        <v>61</v>
      </c>
      <c r="D49" s="79">
        <v>38744</v>
      </c>
      <c r="E49" s="170" t="s">
        <v>65</v>
      </c>
      <c r="F49" s="167" t="s">
        <v>125</v>
      </c>
      <c r="G49" s="124">
        <v>7</v>
      </c>
      <c r="H49" s="124">
        <v>3</v>
      </c>
      <c r="I49" s="124">
        <v>13</v>
      </c>
      <c r="J49" s="246">
        <v>2859</v>
      </c>
      <c r="K49" s="186">
        <v>514</v>
      </c>
      <c r="L49" s="187">
        <f t="shared" si="4"/>
        <v>171.33333333333334</v>
      </c>
      <c r="M49" s="188">
        <f t="shared" si="5"/>
        <v>5.562256809338521</v>
      </c>
      <c r="N49" s="185">
        <f>23060.5+7183+3670+700+2376+2273+1430+3390+1771.5+3246+11360+7257.5+2859</f>
        <v>70576.5</v>
      </c>
      <c r="O49" s="186">
        <f>2772+1034+467+35+792+451+260+597+327+776+1582+1115+514</f>
        <v>10722</v>
      </c>
      <c r="P49" s="189">
        <f t="shared" si="3"/>
        <v>6.582400671516508</v>
      </c>
    </row>
    <row r="50" spans="1:16" s="10" customFormat="1" ht="15">
      <c r="A50" s="34">
        <v>46</v>
      </c>
      <c r="B50" s="35"/>
      <c r="C50" s="167" t="s">
        <v>63</v>
      </c>
      <c r="D50" s="79">
        <v>38716</v>
      </c>
      <c r="E50" s="170" t="s">
        <v>65</v>
      </c>
      <c r="F50" s="167" t="s">
        <v>167</v>
      </c>
      <c r="G50" s="124">
        <v>9</v>
      </c>
      <c r="H50" s="124">
        <v>4</v>
      </c>
      <c r="I50" s="124">
        <v>18</v>
      </c>
      <c r="J50" s="246">
        <v>2654.5</v>
      </c>
      <c r="K50" s="186">
        <v>684</v>
      </c>
      <c r="L50" s="187">
        <f t="shared" si="4"/>
        <v>171</v>
      </c>
      <c r="M50" s="188">
        <f t="shared" si="5"/>
        <v>3.8808479532163744</v>
      </c>
      <c r="N50" s="185">
        <f>41335+22428+10569.5+2994.5+6995.5+477+1541+1030+1308+1168.5+974+1343+1399+1115+913+1257+1859.5+2654.5</f>
        <v>101362</v>
      </c>
      <c r="O50" s="186">
        <f>5101+2761+1545+448+1608+159+304+206+436+246+162+276+329+246+181+254+303+684</f>
        <v>15249</v>
      </c>
      <c r="P50" s="189">
        <f t="shared" si="3"/>
        <v>6.647124401600105</v>
      </c>
    </row>
    <row r="51" spans="1:16" s="10" customFormat="1" ht="15">
      <c r="A51" s="34">
        <v>47</v>
      </c>
      <c r="B51" s="35"/>
      <c r="C51" s="167" t="s">
        <v>179</v>
      </c>
      <c r="D51" s="79">
        <v>38835</v>
      </c>
      <c r="E51" s="170" t="s">
        <v>65</v>
      </c>
      <c r="F51" s="167" t="s">
        <v>197</v>
      </c>
      <c r="G51" s="124">
        <v>5</v>
      </c>
      <c r="H51" s="124">
        <v>5</v>
      </c>
      <c r="I51" s="124">
        <v>2</v>
      </c>
      <c r="J51" s="246">
        <v>2567</v>
      </c>
      <c r="K51" s="186">
        <v>317</v>
      </c>
      <c r="L51" s="187">
        <f t="shared" si="4"/>
        <v>63.4</v>
      </c>
      <c r="M51" s="188">
        <f t="shared" si="5"/>
        <v>8.097791798107256</v>
      </c>
      <c r="N51" s="185">
        <f>497.5+5960+2567</f>
        <v>9024.5</v>
      </c>
      <c r="O51" s="186">
        <f>103+657+317</f>
        <v>1077</v>
      </c>
      <c r="P51" s="190">
        <f t="shared" si="3"/>
        <v>8.379294336118848</v>
      </c>
    </row>
    <row r="52" spans="1:16" s="10" customFormat="1" ht="15">
      <c r="A52" s="34">
        <v>48</v>
      </c>
      <c r="B52" s="35"/>
      <c r="C52" s="125" t="s">
        <v>150</v>
      </c>
      <c r="D52" s="42">
        <v>38821</v>
      </c>
      <c r="E52" s="125" t="s">
        <v>170</v>
      </c>
      <c r="F52" s="125" t="s">
        <v>166</v>
      </c>
      <c r="G52" s="120">
        <v>5</v>
      </c>
      <c r="H52" s="120">
        <v>3</v>
      </c>
      <c r="I52" s="120">
        <v>4</v>
      </c>
      <c r="J52" s="249">
        <v>2431</v>
      </c>
      <c r="K52" s="192">
        <v>351</v>
      </c>
      <c r="L52" s="187">
        <f t="shared" si="4"/>
        <v>117</v>
      </c>
      <c r="M52" s="188">
        <f t="shared" si="5"/>
        <v>6.925925925925926</v>
      </c>
      <c r="N52" s="191">
        <v>7440.5</v>
      </c>
      <c r="O52" s="192">
        <v>952</v>
      </c>
      <c r="P52" s="190">
        <f t="shared" si="3"/>
        <v>7.815651260504202</v>
      </c>
    </row>
    <row r="53" spans="1:16" s="10" customFormat="1" ht="15">
      <c r="A53" s="34">
        <v>49</v>
      </c>
      <c r="B53" s="35"/>
      <c r="C53" s="167" t="s">
        <v>198</v>
      </c>
      <c r="D53" s="79">
        <v>38408</v>
      </c>
      <c r="E53" s="167" t="s">
        <v>99</v>
      </c>
      <c r="F53" s="167" t="s">
        <v>123</v>
      </c>
      <c r="G53" s="124">
        <v>30</v>
      </c>
      <c r="H53" s="124">
        <v>1</v>
      </c>
      <c r="I53" s="124">
        <v>28</v>
      </c>
      <c r="J53" s="246">
        <v>2376</v>
      </c>
      <c r="K53" s="186">
        <v>1188</v>
      </c>
      <c r="L53" s="187">
        <f t="shared" si="4"/>
        <v>1188</v>
      </c>
      <c r="M53" s="188">
        <f t="shared" si="5"/>
        <v>2</v>
      </c>
      <c r="N53" s="185">
        <f>297256+323885+182041+68328+45110+33961+40805+21803+9027+6734+4475+3164+1002+3190+1284+2378+4751+2902+2872+3983+3458+2448+270+231+224+100+1511+2376</f>
        <v>1069569</v>
      </c>
      <c r="O53" s="186">
        <f>35816+38044+21674+11230+8771+8129+8710+4814+2336+1471+1120+1340+260+1511+279+1189+2376+1354+1271+1177+1401+1206+90+77+56+20+756+1188</f>
        <v>157666</v>
      </c>
      <c r="P53" s="189">
        <f t="shared" si="3"/>
        <v>6.783764413380183</v>
      </c>
    </row>
    <row r="54" spans="1:16" s="10" customFormat="1" ht="15">
      <c r="A54" s="34">
        <v>50</v>
      </c>
      <c r="B54" s="35"/>
      <c r="C54" s="125" t="s">
        <v>199</v>
      </c>
      <c r="D54" s="42">
        <v>38639</v>
      </c>
      <c r="E54" s="125" t="s">
        <v>71</v>
      </c>
      <c r="F54" s="125" t="s">
        <v>126</v>
      </c>
      <c r="G54" s="120">
        <v>4</v>
      </c>
      <c r="H54" s="120">
        <v>1</v>
      </c>
      <c r="I54" s="120">
        <v>10</v>
      </c>
      <c r="J54" s="248">
        <v>2376</v>
      </c>
      <c r="K54" s="196">
        <v>792</v>
      </c>
      <c r="L54" s="187">
        <f t="shared" si="4"/>
        <v>792</v>
      </c>
      <c r="M54" s="188">
        <f t="shared" si="5"/>
        <v>3</v>
      </c>
      <c r="N54" s="195">
        <f>25402+1129.5+2407.5+2376</f>
        <v>31315</v>
      </c>
      <c r="O54" s="186">
        <f>3576+173+578+792</f>
        <v>5119</v>
      </c>
      <c r="P54" s="190">
        <f t="shared" si="3"/>
        <v>6.11740574330924</v>
      </c>
    </row>
    <row r="55" spans="1:16" s="10" customFormat="1" ht="15">
      <c r="A55" s="34">
        <v>51</v>
      </c>
      <c r="B55" s="35"/>
      <c r="C55" s="125" t="s">
        <v>81</v>
      </c>
      <c r="D55" s="42">
        <v>38800</v>
      </c>
      <c r="E55" s="169" t="s">
        <v>96</v>
      </c>
      <c r="F55" s="125" t="s">
        <v>104</v>
      </c>
      <c r="G55" s="120">
        <v>12</v>
      </c>
      <c r="H55" s="120">
        <v>3</v>
      </c>
      <c r="I55" s="120">
        <v>7</v>
      </c>
      <c r="J55" s="247">
        <f>1642+540</f>
        <v>2182</v>
      </c>
      <c r="K55" s="198">
        <f>302+135</f>
        <v>437</v>
      </c>
      <c r="L55" s="196">
        <f>K55/H55</f>
        <v>145.66666666666666</v>
      </c>
      <c r="M55" s="199">
        <f>J55/K55</f>
        <v>4.993135011441647</v>
      </c>
      <c r="N55" s="197">
        <f>82365.5+56251.5+17508+5415.5+3304+3006+1642+540</f>
        <v>170032.5</v>
      </c>
      <c r="O55" s="198">
        <f>8878+5706+2045+866+701+556+302+135</f>
        <v>19189</v>
      </c>
      <c r="P55" s="190">
        <f t="shared" si="3"/>
        <v>8.860935952889676</v>
      </c>
    </row>
    <row r="56" spans="1:16" s="10" customFormat="1" ht="15">
      <c r="A56" s="34">
        <v>52</v>
      </c>
      <c r="B56" s="35"/>
      <c r="C56" s="167" t="s">
        <v>162</v>
      </c>
      <c r="D56" s="79">
        <v>38828</v>
      </c>
      <c r="E56" s="170" t="s">
        <v>65</v>
      </c>
      <c r="F56" s="167" t="s">
        <v>163</v>
      </c>
      <c r="G56" s="124">
        <v>6</v>
      </c>
      <c r="H56" s="124">
        <v>4</v>
      </c>
      <c r="I56" s="124">
        <v>3</v>
      </c>
      <c r="J56" s="246">
        <v>2175</v>
      </c>
      <c r="K56" s="186">
        <v>361</v>
      </c>
      <c r="L56" s="187">
        <f>IF(J56&lt;&gt;0,K56/H56,"")</f>
        <v>90.25</v>
      </c>
      <c r="M56" s="188">
        <f>IF(J56&lt;&gt;0,J56/K56,"")</f>
        <v>6.024930747922438</v>
      </c>
      <c r="N56" s="185">
        <f>8964+4246+2175</f>
        <v>15385</v>
      </c>
      <c r="O56" s="186">
        <f>1055+574+361</f>
        <v>1990</v>
      </c>
      <c r="P56" s="190">
        <f t="shared" si="3"/>
        <v>7.731155778894473</v>
      </c>
    </row>
    <row r="57" spans="1:16" s="10" customFormat="1" ht="15">
      <c r="A57" s="34">
        <v>53</v>
      </c>
      <c r="B57" s="35"/>
      <c r="C57" s="125" t="s">
        <v>31</v>
      </c>
      <c r="D57" s="42">
        <v>38674</v>
      </c>
      <c r="E57" s="169" t="s">
        <v>96</v>
      </c>
      <c r="F57" s="125" t="s">
        <v>49</v>
      </c>
      <c r="G57" s="120">
        <v>1</v>
      </c>
      <c r="H57" s="120">
        <v>1</v>
      </c>
      <c r="I57" s="120">
        <v>17</v>
      </c>
      <c r="J57" s="247">
        <v>2020</v>
      </c>
      <c r="K57" s="198">
        <v>404</v>
      </c>
      <c r="L57" s="196">
        <f>K57/H57</f>
        <v>404</v>
      </c>
      <c r="M57" s="199">
        <f>J57/K57</f>
        <v>5</v>
      </c>
      <c r="N57" s="197">
        <f>5376+5780+1660+1145+1139+275+183+183+2020+2020+2020+2020+2020+2020+2020+2020+2020</f>
        <v>33921</v>
      </c>
      <c r="O57" s="198">
        <f>810+893+178+166+140+32+21+21+502+404+404+404+404+404+404+404+404</f>
        <v>5995</v>
      </c>
      <c r="P57" s="190">
        <f t="shared" si="3"/>
        <v>5.658215179316096</v>
      </c>
    </row>
    <row r="58" spans="1:16" s="10" customFormat="1" ht="15">
      <c r="A58" s="34">
        <v>54</v>
      </c>
      <c r="B58" s="35"/>
      <c r="C58" s="167" t="s">
        <v>62</v>
      </c>
      <c r="D58" s="79">
        <v>38758</v>
      </c>
      <c r="E58" s="170" t="s">
        <v>65</v>
      </c>
      <c r="F58" s="167" t="s">
        <v>116</v>
      </c>
      <c r="G58" s="124">
        <v>4</v>
      </c>
      <c r="H58" s="124">
        <v>3</v>
      </c>
      <c r="I58" s="124">
        <v>13</v>
      </c>
      <c r="J58" s="246">
        <v>1963</v>
      </c>
      <c r="K58" s="186">
        <v>612</v>
      </c>
      <c r="L58" s="187">
        <f aca="true" t="shared" si="6" ref="L58:L65">IF(J58&lt;&gt;0,K58/H58,"")</f>
        <v>204</v>
      </c>
      <c r="M58" s="188">
        <f aca="true" t="shared" si="7" ref="M58:M65">IF(J58&lt;&gt;0,J58/K58,"")</f>
        <v>3.207516339869281</v>
      </c>
      <c r="N58" s="185">
        <f>12456+7990+4147+1031+2942.5+1687.5+5526.5+3841.5+1352.5+925+2425+2735+1963</f>
        <v>49022.5</v>
      </c>
      <c r="O58" s="186">
        <f>1552+1090+669+166+430+252+1516+804+308+163+443+768+612</f>
        <v>8773</v>
      </c>
      <c r="P58" s="190">
        <f t="shared" si="3"/>
        <v>5.587883278240055</v>
      </c>
    </row>
    <row r="59" spans="1:16" s="10" customFormat="1" ht="15">
      <c r="A59" s="34">
        <v>55</v>
      </c>
      <c r="B59" s="35"/>
      <c r="C59" s="125" t="s">
        <v>200</v>
      </c>
      <c r="D59" s="42">
        <v>38835</v>
      </c>
      <c r="E59" s="125" t="s">
        <v>170</v>
      </c>
      <c r="F59" s="125" t="s">
        <v>178</v>
      </c>
      <c r="G59" s="120">
        <v>8</v>
      </c>
      <c r="H59" s="120">
        <v>8</v>
      </c>
      <c r="I59" s="120">
        <v>2</v>
      </c>
      <c r="J59" s="249">
        <v>1810</v>
      </c>
      <c r="K59" s="192">
        <v>362</v>
      </c>
      <c r="L59" s="187">
        <f t="shared" si="6"/>
        <v>45.25</v>
      </c>
      <c r="M59" s="188">
        <f t="shared" si="7"/>
        <v>5</v>
      </c>
      <c r="N59" s="191">
        <v>76950</v>
      </c>
      <c r="O59" s="192">
        <v>13681</v>
      </c>
      <c r="P59" s="189">
        <f t="shared" si="3"/>
        <v>5.624588845844602</v>
      </c>
    </row>
    <row r="60" spans="1:16" s="10" customFormat="1" ht="15">
      <c r="A60" s="34">
        <v>56</v>
      </c>
      <c r="B60" s="35"/>
      <c r="C60" s="167" t="s">
        <v>3</v>
      </c>
      <c r="D60" s="79">
        <v>38765</v>
      </c>
      <c r="E60" s="167" t="s">
        <v>52</v>
      </c>
      <c r="F60" s="167" t="s">
        <v>142</v>
      </c>
      <c r="G60" s="124">
        <v>164</v>
      </c>
      <c r="H60" s="124">
        <v>5</v>
      </c>
      <c r="I60" s="124">
        <v>12</v>
      </c>
      <c r="J60" s="249">
        <v>1687</v>
      </c>
      <c r="K60" s="192">
        <v>412</v>
      </c>
      <c r="L60" s="187">
        <f t="shared" si="6"/>
        <v>82.4</v>
      </c>
      <c r="M60" s="188">
        <f t="shared" si="7"/>
        <v>4.094660194174757</v>
      </c>
      <c r="N60" s="191">
        <v>4207819.5</v>
      </c>
      <c r="O60" s="192">
        <v>640606</v>
      </c>
      <c r="P60" s="190">
        <f t="shared" si="3"/>
        <v>6.568498421806852</v>
      </c>
    </row>
    <row r="61" spans="1:16" s="10" customFormat="1" ht="15">
      <c r="A61" s="34">
        <v>57</v>
      </c>
      <c r="B61" s="35"/>
      <c r="C61" s="125" t="s">
        <v>165</v>
      </c>
      <c r="D61" s="42">
        <v>38786</v>
      </c>
      <c r="E61" s="125" t="s">
        <v>97</v>
      </c>
      <c r="F61" s="125" t="s">
        <v>114</v>
      </c>
      <c r="G61" s="120">
        <v>63</v>
      </c>
      <c r="H61" s="120">
        <v>2</v>
      </c>
      <c r="I61" s="120">
        <v>9</v>
      </c>
      <c r="J61" s="246">
        <v>1616</v>
      </c>
      <c r="K61" s="186">
        <v>448</v>
      </c>
      <c r="L61" s="187">
        <f t="shared" si="6"/>
        <v>224</v>
      </c>
      <c r="M61" s="188">
        <f t="shared" si="7"/>
        <v>3.607142857142857</v>
      </c>
      <c r="N61" s="185">
        <v>504709</v>
      </c>
      <c r="O61" s="186">
        <v>63289</v>
      </c>
      <c r="P61" s="189">
        <f t="shared" si="3"/>
        <v>7.974671743904944</v>
      </c>
    </row>
    <row r="62" spans="1:16" s="10" customFormat="1" ht="15">
      <c r="A62" s="34">
        <v>58</v>
      </c>
      <c r="B62" s="35"/>
      <c r="C62" s="167" t="s">
        <v>182</v>
      </c>
      <c r="D62" s="79">
        <v>38786</v>
      </c>
      <c r="E62" s="167" t="s">
        <v>111</v>
      </c>
      <c r="F62" s="167" t="s">
        <v>126</v>
      </c>
      <c r="G62" s="124">
        <v>4</v>
      </c>
      <c r="H62" s="124">
        <v>2</v>
      </c>
      <c r="I62" s="124">
        <v>10</v>
      </c>
      <c r="J62" s="246">
        <v>1594</v>
      </c>
      <c r="K62" s="186">
        <v>527.3333333333334</v>
      </c>
      <c r="L62" s="187">
        <f t="shared" si="6"/>
        <v>263.6666666666667</v>
      </c>
      <c r="M62" s="188">
        <f t="shared" si="7"/>
        <v>3.02275600505689</v>
      </c>
      <c r="N62" s="185">
        <v>50710.15</v>
      </c>
      <c r="O62" s="186">
        <v>6453.333333333333</v>
      </c>
      <c r="P62" s="190">
        <f t="shared" si="3"/>
        <v>7.857977789256199</v>
      </c>
    </row>
    <row r="63" spans="1:16" s="10" customFormat="1" ht="15">
      <c r="A63" s="34">
        <v>59</v>
      </c>
      <c r="B63" s="35"/>
      <c r="C63" s="167" t="s">
        <v>202</v>
      </c>
      <c r="D63" s="79">
        <v>38597</v>
      </c>
      <c r="E63" s="170" t="s">
        <v>65</v>
      </c>
      <c r="F63" s="167" t="s">
        <v>180</v>
      </c>
      <c r="G63" s="124">
        <v>11</v>
      </c>
      <c r="H63" s="124">
        <v>2</v>
      </c>
      <c r="I63" s="124">
        <v>12</v>
      </c>
      <c r="J63" s="246">
        <v>1569</v>
      </c>
      <c r="K63" s="186">
        <v>523</v>
      </c>
      <c r="L63" s="187">
        <f t="shared" si="6"/>
        <v>261.5</v>
      </c>
      <c r="M63" s="188">
        <f t="shared" si="7"/>
        <v>3</v>
      </c>
      <c r="N63" s="185">
        <f>31296+19081.5+11825+6700+3918.5+3397+311+1425+1188+1782+1068+1569</f>
        <v>83561</v>
      </c>
      <c r="O63" s="186">
        <f>3582+2311+1634+907+581+536+60+475+396+594+356+523</f>
        <v>11955</v>
      </c>
      <c r="P63" s="190">
        <f t="shared" si="3"/>
        <v>6.989627770807194</v>
      </c>
    </row>
    <row r="64" spans="1:16" s="10" customFormat="1" ht="15">
      <c r="A64" s="34">
        <v>60</v>
      </c>
      <c r="B64" s="35"/>
      <c r="C64" s="167" t="s">
        <v>59</v>
      </c>
      <c r="D64" s="79">
        <v>38786</v>
      </c>
      <c r="E64" s="170" t="s">
        <v>65</v>
      </c>
      <c r="F64" s="167" t="s">
        <v>134</v>
      </c>
      <c r="G64" s="124">
        <v>6</v>
      </c>
      <c r="H64" s="124">
        <v>1</v>
      </c>
      <c r="I64" s="124">
        <v>4</v>
      </c>
      <c r="J64" s="246">
        <v>1545</v>
      </c>
      <c r="K64" s="186">
        <v>515</v>
      </c>
      <c r="L64" s="187">
        <f t="shared" si="6"/>
        <v>515</v>
      </c>
      <c r="M64" s="188">
        <f t="shared" si="7"/>
        <v>3</v>
      </c>
      <c r="N64" s="185">
        <f>9397.5+2137+188+1545</f>
        <v>13267.5</v>
      </c>
      <c r="O64" s="186">
        <f>1039+275+26+515</f>
        <v>1855</v>
      </c>
      <c r="P64" s="189">
        <f t="shared" si="3"/>
        <v>7.152291105121294</v>
      </c>
    </row>
    <row r="65" spans="1:16" s="10" customFormat="1" ht="15">
      <c r="A65" s="34">
        <v>61</v>
      </c>
      <c r="B65" s="35"/>
      <c r="C65" s="167" t="s">
        <v>203</v>
      </c>
      <c r="D65" s="79">
        <v>38653</v>
      </c>
      <c r="E65" s="167" t="s">
        <v>111</v>
      </c>
      <c r="F65" s="167" t="s">
        <v>204</v>
      </c>
      <c r="G65" s="124">
        <v>3</v>
      </c>
      <c r="H65" s="124">
        <v>1</v>
      </c>
      <c r="I65" s="124">
        <v>14</v>
      </c>
      <c r="J65" s="246">
        <v>1426</v>
      </c>
      <c r="K65" s="186">
        <v>475.3333333333333</v>
      </c>
      <c r="L65" s="187">
        <f t="shared" si="6"/>
        <v>475.3333333333333</v>
      </c>
      <c r="M65" s="188">
        <f t="shared" si="7"/>
        <v>3</v>
      </c>
      <c r="N65" s="185">
        <v>46740.98</v>
      </c>
      <c r="O65" s="186">
        <v>7395.458333333333</v>
      </c>
      <c r="P65" s="189">
        <f t="shared" si="3"/>
        <v>6.320227617174956</v>
      </c>
    </row>
    <row r="66" spans="1:16" s="10" customFormat="1" ht="15">
      <c r="A66" s="34">
        <v>62</v>
      </c>
      <c r="B66" s="35"/>
      <c r="C66" s="125" t="s">
        <v>35</v>
      </c>
      <c r="D66" s="42">
        <v>38667</v>
      </c>
      <c r="E66" s="169" t="s">
        <v>96</v>
      </c>
      <c r="F66" s="125" t="s">
        <v>145</v>
      </c>
      <c r="G66" s="120">
        <v>76</v>
      </c>
      <c r="H66" s="120">
        <v>1</v>
      </c>
      <c r="I66" s="120">
        <v>18</v>
      </c>
      <c r="J66" s="247">
        <v>1425</v>
      </c>
      <c r="K66" s="198">
        <v>285</v>
      </c>
      <c r="L66" s="196">
        <f>K66/H66</f>
        <v>285</v>
      </c>
      <c r="M66" s="199">
        <f>J66/K66</f>
        <v>5</v>
      </c>
      <c r="N66" s="197">
        <f>828966.5+670135+430453.5+252524+172010+102242.5+19433.5-1641+9995.5+1245+1425+1425+1425+1425+1425+1425+1425+1425+1425</f>
        <v>2498189.5</v>
      </c>
      <c r="O66" s="198">
        <f>115867+95362-1+63392+42671+33929+21004+4863-421+2356-1+644+363+285+285+285+285+285+285+285+285</f>
        <v>382308</v>
      </c>
      <c r="P66" s="190">
        <f t="shared" si="3"/>
        <v>6.5344944390386805</v>
      </c>
    </row>
    <row r="67" spans="1:16" s="10" customFormat="1" ht="15">
      <c r="A67" s="34">
        <v>63</v>
      </c>
      <c r="B67" s="35"/>
      <c r="C67" s="125" t="s">
        <v>32</v>
      </c>
      <c r="D67" s="42">
        <v>38548</v>
      </c>
      <c r="E67" s="169" t="s">
        <v>96</v>
      </c>
      <c r="F67" s="125" t="s">
        <v>186</v>
      </c>
      <c r="G67" s="120">
        <v>51</v>
      </c>
      <c r="H67" s="120">
        <v>1</v>
      </c>
      <c r="I67" s="120">
        <v>24</v>
      </c>
      <c r="J67" s="247">
        <v>1425</v>
      </c>
      <c r="K67" s="198">
        <v>285</v>
      </c>
      <c r="L67" s="196">
        <f>K67/H67</f>
        <v>285</v>
      </c>
      <c r="M67" s="199">
        <f>J67/K67</f>
        <v>5</v>
      </c>
      <c r="N67" s="197">
        <f>332075+188023.5-2+143161+121106.5+91937.5-34+56069+33205+14312+6611+58.5+118.5+1152.5+336.5+1782+832+1425+1425+1425+1425+1425+1425+1425+1425+1425</f>
        <v>1003569.5</v>
      </c>
      <c r="O67" s="198">
        <f>43514+24394+10+18688+16371+14194+9945+6554+2879+1218+13+36+358+100+509+295+363+285+285+285+285+285+285+285+285</f>
        <v>141721</v>
      </c>
      <c r="P67" s="190">
        <f t="shared" si="3"/>
        <v>7.081304111599551</v>
      </c>
    </row>
    <row r="68" spans="1:16" s="10" customFormat="1" ht="15">
      <c r="A68" s="34">
        <v>64</v>
      </c>
      <c r="B68" s="35"/>
      <c r="C68" s="125" t="s">
        <v>2</v>
      </c>
      <c r="D68" s="42">
        <v>38527</v>
      </c>
      <c r="E68" s="169" t="s">
        <v>96</v>
      </c>
      <c r="F68" s="125" t="s">
        <v>112</v>
      </c>
      <c r="G68" s="120">
        <v>43</v>
      </c>
      <c r="H68" s="120">
        <v>1</v>
      </c>
      <c r="I68" s="120">
        <v>30</v>
      </c>
      <c r="J68" s="247">
        <v>1425</v>
      </c>
      <c r="K68" s="198">
        <v>285</v>
      </c>
      <c r="L68" s="196">
        <f>K68/H68</f>
        <v>285</v>
      </c>
      <c r="M68" s="199">
        <f>J68/K68</f>
        <v>5</v>
      </c>
      <c r="N68" s="197">
        <f>169533+81079.5+71823.5+35609+28575+20856+14021.5+7517.5+2985+2572+296+269+250+205+213+107+57+30.5+97+173+455+133+178537+84464+721.5+33840.5+2862+3207+1425+1425+1425+1425</f>
        <v>746189.5</v>
      </c>
      <c r="O68" s="198">
        <f>21038+10132+8736+5328+4899+3682+3105+1506+822+755+49+43+40+29+31+14+8+2+14+26+65+19+19409+9014+66+4108+429+1+879+285+285+285+285</f>
        <v>95389</v>
      </c>
      <c r="P68" s="190">
        <f t="shared" si="3"/>
        <v>7.822594848462611</v>
      </c>
    </row>
    <row r="69" spans="1:16" s="10" customFormat="1" ht="15">
      <c r="A69" s="34">
        <v>65</v>
      </c>
      <c r="B69" s="35"/>
      <c r="C69" s="125" t="s">
        <v>84</v>
      </c>
      <c r="D69" s="42">
        <v>38793</v>
      </c>
      <c r="E69" s="125" t="s">
        <v>71</v>
      </c>
      <c r="F69" s="125" t="s">
        <v>122</v>
      </c>
      <c r="G69" s="120">
        <v>2</v>
      </c>
      <c r="H69" s="120">
        <v>1</v>
      </c>
      <c r="I69" s="120">
        <v>7</v>
      </c>
      <c r="J69" s="248">
        <v>1306.5</v>
      </c>
      <c r="K69" s="196">
        <v>197</v>
      </c>
      <c r="L69" s="187">
        <f>IF(J69&lt;&gt;0,K69/H69,"")</f>
        <v>197</v>
      </c>
      <c r="M69" s="188">
        <f>IF(J69&lt;&gt;0,J69/K69,"")</f>
        <v>6.631979695431472</v>
      </c>
      <c r="N69" s="195">
        <f>21147.5+3690+1708+783+1453+1727.5+1306.5</f>
        <v>31815.5</v>
      </c>
      <c r="O69" s="186">
        <f>2248+452+253+99+248+260+197</f>
        <v>3757</v>
      </c>
      <c r="P69" s="189">
        <f aca="true" t="shared" si="8" ref="P69:P100">+N69/O69</f>
        <v>8.468325791855204</v>
      </c>
    </row>
    <row r="70" spans="1:16" s="10" customFormat="1" ht="15">
      <c r="A70" s="34">
        <v>66</v>
      </c>
      <c r="B70" s="35"/>
      <c r="C70" s="125" t="s">
        <v>28</v>
      </c>
      <c r="D70" s="42">
        <v>38758</v>
      </c>
      <c r="E70" s="169" t="s">
        <v>96</v>
      </c>
      <c r="F70" s="125" t="s">
        <v>104</v>
      </c>
      <c r="G70" s="120">
        <v>61</v>
      </c>
      <c r="H70" s="120">
        <v>1</v>
      </c>
      <c r="I70" s="120">
        <v>13</v>
      </c>
      <c r="J70" s="247">
        <v>1188</v>
      </c>
      <c r="K70" s="198">
        <v>358</v>
      </c>
      <c r="L70" s="196">
        <f>K70/H70</f>
        <v>358</v>
      </c>
      <c r="M70" s="199">
        <f>J70/K70</f>
        <v>3.3184357541899443</v>
      </c>
      <c r="N70" s="197">
        <f>532455+375378.5+1288+209157.5+74302.5+38855.5+4630+21016.5+13072+2309+5106+4417+5902+1814.5+1188</f>
        <v>1290892</v>
      </c>
      <c r="O70" s="198">
        <f>61952+44929+104+25802+9625+5738+693+3941-2+1998+265+605+699+1165+276+358</f>
        <v>158148</v>
      </c>
      <c r="P70" s="190">
        <f t="shared" si="8"/>
        <v>8.162556592558868</v>
      </c>
    </row>
    <row r="71" spans="1:16" s="10" customFormat="1" ht="15">
      <c r="A71" s="34">
        <v>67</v>
      </c>
      <c r="B71" s="35"/>
      <c r="C71" s="167" t="s">
        <v>205</v>
      </c>
      <c r="D71" s="79">
        <v>38709</v>
      </c>
      <c r="E71" s="167" t="s">
        <v>52</v>
      </c>
      <c r="F71" s="167" t="s">
        <v>206</v>
      </c>
      <c r="G71" s="124">
        <v>233</v>
      </c>
      <c r="H71" s="124">
        <v>1</v>
      </c>
      <c r="I71" s="124">
        <v>19</v>
      </c>
      <c r="J71" s="249">
        <v>1184</v>
      </c>
      <c r="K71" s="192">
        <v>364</v>
      </c>
      <c r="L71" s="187">
        <f>IF(J71&lt;&gt;0,K71/H71,"")</f>
        <v>364</v>
      </c>
      <c r="M71" s="188">
        <f>IF(J71&lt;&gt;0,J71/K71,"")</f>
        <v>3.2527472527472527</v>
      </c>
      <c r="N71" s="191">
        <v>17067290.5</v>
      </c>
      <c r="O71" s="192">
        <v>2572188</v>
      </c>
      <c r="P71" s="190">
        <f t="shared" si="8"/>
        <v>6.635320007713277</v>
      </c>
    </row>
    <row r="72" spans="1:16" s="10" customFormat="1" ht="15">
      <c r="A72" s="34">
        <v>68</v>
      </c>
      <c r="B72" s="35"/>
      <c r="C72" s="167" t="s">
        <v>201</v>
      </c>
      <c r="D72" s="79">
        <v>38723</v>
      </c>
      <c r="E72" s="167" t="s">
        <v>52</v>
      </c>
      <c r="F72" s="167" t="s">
        <v>115</v>
      </c>
      <c r="G72" s="124">
        <v>199</v>
      </c>
      <c r="H72" s="124">
        <v>1</v>
      </c>
      <c r="I72" s="124">
        <v>18</v>
      </c>
      <c r="J72" s="249">
        <v>1183</v>
      </c>
      <c r="K72" s="192">
        <v>317</v>
      </c>
      <c r="L72" s="187">
        <f>IF(J72&lt;&gt;0,K72/H72,"")</f>
        <v>317</v>
      </c>
      <c r="M72" s="188">
        <f>IF(J72&lt;&gt;0,J72/K72,"")</f>
        <v>3.7318611987381702</v>
      </c>
      <c r="N72" s="191">
        <v>6508645.1</v>
      </c>
      <c r="O72" s="192">
        <v>994952</v>
      </c>
      <c r="P72" s="190">
        <f t="shared" si="8"/>
        <v>6.541667437223102</v>
      </c>
    </row>
    <row r="73" spans="1:16" s="10" customFormat="1" ht="15">
      <c r="A73" s="34">
        <v>69</v>
      </c>
      <c r="B73" s="35"/>
      <c r="C73" s="125" t="s">
        <v>207</v>
      </c>
      <c r="D73" s="42">
        <v>38541</v>
      </c>
      <c r="E73" s="180" t="s">
        <v>208</v>
      </c>
      <c r="F73" s="181" t="s">
        <v>209</v>
      </c>
      <c r="G73" s="120">
        <v>1</v>
      </c>
      <c r="H73" s="161">
        <v>1</v>
      </c>
      <c r="I73" s="120">
        <v>21</v>
      </c>
      <c r="J73" s="250">
        <v>1180</v>
      </c>
      <c r="K73" s="194">
        <v>437</v>
      </c>
      <c r="L73" s="196">
        <f>K73/H73</f>
        <v>437</v>
      </c>
      <c r="M73" s="199">
        <f>J73/K73</f>
        <v>2.7002288329519453</v>
      </c>
      <c r="N73" s="193">
        <v>24286.5</v>
      </c>
      <c r="O73" s="194">
        <v>5471</v>
      </c>
      <c r="P73" s="190">
        <f t="shared" si="8"/>
        <v>4.439133613598976</v>
      </c>
    </row>
    <row r="74" spans="1:16" s="10" customFormat="1" ht="15">
      <c r="A74" s="34">
        <v>70</v>
      </c>
      <c r="B74" s="35"/>
      <c r="C74" s="125" t="s">
        <v>146</v>
      </c>
      <c r="D74" s="42">
        <v>38779</v>
      </c>
      <c r="E74" s="180" t="s">
        <v>208</v>
      </c>
      <c r="F74" s="181" t="s">
        <v>168</v>
      </c>
      <c r="G74" s="120">
        <v>8</v>
      </c>
      <c r="H74" s="161">
        <v>1</v>
      </c>
      <c r="I74" s="120">
        <v>9</v>
      </c>
      <c r="J74" s="250">
        <v>1180</v>
      </c>
      <c r="K74" s="194">
        <v>395</v>
      </c>
      <c r="L74" s="196">
        <f>K74/H74</f>
        <v>395</v>
      </c>
      <c r="M74" s="199">
        <f>J74/K74</f>
        <v>2.9873417721518987</v>
      </c>
      <c r="N74" s="193">
        <v>82351.4</v>
      </c>
      <c r="O74" s="194">
        <v>9780</v>
      </c>
      <c r="P74" s="190">
        <f t="shared" si="8"/>
        <v>8.42038854805726</v>
      </c>
    </row>
    <row r="75" spans="1:16" s="10" customFormat="1" ht="15">
      <c r="A75" s="34">
        <v>71</v>
      </c>
      <c r="B75" s="35"/>
      <c r="C75" s="125" t="s">
        <v>210</v>
      </c>
      <c r="D75" s="42">
        <v>38583</v>
      </c>
      <c r="E75" s="180" t="s">
        <v>208</v>
      </c>
      <c r="F75" s="181" t="s">
        <v>209</v>
      </c>
      <c r="G75" s="120">
        <v>5</v>
      </c>
      <c r="H75" s="161">
        <v>1</v>
      </c>
      <c r="I75" s="120">
        <v>13</v>
      </c>
      <c r="J75" s="250">
        <v>1180</v>
      </c>
      <c r="K75" s="194">
        <v>378</v>
      </c>
      <c r="L75" s="196">
        <f>K75/H75</f>
        <v>378</v>
      </c>
      <c r="M75" s="199">
        <f>J75/K75</f>
        <v>3.121693121693122</v>
      </c>
      <c r="N75" s="193">
        <v>34660.4</v>
      </c>
      <c r="O75" s="194">
        <v>4825</v>
      </c>
      <c r="P75" s="190">
        <f t="shared" si="8"/>
        <v>7.183502590673576</v>
      </c>
    </row>
    <row r="76" spans="1:16" s="10" customFormat="1" ht="15">
      <c r="A76" s="34">
        <v>72</v>
      </c>
      <c r="B76" s="35"/>
      <c r="C76" s="125" t="s">
        <v>211</v>
      </c>
      <c r="D76" s="42">
        <v>38702</v>
      </c>
      <c r="E76" s="180" t="s">
        <v>208</v>
      </c>
      <c r="F76" s="181" t="s">
        <v>125</v>
      </c>
      <c r="G76" s="120">
        <v>10</v>
      </c>
      <c r="H76" s="161">
        <v>1</v>
      </c>
      <c r="I76" s="120">
        <v>12</v>
      </c>
      <c r="J76" s="250">
        <v>1180</v>
      </c>
      <c r="K76" s="194">
        <v>342</v>
      </c>
      <c r="L76" s="196">
        <f>K76/H76</f>
        <v>342</v>
      </c>
      <c r="M76" s="199">
        <f>J76/K76</f>
        <v>3.4502923976608186</v>
      </c>
      <c r="N76" s="193">
        <v>45598</v>
      </c>
      <c r="O76" s="194">
        <v>7453</v>
      </c>
      <c r="P76" s="190">
        <f t="shared" si="8"/>
        <v>6.118073259090299</v>
      </c>
    </row>
    <row r="77" spans="1:16" s="10" customFormat="1" ht="15">
      <c r="A77" s="34">
        <v>73</v>
      </c>
      <c r="B77" s="35"/>
      <c r="C77" s="125" t="s">
        <v>212</v>
      </c>
      <c r="D77" s="42">
        <v>38387</v>
      </c>
      <c r="E77" s="180" t="s">
        <v>208</v>
      </c>
      <c r="F77" s="181" t="s">
        <v>213</v>
      </c>
      <c r="G77" s="120">
        <v>5</v>
      </c>
      <c r="H77" s="161">
        <v>1</v>
      </c>
      <c r="I77" s="120">
        <v>35</v>
      </c>
      <c r="J77" s="250">
        <v>1180</v>
      </c>
      <c r="K77" s="194">
        <v>150</v>
      </c>
      <c r="L77" s="196">
        <f>K77/H77</f>
        <v>150</v>
      </c>
      <c r="M77" s="199">
        <f>J77/K77</f>
        <v>7.866666666666666</v>
      </c>
      <c r="N77" s="193">
        <v>118817</v>
      </c>
      <c r="O77" s="194">
        <v>20960</v>
      </c>
      <c r="P77" s="190">
        <f t="shared" si="8"/>
        <v>5.66875</v>
      </c>
    </row>
    <row r="78" spans="1:16" s="10" customFormat="1" ht="15">
      <c r="A78" s="34">
        <v>74</v>
      </c>
      <c r="B78" s="35"/>
      <c r="C78" s="125" t="s">
        <v>56</v>
      </c>
      <c r="D78" s="42">
        <v>38744</v>
      </c>
      <c r="E78" s="125" t="s">
        <v>97</v>
      </c>
      <c r="F78" s="125" t="s">
        <v>124</v>
      </c>
      <c r="G78" s="120">
        <v>71</v>
      </c>
      <c r="H78" s="120">
        <v>1</v>
      </c>
      <c r="I78" s="120">
        <v>14</v>
      </c>
      <c r="J78" s="246">
        <v>1137</v>
      </c>
      <c r="K78" s="186">
        <v>266</v>
      </c>
      <c r="L78" s="187">
        <f aca="true" t="shared" si="9" ref="L78:L83">IF(J78&lt;&gt;0,K78/H78,"")</f>
        <v>266</v>
      </c>
      <c r="M78" s="188">
        <f aca="true" t="shared" si="10" ref="M78:M83">IF(J78&lt;&gt;0,J78/K78,"")</f>
        <v>4.274436090225564</v>
      </c>
      <c r="N78" s="185">
        <v>1845007</v>
      </c>
      <c r="O78" s="186">
        <v>228970</v>
      </c>
      <c r="P78" s="189">
        <f t="shared" si="8"/>
        <v>8.057854740795737</v>
      </c>
    </row>
    <row r="79" spans="1:16" s="10" customFormat="1" ht="15">
      <c r="A79" s="34">
        <v>75</v>
      </c>
      <c r="B79" s="35"/>
      <c r="C79" s="167" t="s">
        <v>151</v>
      </c>
      <c r="D79" s="79">
        <v>38751</v>
      </c>
      <c r="E79" s="170" t="s">
        <v>65</v>
      </c>
      <c r="F79" s="167" t="s">
        <v>125</v>
      </c>
      <c r="G79" s="124">
        <v>1</v>
      </c>
      <c r="H79" s="124">
        <v>1</v>
      </c>
      <c r="I79" s="124">
        <v>9</v>
      </c>
      <c r="J79" s="246">
        <v>1068</v>
      </c>
      <c r="K79" s="186">
        <v>356</v>
      </c>
      <c r="L79" s="187">
        <f t="shared" si="9"/>
        <v>356</v>
      </c>
      <c r="M79" s="188">
        <f t="shared" si="10"/>
        <v>3</v>
      </c>
      <c r="N79" s="185">
        <f>6339+5656+3753+2609+448+675+1816+2430+1068</f>
        <v>24794</v>
      </c>
      <c r="O79" s="186">
        <f>796+708+467+329+60+87+264+364+356</f>
        <v>3431</v>
      </c>
      <c r="P79" s="190">
        <f t="shared" si="8"/>
        <v>7.226464587583795</v>
      </c>
    </row>
    <row r="80" spans="1:16" s="10" customFormat="1" ht="15">
      <c r="A80" s="34">
        <v>76</v>
      </c>
      <c r="B80" s="35"/>
      <c r="C80" s="125" t="s">
        <v>181</v>
      </c>
      <c r="D80" s="42">
        <v>38702</v>
      </c>
      <c r="E80" s="125" t="s">
        <v>170</v>
      </c>
      <c r="F80" s="125" t="s">
        <v>214</v>
      </c>
      <c r="G80" s="120">
        <v>10</v>
      </c>
      <c r="H80" s="120">
        <v>3</v>
      </c>
      <c r="I80" s="120">
        <v>14</v>
      </c>
      <c r="J80" s="249">
        <v>1024</v>
      </c>
      <c r="K80" s="192">
        <v>220</v>
      </c>
      <c r="L80" s="187">
        <f t="shared" si="9"/>
        <v>73.33333333333333</v>
      </c>
      <c r="M80" s="188">
        <f t="shared" si="10"/>
        <v>4.654545454545454</v>
      </c>
      <c r="N80" s="191">
        <v>136405</v>
      </c>
      <c r="O80" s="192">
        <v>15928</v>
      </c>
      <c r="P80" s="189">
        <f t="shared" si="8"/>
        <v>8.56384982420894</v>
      </c>
    </row>
    <row r="81" spans="1:16" s="10" customFormat="1" ht="15">
      <c r="A81" s="34">
        <v>77</v>
      </c>
      <c r="B81" s="35"/>
      <c r="C81" s="167" t="s">
        <v>118</v>
      </c>
      <c r="D81" s="79">
        <v>38765</v>
      </c>
      <c r="E81" s="167" t="s">
        <v>99</v>
      </c>
      <c r="F81" s="167" t="s">
        <v>105</v>
      </c>
      <c r="G81" s="124">
        <v>30</v>
      </c>
      <c r="H81" s="124">
        <v>1</v>
      </c>
      <c r="I81" s="124">
        <v>11</v>
      </c>
      <c r="J81" s="246">
        <v>935</v>
      </c>
      <c r="K81" s="186">
        <v>218</v>
      </c>
      <c r="L81" s="187">
        <f t="shared" si="9"/>
        <v>218</v>
      </c>
      <c r="M81" s="188">
        <f t="shared" si="10"/>
        <v>4.2889908256880735</v>
      </c>
      <c r="N81" s="185">
        <f>62768+32353+12961+8129+4050.5+1984.5+2460+376+907+1161.5+935</f>
        <v>128085.5</v>
      </c>
      <c r="O81" s="186">
        <f>8337+4470+2425+1438+815+505+607+85+187+317+218</f>
        <v>19404</v>
      </c>
      <c r="P81" s="190">
        <f t="shared" si="8"/>
        <v>6.60098433312719</v>
      </c>
    </row>
    <row r="82" spans="1:16" s="10" customFormat="1" ht="15">
      <c r="A82" s="34">
        <v>78</v>
      </c>
      <c r="B82" s="35"/>
      <c r="C82" s="167" t="s">
        <v>0</v>
      </c>
      <c r="D82" s="79">
        <v>38786</v>
      </c>
      <c r="E82" s="167" t="s">
        <v>99</v>
      </c>
      <c r="F82" s="167" t="s">
        <v>108</v>
      </c>
      <c r="G82" s="124">
        <v>30</v>
      </c>
      <c r="H82" s="124">
        <v>1</v>
      </c>
      <c r="I82" s="124">
        <v>9</v>
      </c>
      <c r="J82" s="246">
        <v>841</v>
      </c>
      <c r="K82" s="186">
        <v>186</v>
      </c>
      <c r="L82" s="187">
        <f t="shared" si="9"/>
        <v>186</v>
      </c>
      <c r="M82" s="188">
        <f t="shared" si="10"/>
        <v>4.521505376344086</v>
      </c>
      <c r="N82" s="185">
        <f>94630+42901+16809.5+16862+11072+2518+4525+910+841</f>
        <v>191068.5</v>
      </c>
      <c r="O82" s="186">
        <f>12856+5706+2789+3336+2239+567+1047+161+186</f>
        <v>28887</v>
      </c>
      <c r="P82" s="190">
        <f t="shared" si="8"/>
        <v>6.614342091598297</v>
      </c>
    </row>
    <row r="83" spans="1:16" s="10" customFormat="1" ht="15">
      <c r="A83" s="34">
        <v>79</v>
      </c>
      <c r="B83" s="35"/>
      <c r="C83" s="125" t="s">
        <v>215</v>
      </c>
      <c r="D83" s="42">
        <v>38772</v>
      </c>
      <c r="E83" s="125" t="s">
        <v>97</v>
      </c>
      <c r="F83" s="125" t="s">
        <v>110</v>
      </c>
      <c r="G83" s="120">
        <v>62</v>
      </c>
      <c r="H83" s="120">
        <v>3</v>
      </c>
      <c r="I83" s="120">
        <v>11</v>
      </c>
      <c r="J83" s="246">
        <v>785</v>
      </c>
      <c r="K83" s="186">
        <v>114</v>
      </c>
      <c r="L83" s="187">
        <f t="shared" si="9"/>
        <v>38</v>
      </c>
      <c r="M83" s="188">
        <f t="shared" si="10"/>
        <v>6.885964912280702</v>
      </c>
      <c r="N83" s="185">
        <v>820681</v>
      </c>
      <c r="O83" s="186">
        <v>108007</v>
      </c>
      <c r="P83" s="189">
        <f t="shared" si="8"/>
        <v>7.598405658892479</v>
      </c>
    </row>
    <row r="84" spans="1:16" s="10" customFormat="1" ht="15">
      <c r="A84" s="34">
        <v>80</v>
      </c>
      <c r="B84" s="35"/>
      <c r="C84" s="125" t="s">
        <v>26</v>
      </c>
      <c r="D84" s="42">
        <v>38779</v>
      </c>
      <c r="E84" s="169" t="s">
        <v>96</v>
      </c>
      <c r="F84" s="125" t="s">
        <v>104</v>
      </c>
      <c r="G84" s="120">
        <v>96</v>
      </c>
      <c r="H84" s="120">
        <v>1</v>
      </c>
      <c r="I84" s="120">
        <v>8</v>
      </c>
      <c r="J84" s="247">
        <v>769</v>
      </c>
      <c r="K84" s="198">
        <v>127</v>
      </c>
      <c r="L84" s="196">
        <f>K84/H84</f>
        <v>127</v>
      </c>
      <c r="M84" s="199">
        <f>J84/K84</f>
        <v>6.05511811023622</v>
      </c>
      <c r="N84" s="197">
        <f>548794+335797+701.5+148448.5+3571+32617.5+14092-3800+4657-453+614+455+1282.5+769</f>
        <v>1087546</v>
      </c>
      <c r="O84" s="198">
        <f>69211+43223+82+20305+51+6206+3183-272+1252-105+122+156+265+127</f>
        <v>143806</v>
      </c>
      <c r="P84" s="190">
        <f t="shared" si="8"/>
        <v>7.562591268792679</v>
      </c>
    </row>
    <row r="85" spans="1:16" s="10" customFormat="1" ht="15">
      <c r="A85" s="34">
        <v>81</v>
      </c>
      <c r="B85" s="35"/>
      <c r="C85" s="167" t="s">
        <v>216</v>
      </c>
      <c r="D85" s="79">
        <v>38562</v>
      </c>
      <c r="E85" s="170" t="s">
        <v>65</v>
      </c>
      <c r="F85" s="167" t="s">
        <v>217</v>
      </c>
      <c r="G85" s="124">
        <v>17</v>
      </c>
      <c r="H85" s="124">
        <v>1</v>
      </c>
      <c r="I85" s="124">
        <v>18</v>
      </c>
      <c r="J85" s="246">
        <v>714</v>
      </c>
      <c r="K85" s="186">
        <v>238</v>
      </c>
      <c r="L85" s="187">
        <f aca="true" t="shared" si="11" ref="L85:L90">IF(J85&lt;&gt;0,K85/H85,"")</f>
        <v>238</v>
      </c>
      <c r="M85" s="188">
        <f aca="true" t="shared" si="12" ref="M85:M90">IF(J85&lt;&gt;0,J85/K85,"")</f>
        <v>3</v>
      </c>
      <c r="N85" s="185">
        <f>46886+23773.5+13445+15927.5+10251.5+6843+2778+954+709+1175+367+167.5+1068+267+69+196+830+714</f>
        <v>126421</v>
      </c>
      <c r="O85" s="186">
        <f>5784+3021+2132+2749+1971+1476+548+235+132+276+72+47+356+89+23+60+163+238</f>
        <v>19372</v>
      </c>
      <c r="P85" s="190">
        <f t="shared" si="8"/>
        <v>6.525965310757795</v>
      </c>
    </row>
    <row r="86" spans="1:16" s="10" customFormat="1" ht="15">
      <c r="A86" s="34">
        <v>82</v>
      </c>
      <c r="B86" s="35"/>
      <c r="C86" s="167" t="s">
        <v>87</v>
      </c>
      <c r="D86" s="79">
        <v>38723</v>
      </c>
      <c r="E86" s="170" t="s">
        <v>65</v>
      </c>
      <c r="F86" s="167" t="s">
        <v>164</v>
      </c>
      <c r="G86" s="124">
        <v>3</v>
      </c>
      <c r="H86" s="124">
        <v>1</v>
      </c>
      <c r="I86" s="124">
        <v>13</v>
      </c>
      <c r="J86" s="246">
        <v>714</v>
      </c>
      <c r="K86" s="186">
        <v>238</v>
      </c>
      <c r="L86" s="187">
        <f t="shared" si="11"/>
        <v>238</v>
      </c>
      <c r="M86" s="188">
        <f t="shared" si="12"/>
        <v>3</v>
      </c>
      <c r="N86" s="185">
        <f>22570+12751+6691+4543+3462+1141+1389+1484.5+48+38+1782+1068+714</f>
        <v>57681.5</v>
      </c>
      <c r="O86" s="186">
        <f>2787+1607+844+585+460+145+463+399+9+7+594+356+238</f>
        <v>8494</v>
      </c>
      <c r="P86" s="190">
        <f t="shared" si="8"/>
        <v>6.790852366376265</v>
      </c>
    </row>
    <row r="87" spans="1:16" s="10" customFormat="1" ht="15">
      <c r="A87" s="34">
        <v>83</v>
      </c>
      <c r="B87" s="35"/>
      <c r="C87" s="167" t="s">
        <v>218</v>
      </c>
      <c r="D87" s="79">
        <v>38653</v>
      </c>
      <c r="E87" s="170" t="s">
        <v>65</v>
      </c>
      <c r="F87" s="167" t="s">
        <v>219</v>
      </c>
      <c r="G87" s="124">
        <v>3</v>
      </c>
      <c r="H87" s="124">
        <v>1</v>
      </c>
      <c r="I87" s="124">
        <v>14</v>
      </c>
      <c r="J87" s="246">
        <v>714</v>
      </c>
      <c r="K87" s="186">
        <v>238</v>
      </c>
      <c r="L87" s="187">
        <f t="shared" si="11"/>
        <v>238</v>
      </c>
      <c r="M87" s="188">
        <f t="shared" si="12"/>
        <v>3</v>
      </c>
      <c r="N87" s="185">
        <f>5926+2349+928+998.5+1715.5+1513+1545+1425+83+1068+50+21+1662+714</f>
        <v>19998</v>
      </c>
      <c r="O87" s="186">
        <f>734+283+177+162+450+470+515+475+16+356+9+4+554+238</f>
        <v>4443</v>
      </c>
      <c r="P87" s="190">
        <f t="shared" si="8"/>
        <v>4.50101282916948</v>
      </c>
    </row>
    <row r="88" spans="1:16" s="10" customFormat="1" ht="15">
      <c r="A88" s="34">
        <v>84</v>
      </c>
      <c r="B88" s="35"/>
      <c r="C88" s="125" t="s">
        <v>58</v>
      </c>
      <c r="D88" s="42">
        <v>38695</v>
      </c>
      <c r="E88" s="125" t="s">
        <v>97</v>
      </c>
      <c r="F88" s="125" t="s">
        <v>102</v>
      </c>
      <c r="G88" s="120">
        <v>77</v>
      </c>
      <c r="H88" s="120">
        <v>2</v>
      </c>
      <c r="I88" s="120">
        <v>22</v>
      </c>
      <c r="J88" s="249">
        <v>633</v>
      </c>
      <c r="K88" s="186">
        <v>305</v>
      </c>
      <c r="L88" s="187">
        <f t="shared" si="11"/>
        <v>152.5</v>
      </c>
      <c r="M88" s="188">
        <f t="shared" si="12"/>
        <v>2.0754098360655737</v>
      </c>
      <c r="N88" s="191">
        <v>1922354</v>
      </c>
      <c r="O88" s="186">
        <v>280992</v>
      </c>
      <c r="P88" s="189">
        <f t="shared" si="8"/>
        <v>6.8413122081767455</v>
      </c>
    </row>
    <row r="89" spans="1:16" s="10" customFormat="1" ht="15">
      <c r="A89" s="34">
        <v>85</v>
      </c>
      <c r="B89" s="35"/>
      <c r="C89" s="125" t="s">
        <v>220</v>
      </c>
      <c r="D89" s="42">
        <v>36868</v>
      </c>
      <c r="E89" s="125" t="s">
        <v>53</v>
      </c>
      <c r="F89" s="125" t="s">
        <v>53</v>
      </c>
      <c r="G89" s="120">
        <v>61</v>
      </c>
      <c r="H89" s="120">
        <v>1</v>
      </c>
      <c r="I89" s="120">
        <v>42</v>
      </c>
      <c r="J89" s="250">
        <v>522.98</v>
      </c>
      <c r="K89" s="194">
        <v>164</v>
      </c>
      <c r="L89" s="187">
        <f t="shared" si="11"/>
        <v>164</v>
      </c>
      <c r="M89" s="188">
        <f t="shared" si="12"/>
        <v>3.1889024390243903</v>
      </c>
      <c r="N89" s="193">
        <v>18153.18</v>
      </c>
      <c r="O89" s="194">
        <v>8393</v>
      </c>
      <c r="P89" s="190">
        <f t="shared" si="8"/>
        <v>2.162895269867747</v>
      </c>
    </row>
    <row r="90" spans="1:16" s="10" customFormat="1" ht="15">
      <c r="A90" s="34">
        <v>86</v>
      </c>
      <c r="B90" s="35"/>
      <c r="C90" s="167" t="s">
        <v>221</v>
      </c>
      <c r="D90" s="79">
        <v>38723</v>
      </c>
      <c r="E90" s="170" t="s">
        <v>65</v>
      </c>
      <c r="F90" s="167" t="s">
        <v>222</v>
      </c>
      <c r="G90" s="124">
        <v>5</v>
      </c>
      <c r="H90" s="124">
        <v>1</v>
      </c>
      <c r="I90" s="124">
        <v>8</v>
      </c>
      <c r="J90" s="246">
        <v>462</v>
      </c>
      <c r="K90" s="186">
        <v>88</v>
      </c>
      <c r="L90" s="187">
        <f t="shared" si="11"/>
        <v>88</v>
      </c>
      <c r="M90" s="188">
        <f t="shared" si="12"/>
        <v>5.25</v>
      </c>
      <c r="N90" s="185">
        <f>7149+2747+756+1338+270+74+91+462</f>
        <v>12887</v>
      </c>
      <c r="O90" s="186">
        <f>932+357+92+247+90+24+25+88</f>
        <v>1855</v>
      </c>
      <c r="P90" s="190">
        <f t="shared" si="8"/>
        <v>6.947169811320754</v>
      </c>
    </row>
    <row r="91" spans="1:16" s="10" customFormat="1" ht="15">
      <c r="A91" s="34">
        <v>87</v>
      </c>
      <c r="B91" s="35"/>
      <c r="C91" s="125" t="s">
        <v>88</v>
      </c>
      <c r="D91" s="42">
        <v>38765</v>
      </c>
      <c r="E91" s="169" t="s">
        <v>96</v>
      </c>
      <c r="F91" s="125" t="s">
        <v>111</v>
      </c>
      <c r="G91" s="120">
        <v>24</v>
      </c>
      <c r="H91" s="120">
        <v>2</v>
      </c>
      <c r="I91" s="120">
        <v>10</v>
      </c>
      <c r="J91" s="247">
        <v>300</v>
      </c>
      <c r="K91" s="198">
        <v>34</v>
      </c>
      <c r="L91" s="196">
        <f>K91/H91</f>
        <v>17</v>
      </c>
      <c r="M91" s="199">
        <f>J91/K91</f>
        <v>8.823529411764707</v>
      </c>
      <c r="N91" s="197">
        <f>233855.5+204363.5+128310.5+63025+34881+574.5+33654+11641+7934+7483+300</f>
        <v>726022</v>
      </c>
      <c r="O91" s="198">
        <f>23969+21050+14093+7549+5203+51+5592+2578+1510+1129+34</f>
        <v>82758</v>
      </c>
      <c r="P91" s="190">
        <f t="shared" si="8"/>
        <v>8.772831629570556</v>
      </c>
    </row>
    <row r="92" spans="1:16" s="10" customFormat="1" ht="15">
      <c r="A92" s="34">
        <v>88</v>
      </c>
      <c r="B92" s="35"/>
      <c r="C92" s="167" t="s">
        <v>34</v>
      </c>
      <c r="D92" s="79">
        <v>38758</v>
      </c>
      <c r="E92" s="167" t="s">
        <v>99</v>
      </c>
      <c r="F92" s="167" t="s">
        <v>100</v>
      </c>
      <c r="G92" s="124">
        <v>10</v>
      </c>
      <c r="H92" s="124">
        <v>1</v>
      </c>
      <c r="I92" s="124">
        <v>11</v>
      </c>
      <c r="J92" s="246">
        <v>265</v>
      </c>
      <c r="K92" s="186">
        <v>28</v>
      </c>
      <c r="L92" s="187">
        <f aca="true" t="shared" si="13" ref="L92:L99">IF(J92&lt;&gt;0,K92/H92,"")</f>
        <v>28</v>
      </c>
      <c r="M92" s="188">
        <f aca="true" t="shared" si="14" ref="M92:M99">IF(J92&lt;&gt;0,J92/K92,"")</f>
        <v>9.464285714285714</v>
      </c>
      <c r="N92" s="185">
        <f>43085.5+25538.5+13529.5+10266+5793+7370.5+3427.5+2770+873+285+265</f>
        <v>113203.5</v>
      </c>
      <c r="O92" s="186">
        <f>4921+3009+1674+2167+814+1163+450+1256+176+30+28</f>
        <v>15688</v>
      </c>
      <c r="P92" s="189">
        <f t="shared" si="8"/>
        <v>7.215929372768995</v>
      </c>
    </row>
    <row r="93" spans="1:16" s="10" customFormat="1" ht="15">
      <c r="A93" s="34">
        <v>89</v>
      </c>
      <c r="B93" s="35"/>
      <c r="C93" s="125" t="s">
        <v>83</v>
      </c>
      <c r="D93" s="42">
        <v>38793</v>
      </c>
      <c r="E93" s="125" t="s">
        <v>71</v>
      </c>
      <c r="F93" s="125" t="s">
        <v>108</v>
      </c>
      <c r="G93" s="120">
        <v>71</v>
      </c>
      <c r="H93" s="120">
        <v>1</v>
      </c>
      <c r="I93" s="120">
        <v>8</v>
      </c>
      <c r="J93" s="248">
        <v>209.5</v>
      </c>
      <c r="K93" s="196">
        <v>69</v>
      </c>
      <c r="L93" s="187">
        <f t="shared" si="13"/>
        <v>69</v>
      </c>
      <c r="M93" s="188">
        <f t="shared" si="14"/>
        <v>3.036231884057971</v>
      </c>
      <c r="N93" s="195">
        <f>139188.5+65126.5+15320+6439+3617+3772+4116+209.5</f>
        <v>237788.5</v>
      </c>
      <c r="O93" s="186">
        <f>20151+10232+2945+1343+1021+739+717+69</f>
        <v>37217</v>
      </c>
      <c r="P93" s="190">
        <f t="shared" si="8"/>
        <v>6.389244162613859</v>
      </c>
    </row>
    <row r="94" spans="1:16" s="10" customFormat="1" ht="15">
      <c r="A94" s="34">
        <v>90</v>
      </c>
      <c r="B94" s="35"/>
      <c r="C94" s="167" t="s">
        <v>223</v>
      </c>
      <c r="D94" s="79">
        <v>38499</v>
      </c>
      <c r="E94" s="170" t="s">
        <v>65</v>
      </c>
      <c r="F94" s="167" t="s">
        <v>167</v>
      </c>
      <c r="G94" s="124">
        <v>4</v>
      </c>
      <c r="H94" s="124">
        <v>2</v>
      </c>
      <c r="I94" s="124">
        <v>25</v>
      </c>
      <c r="J94" s="246">
        <v>202</v>
      </c>
      <c r="K94" s="186">
        <v>59</v>
      </c>
      <c r="L94" s="187">
        <f t="shared" si="13"/>
        <v>29.5</v>
      </c>
      <c r="M94" s="188">
        <f t="shared" si="14"/>
        <v>3.4237288135593222</v>
      </c>
      <c r="N94" s="185">
        <f>22778+10601+8594+4583+9364.5+3598+6225.5+6523+4933.5+4428+3825.5+3189+3765.5+5757.5+4033+4106+4021+2190+1121.5+3123+2905+177+1545+831+202</f>
        <v>122420.5</v>
      </c>
      <c r="O94" s="186">
        <f>2789+1727+1388+680+1807+625+989+1020+889+910+721+589+638+984+701+821+834+332+182+881+915+58+515+277+59</f>
        <v>21331</v>
      </c>
      <c r="P94" s="189">
        <f t="shared" si="8"/>
        <v>5.739088650321129</v>
      </c>
    </row>
    <row r="95" spans="1:16" s="10" customFormat="1" ht="15">
      <c r="A95" s="34">
        <v>91</v>
      </c>
      <c r="B95" s="35"/>
      <c r="C95" s="167" t="s">
        <v>143</v>
      </c>
      <c r="D95" s="79">
        <v>38772</v>
      </c>
      <c r="E95" s="167" t="s">
        <v>99</v>
      </c>
      <c r="F95" s="167" t="s">
        <v>100</v>
      </c>
      <c r="G95" s="124">
        <v>49</v>
      </c>
      <c r="H95" s="124">
        <v>1</v>
      </c>
      <c r="I95" s="124">
        <v>11</v>
      </c>
      <c r="J95" s="246">
        <v>173</v>
      </c>
      <c r="K95" s="186">
        <v>43</v>
      </c>
      <c r="L95" s="187">
        <f t="shared" si="13"/>
        <v>43</v>
      </c>
      <c r="M95" s="188">
        <f t="shared" si="14"/>
        <v>4.023255813953488</v>
      </c>
      <c r="N95" s="185">
        <f>151711.5+80204.5+40498+22773.5+10013.5+8954+2475+789.5+1863+538.5+173</f>
        <v>319994</v>
      </c>
      <c r="O95" s="186">
        <f>20342+10373+5841+6919+2082+2313+566+196+713+99+43</f>
        <v>49487</v>
      </c>
      <c r="P95" s="190">
        <f t="shared" si="8"/>
        <v>6.466223452623922</v>
      </c>
    </row>
    <row r="96" spans="1:16" s="10" customFormat="1" ht="15">
      <c r="A96" s="34">
        <v>92</v>
      </c>
      <c r="B96" s="35"/>
      <c r="C96" s="167" t="s">
        <v>224</v>
      </c>
      <c r="D96" s="79">
        <v>38520</v>
      </c>
      <c r="E96" s="170" t="s">
        <v>65</v>
      </c>
      <c r="F96" s="167" t="s">
        <v>167</v>
      </c>
      <c r="G96" s="124">
        <v>2</v>
      </c>
      <c r="H96" s="124">
        <v>1</v>
      </c>
      <c r="I96" s="124">
        <v>20</v>
      </c>
      <c r="J96" s="246">
        <v>162</v>
      </c>
      <c r="K96" s="186">
        <v>54</v>
      </c>
      <c r="L96" s="187">
        <f t="shared" si="13"/>
        <v>54</v>
      </c>
      <c r="M96" s="188">
        <f t="shared" si="14"/>
        <v>3</v>
      </c>
      <c r="N96" s="185">
        <f>11460+4486+1917+5649+1921+4419.5+2697.5+3893+2316+2457.5+1307+659.5+1738+1545+458+951+2376+246.5+211+162</f>
        <v>50870.5</v>
      </c>
      <c r="O96" s="186">
        <f>1398+789+237+833+250+754+477+600+452+378+243+147+330+455+70+317+792+80+35+54</f>
        <v>8691</v>
      </c>
      <c r="P96" s="189">
        <f t="shared" si="8"/>
        <v>5.853238982855828</v>
      </c>
    </row>
    <row r="97" spans="1:16" s="10" customFormat="1" ht="15">
      <c r="A97" s="34">
        <v>93</v>
      </c>
      <c r="B97" s="35"/>
      <c r="C97" s="125" t="s">
        <v>225</v>
      </c>
      <c r="D97" s="42">
        <v>38730</v>
      </c>
      <c r="E97" s="125" t="s">
        <v>97</v>
      </c>
      <c r="F97" s="125" t="s">
        <v>102</v>
      </c>
      <c r="G97" s="120">
        <v>116</v>
      </c>
      <c r="H97" s="120">
        <v>1</v>
      </c>
      <c r="I97" s="120">
        <v>17</v>
      </c>
      <c r="J97" s="249">
        <v>152</v>
      </c>
      <c r="K97" s="186">
        <v>30</v>
      </c>
      <c r="L97" s="187">
        <f t="shared" si="13"/>
        <v>30</v>
      </c>
      <c r="M97" s="188">
        <f t="shared" si="14"/>
        <v>5.066666666666666</v>
      </c>
      <c r="N97" s="191">
        <v>3274893</v>
      </c>
      <c r="O97" s="186">
        <v>466142</v>
      </c>
      <c r="P97" s="190">
        <f t="shared" si="8"/>
        <v>7.025526556285424</v>
      </c>
    </row>
    <row r="98" spans="1:16" s="10" customFormat="1" ht="15">
      <c r="A98" s="34">
        <v>94</v>
      </c>
      <c r="B98" s="35"/>
      <c r="C98" s="125" t="s">
        <v>169</v>
      </c>
      <c r="D98" s="42">
        <v>38653</v>
      </c>
      <c r="E98" s="125" t="s">
        <v>97</v>
      </c>
      <c r="F98" s="125" t="s">
        <v>124</v>
      </c>
      <c r="G98" s="120">
        <v>92</v>
      </c>
      <c r="H98" s="120">
        <v>1</v>
      </c>
      <c r="I98" s="120">
        <v>28</v>
      </c>
      <c r="J98" s="249">
        <v>72</v>
      </c>
      <c r="K98" s="186">
        <v>12</v>
      </c>
      <c r="L98" s="187">
        <f t="shared" si="13"/>
        <v>12</v>
      </c>
      <c r="M98" s="188">
        <f t="shared" si="14"/>
        <v>6</v>
      </c>
      <c r="N98" s="191">
        <v>1039809</v>
      </c>
      <c r="O98" s="186">
        <v>151478</v>
      </c>
      <c r="P98" s="190">
        <f t="shared" si="8"/>
        <v>6.864422556410832</v>
      </c>
    </row>
    <row r="99" spans="1:16" s="10" customFormat="1" ht="15">
      <c r="A99" s="34">
        <v>95</v>
      </c>
      <c r="B99" s="35"/>
      <c r="C99" s="167" t="s">
        <v>226</v>
      </c>
      <c r="D99" s="79">
        <v>38436</v>
      </c>
      <c r="E99" s="167" t="s">
        <v>99</v>
      </c>
      <c r="F99" s="167" t="s">
        <v>100</v>
      </c>
      <c r="G99" s="124">
        <v>70</v>
      </c>
      <c r="H99" s="124">
        <v>1</v>
      </c>
      <c r="I99" s="124">
        <v>41</v>
      </c>
      <c r="J99" s="246">
        <v>64</v>
      </c>
      <c r="K99" s="186">
        <v>10</v>
      </c>
      <c r="L99" s="187">
        <f t="shared" si="13"/>
        <v>10</v>
      </c>
      <c r="M99" s="188">
        <f t="shared" si="14"/>
        <v>6.4</v>
      </c>
      <c r="N99" s="185">
        <f>289757+159405+88845+36465+38912+15196+7585+2765+500+2257+343+402+40+63+154+1395+123+1342+200+1329+288+718+423+1014+102+36+380+486+876+252+220+355+16+40+806+102+806+24+1511+39+148+64</f>
        <v>655784</v>
      </c>
      <c r="O99" s="186">
        <f>44660+22722+13621+7540+9496+3288+1744+550+102+637+69+8+102+11+29+636+24+84+388+56+317+36+150+77+263+17+6+87+81+205+42+37+53+2+5+403+17+403+4+756+6+24+10</f>
        <v>108768</v>
      </c>
      <c r="P99" s="190">
        <f t="shared" si="8"/>
        <v>6.029199764636658</v>
      </c>
    </row>
    <row r="100" spans="1:16" s="10" customFormat="1" ht="15">
      <c r="A100" s="34">
        <v>96</v>
      </c>
      <c r="B100" s="35"/>
      <c r="C100" s="125" t="s">
        <v>30</v>
      </c>
      <c r="D100" s="42">
        <v>38730</v>
      </c>
      <c r="E100" s="169" t="s">
        <v>96</v>
      </c>
      <c r="F100" s="125" t="s">
        <v>49</v>
      </c>
      <c r="G100" s="120">
        <v>62</v>
      </c>
      <c r="H100" s="120">
        <v>1</v>
      </c>
      <c r="I100" s="120">
        <v>16</v>
      </c>
      <c r="J100" s="247">
        <v>59</v>
      </c>
      <c r="K100" s="198">
        <v>9</v>
      </c>
      <c r="L100" s="196">
        <f>K100/H100</f>
        <v>9</v>
      </c>
      <c r="M100" s="199">
        <f>J100/K100</f>
        <v>6.555555555555555</v>
      </c>
      <c r="N100" s="197">
        <f>620634.5+342052.5+188118+10733+4394+3499+5130.5+267+2707.5+1265.5+1567+387+1177+148+551+59</f>
        <v>1182690.5</v>
      </c>
      <c r="O100" s="198">
        <f>71532+39787+22209+1403+667+665+1174+78+545+187+307+74+286+21+88+9</f>
        <v>139032</v>
      </c>
      <c r="P100" s="190">
        <f t="shared" si="8"/>
        <v>8.506606392772888</v>
      </c>
    </row>
    <row r="101" spans="1:16" s="10" customFormat="1" ht="15.75" thickBot="1">
      <c r="A101" s="34">
        <v>97</v>
      </c>
      <c r="B101" s="117"/>
      <c r="C101" s="172" t="s">
        <v>153</v>
      </c>
      <c r="D101" s="121">
        <v>38499</v>
      </c>
      <c r="E101" s="172" t="s">
        <v>97</v>
      </c>
      <c r="F101" s="172" t="s">
        <v>124</v>
      </c>
      <c r="G101" s="122">
        <v>106</v>
      </c>
      <c r="H101" s="122">
        <v>1</v>
      </c>
      <c r="I101" s="122">
        <v>48</v>
      </c>
      <c r="J101" s="251">
        <v>12</v>
      </c>
      <c r="K101" s="202">
        <v>2</v>
      </c>
      <c r="L101" s="203">
        <f>IF(J101&lt;&gt;0,K101/H101,"")</f>
        <v>2</v>
      </c>
      <c r="M101" s="204">
        <f>IF(J101&lt;&gt;0,J101/K101,"")</f>
        <v>6</v>
      </c>
      <c r="N101" s="201">
        <v>1514869</v>
      </c>
      <c r="O101" s="202">
        <v>235887</v>
      </c>
      <c r="P101" s="205">
        <f>+N101/O101</f>
        <v>6.42201138680809</v>
      </c>
    </row>
    <row r="102" spans="1:16" s="70" customFormat="1" ht="15">
      <c r="A102" s="52"/>
      <c r="B102" s="97"/>
      <c r="C102" s="98" t="s">
        <v>73</v>
      </c>
      <c r="D102" s="99"/>
      <c r="E102" s="98" t="s">
        <v>227</v>
      </c>
      <c r="F102" s="98"/>
      <c r="G102" s="100"/>
      <c r="H102" s="101">
        <f>SUM(H5:H101)</f>
        <v>1225</v>
      </c>
      <c r="I102" s="100"/>
      <c r="J102" s="102">
        <f>SUM(J5:J101)</f>
        <v>3496215.23</v>
      </c>
      <c r="K102" s="103">
        <f>SUM(K5:K101)</f>
        <v>513253.6666666666</v>
      </c>
      <c r="L102" s="103">
        <f>K102/H102</f>
        <v>418.9825850340136</v>
      </c>
      <c r="M102" s="174">
        <f>J102/K102</f>
        <v>6.811866055835939</v>
      </c>
      <c r="N102" s="102"/>
      <c r="O102" s="103"/>
      <c r="P102" s="152"/>
    </row>
    <row r="103" spans="1:16" s="70" customFormat="1" ht="15">
      <c r="A103" s="52"/>
      <c r="B103" s="110"/>
      <c r="C103" s="104" t="s">
        <v>72</v>
      </c>
      <c r="D103" s="105"/>
      <c r="E103" s="104" t="s">
        <v>171</v>
      </c>
      <c r="F103" s="104"/>
      <c r="G103" s="106"/>
      <c r="H103" s="107">
        <v>1332</v>
      </c>
      <c r="I103" s="106"/>
      <c r="J103" s="108">
        <v>3325889.5</v>
      </c>
      <c r="K103" s="109">
        <v>486771</v>
      </c>
      <c r="L103" s="109">
        <v>365</v>
      </c>
      <c r="M103" s="175">
        <f>J103/K103</f>
        <v>6.832554733129131</v>
      </c>
      <c r="N103" s="108"/>
      <c r="O103" s="109"/>
      <c r="P103" s="153"/>
    </row>
    <row r="104" spans="1:16" s="70" customFormat="1" ht="15.75" thickBot="1">
      <c r="A104" s="52"/>
      <c r="B104" s="75"/>
      <c r="C104" s="78" t="s">
        <v>131</v>
      </c>
      <c r="D104" s="80"/>
      <c r="E104" s="78" t="s">
        <v>228</v>
      </c>
      <c r="F104" s="78"/>
      <c r="G104" s="76"/>
      <c r="H104" s="77">
        <v>1165</v>
      </c>
      <c r="I104" s="76"/>
      <c r="J104" s="83">
        <v>2576007.25</v>
      </c>
      <c r="K104" s="88">
        <v>401233</v>
      </c>
      <c r="L104" s="88">
        <f>K104/H104</f>
        <v>344.406008583691</v>
      </c>
      <c r="M104" s="176">
        <f>J104/K104</f>
        <v>6.420227772890066</v>
      </c>
      <c r="N104" s="83"/>
      <c r="O104" s="88"/>
      <c r="P104" s="154"/>
    </row>
    <row r="105" spans="1:17" s="10" customFormat="1" ht="14.25" thickBot="1">
      <c r="A105" s="13"/>
      <c r="B105" s="9"/>
      <c r="D105" s="44"/>
      <c r="E105" s="73"/>
      <c r="F105" s="73"/>
      <c r="G105" s="11"/>
      <c r="H105" s="11"/>
      <c r="I105" s="11"/>
      <c r="J105" s="127"/>
      <c r="K105" s="94"/>
      <c r="L105" s="89"/>
      <c r="M105" s="89"/>
      <c r="N105" s="12"/>
      <c r="O105" s="85"/>
      <c r="P105" s="155"/>
      <c r="Q105" s="12"/>
    </row>
    <row r="106" spans="1:17" s="10" customFormat="1" ht="13.5" customHeight="1">
      <c r="A106" s="13"/>
      <c r="B106" s="9"/>
      <c r="C106" s="307" t="s">
        <v>75</v>
      </c>
      <c r="D106" s="308"/>
      <c r="E106" s="299" t="s">
        <v>8</v>
      </c>
      <c r="F106" s="300"/>
      <c r="G106" s="301"/>
      <c r="H106" s="111"/>
      <c r="I106" s="11"/>
      <c r="J106" s="127"/>
      <c r="K106" s="94"/>
      <c r="L106" s="311" t="s">
        <v>67</v>
      </c>
      <c r="M106" s="311"/>
      <c r="N106" s="311"/>
      <c r="O106" s="311"/>
      <c r="P106" s="311"/>
      <c r="Q106" s="112"/>
    </row>
    <row r="107" spans="1:16" s="10" customFormat="1" ht="14.25" thickBot="1">
      <c r="A107" s="13"/>
      <c r="B107" s="9"/>
      <c r="C107" s="309"/>
      <c r="D107" s="310"/>
      <c r="E107" s="22" t="s">
        <v>230</v>
      </c>
      <c r="F107" s="24" t="s">
        <v>9</v>
      </c>
      <c r="G107" s="25" t="s">
        <v>10</v>
      </c>
      <c r="H107" s="11"/>
      <c r="I107" s="130"/>
      <c r="J107" s="128"/>
      <c r="K107" s="89"/>
      <c r="L107" s="311"/>
      <c r="M107" s="311"/>
      <c r="N107" s="311"/>
      <c r="O107" s="311"/>
      <c r="P107" s="311"/>
    </row>
    <row r="108" spans="1:16" s="10" customFormat="1" ht="13.5">
      <c r="A108" s="13"/>
      <c r="B108" s="9"/>
      <c r="C108" s="23" t="s">
        <v>47</v>
      </c>
      <c r="D108" s="71" t="s">
        <v>229</v>
      </c>
      <c r="E108" s="30" t="s">
        <v>12</v>
      </c>
      <c r="F108" s="20">
        <v>1.3545</v>
      </c>
      <c r="G108" s="21">
        <v>1.3611</v>
      </c>
      <c r="H108" s="11"/>
      <c r="I108" s="130"/>
      <c r="J108" s="128"/>
      <c r="K108" s="89"/>
      <c r="L108" s="311"/>
      <c r="M108" s="311"/>
      <c r="N108" s="311"/>
      <c r="O108" s="311"/>
      <c r="P108" s="311"/>
    </row>
    <row r="109" spans="1:11" s="10" customFormat="1" ht="13.5">
      <c r="A109" s="13"/>
      <c r="B109" s="9"/>
      <c r="C109" s="17" t="s">
        <v>48</v>
      </c>
      <c r="D109" s="36">
        <f>K5+K13+K15</f>
        <v>211361</v>
      </c>
      <c r="E109" s="31" t="s">
        <v>13</v>
      </c>
      <c r="F109" s="14">
        <v>1.7228</v>
      </c>
      <c r="G109" s="15">
        <v>1.7311</v>
      </c>
      <c r="H109" s="11"/>
      <c r="I109" s="130"/>
      <c r="J109" s="128"/>
      <c r="K109" s="89"/>
    </row>
    <row r="110" spans="1:11" s="10" customFormat="1" ht="13.5">
      <c r="A110" s="13"/>
      <c r="B110" s="9"/>
      <c r="C110" s="17"/>
      <c r="D110" s="81"/>
      <c r="E110" s="31" t="s">
        <v>14</v>
      </c>
      <c r="F110" s="14">
        <v>2.5215</v>
      </c>
      <c r="G110" s="15">
        <v>2.5347</v>
      </c>
      <c r="H110" s="11"/>
      <c r="I110" s="130"/>
      <c r="J110" s="128"/>
      <c r="K110" s="89"/>
    </row>
    <row r="111" spans="1:11" s="10" customFormat="1" ht="13.5">
      <c r="A111" s="13"/>
      <c r="B111" s="9"/>
      <c r="C111" s="17"/>
      <c r="D111" s="81"/>
      <c r="E111" s="31" t="s">
        <v>15</v>
      </c>
      <c r="F111" s="14">
        <v>1.1021</v>
      </c>
      <c r="G111" s="15">
        <v>1.1091</v>
      </c>
      <c r="H111" s="11"/>
      <c r="I111" s="130"/>
      <c r="J111" s="128"/>
      <c r="K111" s="89"/>
    </row>
    <row r="112" spans="1:16" s="10" customFormat="1" ht="14.25" thickBot="1">
      <c r="A112" s="13"/>
      <c r="B112" s="9"/>
      <c r="C112" s="18"/>
      <c r="D112" s="82"/>
      <c r="E112" s="32"/>
      <c r="F112" s="19"/>
      <c r="G112" s="16"/>
      <c r="H112" s="11"/>
      <c r="I112" s="130"/>
      <c r="J112" s="128"/>
      <c r="K112" s="89"/>
      <c r="L112" s="89"/>
      <c r="M112" s="92"/>
      <c r="N112" s="85"/>
      <c r="O112" s="89"/>
      <c r="P112" s="156"/>
    </row>
    <row r="113" spans="1:16" s="10" customFormat="1" ht="14.25" thickBot="1">
      <c r="A113" s="13"/>
      <c r="B113" s="9"/>
      <c r="D113" s="44"/>
      <c r="E113" s="73"/>
      <c r="F113" s="73"/>
      <c r="G113" s="11"/>
      <c r="H113" s="11"/>
      <c r="I113" s="11"/>
      <c r="J113" s="128"/>
      <c r="K113" s="89"/>
      <c r="L113" s="89"/>
      <c r="M113" s="92"/>
      <c r="N113" s="85"/>
      <c r="O113" s="89"/>
      <c r="P113" s="156"/>
    </row>
    <row r="114" spans="1:16" s="222" customFormat="1" ht="21.75" customHeight="1">
      <c r="A114" s="212"/>
      <c r="B114" s="213"/>
      <c r="C114" s="214" t="s">
        <v>74</v>
      </c>
      <c r="D114" s="302" t="s">
        <v>5</v>
      </c>
      <c r="E114" s="303"/>
      <c r="F114" s="303"/>
      <c r="G114" s="304"/>
      <c r="H114" s="215"/>
      <c r="I114" s="216"/>
      <c r="J114" s="217"/>
      <c r="K114" s="218"/>
      <c r="L114" s="218"/>
      <c r="M114" s="219"/>
      <c r="N114" s="220"/>
      <c r="O114" s="218"/>
      <c r="P114" s="221"/>
    </row>
    <row r="115" spans="1:16" s="222" customFormat="1" ht="15.75" thickBot="1">
      <c r="A115" s="212"/>
      <c r="B115" s="213"/>
      <c r="C115" s="223"/>
      <c r="D115" s="224" t="s">
        <v>6</v>
      </c>
      <c r="E115" s="225" t="s">
        <v>21</v>
      </c>
      <c r="F115" s="225" t="s">
        <v>7</v>
      </c>
      <c r="G115" s="226" t="s">
        <v>11</v>
      </c>
      <c r="H115" s="216"/>
      <c r="I115" s="227"/>
      <c r="J115" s="228"/>
      <c r="K115" s="218"/>
      <c r="L115" s="219"/>
      <c r="M115" s="229"/>
      <c r="N115" s="218"/>
      <c r="O115" s="219"/>
      <c r="P115" s="230"/>
    </row>
    <row r="116" spans="1:16" s="222" customFormat="1" ht="15">
      <c r="A116" s="34">
        <v>1</v>
      </c>
      <c r="B116" s="213"/>
      <c r="C116" s="231" t="s">
        <v>51</v>
      </c>
      <c r="D116" s="232">
        <v>16</v>
      </c>
      <c r="E116" s="233">
        <v>1935986</v>
      </c>
      <c r="F116" s="234">
        <v>254171</v>
      </c>
      <c r="G116" s="235">
        <f aca="true" t="shared" si="15" ref="G116:G126">E116/F116</f>
        <v>7.616864237068745</v>
      </c>
      <c r="H116" s="216"/>
      <c r="I116" s="227"/>
      <c r="J116" s="228"/>
      <c r="K116" s="218"/>
      <c r="L116" s="219"/>
      <c r="M116" s="229"/>
      <c r="N116" s="218"/>
      <c r="O116" s="219"/>
      <c r="P116" s="230"/>
    </row>
    <row r="117" spans="1:16" s="222" customFormat="1" ht="15">
      <c r="A117" s="34">
        <v>2</v>
      </c>
      <c r="B117" s="213"/>
      <c r="C117" s="236" t="s">
        <v>50</v>
      </c>
      <c r="D117" s="237">
        <v>17</v>
      </c>
      <c r="E117" s="238">
        <v>1090563</v>
      </c>
      <c r="F117" s="239">
        <v>173022</v>
      </c>
      <c r="G117" s="240">
        <f t="shared" si="15"/>
        <v>6.303030828449561</v>
      </c>
      <c r="H117" s="216"/>
      <c r="I117" s="227"/>
      <c r="J117" s="228"/>
      <c r="K117" s="218"/>
      <c r="L117" s="219"/>
      <c r="M117" s="229"/>
      <c r="N117" s="218"/>
      <c r="O117" s="219"/>
      <c r="P117" s="230"/>
    </row>
    <row r="118" spans="1:16" s="222" customFormat="1" ht="15">
      <c r="A118" s="34">
        <v>3</v>
      </c>
      <c r="B118" s="213"/>
      <c r="C118" s="236" t="s">
        <v>49</v>
      </c>
      <c r="D118" s="237">
        <v>19</v>
      </c>
      <c r="E118" s="238">
        <v>309770</v>
      </c>
      <c r="F118" s="239">
        <v>46542</v>
      </c>
      <c r="G118" s="240">
        <f t="shared" si="15"/>
        <v>6.655708822139143</v>
      </c>
      <c r="H118" s="216"/>
      <c r="I118" s="227"/>
      <c r="J118" s="228"/>
      <c r="K118" s="218"/>
      <c r="L118" s="219"/>
      <c r="M118" s="229"/>
      <c r="N118" s="218"/>
      <c r="O118" s="219"/>
      <c r="P118" s="230"/>
    </row>
    <row r="119" spans="1:16" s="222" customFormat="1" ht="15">
      <c r="A119" s="34">
        <v>4</v>
      </c>
      <c r="B119" s="213"/>
      <c r="C119" s="236" t="s">
        <v>132</v>
      </c>
      <c r="D119" s="237">
        <v>2</v>
      </c>
      <c r="E119" s="238">
        <v>40684</v>
      </c>
      <c r="F119" s="239">
        <v>8362</v>
      </c>
      <c r="G119" s="240">
        <f t="shared" si="15"/>
        <v>4.865343219325521</v>
      </c>
      <c r="H119" s="216"/>
      <c r="I119" s="227"/>
      <c r="J119" s="228"/>
      <c r="K119" s="218"/>
      <c r="L119" s="219"/>
      <c r="M119" s="229"/>
      <c r="N119" s="218"/>
      <c r="O119" s="219"/>
      <c r="P119" s="230"/>
    </row>
    <row r="120" spans="1:16" s="222" customFormat="1" ht="15">
      <c r="A120" s="34">
        <v>5</v>
      </c>
      <c r="B120" s="213"/>
      <c r="C120" s="236" t="s">
        <v>71</v>
      </c>
      <c r="D120" s="237">
        <v>6</v>
      </c>
      <c r="E120" s="238">
        <v>32511</v>
      </c>
      <c r="F120" s="239">
        <v>8205</v>
      </c>
      <c r="G120" s="240">
        <f t="shared" si="15"/>
        <v>3.9623400365630714</v>
      </c>
      <c r="H120" s="216"/>
      <c r="I120" s="227"/>
      <c r="J120" s="228"/>
      <c r="K120" s="218"/>
      <c r="L120" s="219"/>
      <c r="M120" s="229"/>
      <c r="N120" s="218"/>
      <c r="O120" s="219"/>
      <c r="P120" s="230"/>
    </row>
    <row r="121" spans="1:16" s="222" customFormat="1" ht="15">
      <c r="A121" s="34">
        <v>6</v>
      </c>
      <c r="B121" s="213"/>
      <c r="C121" s="236" t="s">
        <v>65</v>
      </c>
      <c r="D121" s="237">
        <v>16</v>
      </c>
      <c r="E121" s="238">
        <v>29868.5</v>
      </c>
      <c r="F121" s="239">
        <v>7589</v>
      </c>
      <c r="G121" s="240">
        <f t="shared" si="15"/>
        <v>3.9357622875214124</v>
      </c>
      <c r="H121" s="216"/>
      <c r="I121" s="227"/>
      <c r="J121" s="228"/>
      <c r="K121" s="218"/>
      <c r="L121" s="219"/>
      <c r="M121" s="229"/>
      <c r="N121" s="218"/>
      <c r="O121" s="219"/>
      <c r="P121" s="230"/>
    </row>
    <row r="122" spans="1:16" s="222" customFormat="1" ht="15">
      <c r="A122" s="34">
        <v>7</v>
      </c>
      <c r="B122" s="213"/>
      <c r="C122" s="236" t="s">
        <v>170</v>
      </c>
      <c r="D122" s="237">
        <v>5</v>
      </c>
      <c r="E122" s="238">
        <v>18412</v>
      </c>
      <c r="F122" s="239">
        <v>2748</v>
      </c>
      <c r="G122" s="240">
        <f t="shared" si="15"/>
        <v>6.700145560407569</v>
      </c>
      <c r="H122" s="216"/>
      <c r="I122" s="227"/>
      <c r="J122" s="228"/>
      <c r="K122" s="218"/>
      <c r="L122" s="219"/>
      <c r="M122" s="229"/>
      <c r="N122" s="218"/>
      <c r="O122" s="219"/>
      <c r="P122" s="230"/>
    </row>
    <row r="123" spans="1:16" s="222" customFormat="1" ht="15">
      <c r="A123" s="34">
        <v>8</v>
      </c>
      <c r="B123" s="213"/>
      <c r="C123" s="236" t="s">
        <v>52</v>
      </c>
      <c r="D123" s="237">
        <v>5</v>
      </c>
      <c r="E123" s="238">
        <v>14899.5</v>
      </c>
      <c r="F123" s="239">
        <v>6946</v>
      </c>
      <c r="G123" s="240">
        <f t="shared" si="15"/>
        <v>2.145047509357904</v>
      </c>
      <c r="H123" s="216"/>
      <c r="I123" s="227"/>
      <c r="J123" s="228"/>
      <c r="K123" s="218"/>
      <c r="L123" s="219"/>
      <c r="M123" s="229"/>
      <c r="N123" s="218"/>
      <c r="O123" s="219"/>
      <c r="P123" s="230"/>
    </row>
    <row r="124" spans="1:16" s="222" customFormat="1" ht="15">
      <c r="A124" s="34">
        <v>9</v>
      </c>
      <c r="B124" s="213"/>
      <c r="C124" s="236" t="s">
        <v>53</v>
      </c>
      <c r="D124" s="237">
        <v>3</v>
      </c>
      <c r="E124" s="238">
        <v>8897.23</v>
      </c>
      <c r="F124" s="239">
        <v>2172</v>
      </c>
      <c r="G124" s="240">
        <f t="shared" si="15"/>
        <v>4.096330570902394</v>
      </c>
      <c r="H124" s="216"/>
      <c r="I124" s="227"/>
      <c r="J124" s="228"/>
      <c r="K124" s="218"/>
      <c r="L124" s="219"/>
      <c r="M124" s="229"/>
      <c r="N124" s="218"/>
      <c r="O124" s="219"/>
      <c r="P124" s="230"/>
    </row>
    <row r="125" spans="1:16" s="222" customFormat="1" ht="15">
      <c r="A125" s="34">
        <v>10</v>
      </c>
      <c r="B125" s="213"/>
      <c r="C125" s="236" t="s">
        <v>54</v>
      </c>
      <c r="D125" s="237">
        <v>3</v>
      </c>
      <c r="E125" s="238">
        <v>8724</v>
      </c>
      <c r="F125" s="239">
        <v>1795</v>
      </c>
      <c r="G125" s="240">
        <f t="shared" si="15"/>
        <v>4.86016713091922</v>
      </c>
      <c r="H125" s="216"/>
      <c r="I125" s="227"/>
      <c r="J125" s="228"/>
      <c r="K125" s="218"/>
      <c r="L125" s="219"/>
      <c r="M125" s="229"/>
      <c r="N125" s="218"/>
      <c r="O125" s="219"/>
      <c r="P125" s="230"/>
    </row>
    <row r="126" spans="1:16" s="222" customFormat="1" ht="15">
      <c r="A126" s="34">
        <v>11</v>
      </c>
      <c r="B126" s="213"/>
      <c r="C126" s="236" t="s">
        <v>208</v>
      </c>
      <c r="D126" s="237">
        <v>5</v>
      </c>
      <c r="E126" s="238">
        <v>5900</v>
      </c>
      <c r="F126" s="239">
        <v>1702</v>
      </c>
      <c r="G126" s="240">
        <f t="shared" si="15"/>
        <v>3.466509988249119</v>
      </c>
      <c r="H126" s="216"/>
      <c r="I126" s="227"/>
      <c r="J126" s="228"/>
      <c r="K126" s="218"/>
      <c r="L126" s="219"/>
      <c r="M126" s="229"/>
      <c r="N126" s="218"/>
      <c r="O126" s="219"/>
      <c r="P126" s="230"/>
    </row>
    <row r="127" spans="1:16" s="222" customFormat="1" ht="15">
      <c r="A127" s="34"/>
      <c r="B127" s="213"/>
      <c r="C127" s="236"/>
      <c r="D127" s="237"/>
      <c r="E127" s="238"/>
      <c r="F127" s="239"/>
      <c r="G127" s="240"/>
      <c r="H127" s="216"/>
      <c r="I127" s="227"/>
      <c r="J127" s="228"/>
      <c r="K127" s="218"/>
      <c r="L127" s="219"/>
      <c r="M127" s="229"/>
      <c r="N127" s="218"/>
      <c r="O127" s="219"/>
      <c r="P127" s="230"/>
    </row>
    <row r="128" spans="1:16" s="222" customFormat="1" ht="15.75" thickBot="1">
      <c r="A128" s="212"/>
      <c r="B128" s="213"/>
      <c r="C128" s="241"/>
      <c r="D128" s="242"/>
      <c r="E128" s="243"/>
      <c r="F128" s="244"/>
      <c r="G128" s="226"/>
      <c r="H128" s="216"/>
      <c r="I128" s="227"/>
      <c r="J128" s="228"/>
      <c r="K128" s="218"/>
      <c r="L128" s="219"/>
      <c r="M128" s="229"/>
      <c r="N128" s="218"/>
      <c r="O128" s="219"/>
      <c r="P128" s="230"/>
    </row>
    <row r="129" spans="1:16" s="10" customFormat="1" ht="13.5">
      <c r="A129" s="13"/>
      <c r="B129" s="9"/>
      <c r="D129" s="44"/>
      <c r="E129" s="73"/>
      <c r="F129" s="73"/>
      <c r="G129" s="11"/>
      <c r="H129" s="11"/>
      <c r="I129" s="11"/>
      <c r="J129" s="128"/>
      <c r="K129" s="89"/>
      <c r="L129" s="89"/>
      <c r="M129" s="92"/>
      <c r="N129" s="85"/>
      <c r="O129" s="89"/>
      <c r="P129" s="156"/>
    </row>
    <row r="130" spans="1:16" s="10" customFormat="1" ht="13.5">
      <c r="A130" s="13"/>
      <c r="B130" s="9"/>
      <c r="D130" s="44"/>
      <c r="E130" s="73"/>
      <c r="F130" s="73"/>
      <c r="G130" s="11"/>
      <c r="H130" s="11"/>
      <c r="I130" s="11"/>
      <c r="J130" s="128"/>
      <c r="K130" s="89"/>
      <c r="L130" s="89"/>
      <c r="M130" s="92"/>
      <c r="N130" s="85"/>
      <c r="O130" s="89"/>
      <c r="P130" s="156"/>
    </row>
    <row r="131" spans="1:16" s="10" customFormat="1" ht="13.5">
      <c r="A131" s="13"/>
      <c r="B131" s="9"/>
      <c r="D131" s="44"/>
      <c r="E131" s="73"/>
      <c r="F131" s="73"/>
      <c r="G131" s="11"/>
      <c r="H131" s="11"/>
      <c r="I131" s="11"/>
      <c r="J131" s="128"/>
      <c r="K131" s="89"/>
      <c r="L131" s="89"/>
      <c r="M131" s="92"/>
      <c r="N131" s="85"/>
      <c r="O131" s="89"/>
      <c r="P131" s="156"/>
    </row>
    <row r="132" spans="1:16" s="10" customFormat="1" ht="13.5">
      <c r="A132" s="13"/>
      <c r="B132" s="9"/>
      <c r="D132" s="44"/>
      <c r="E132" s="73"/>
      <c r="F132" s="73"/>
      <c r="G132" s="11"/>
      <c r="H132" s="11"/>
      <c r="I132" s="11"/>
      <c r="J132" s="128"/>
      <c r="K132" s="89"/>
      <c r="L132" s="89"/>
      <c r="M132" s="92"/>
      <c r="N132" s="85"/>
      <c r="O132" s="89"/>
      <c r="P132" s="156"/>
    </row>
    <row r="133" spans="1:16" s="10" customFormat="1" ht="13.5">
      <c r="A133" s="13"/>
      <c r="B133" s="9"/>
      <c r="D133" s="44"/>
      <c r="E133" s="73"/>
      <c r="F133" s="73"/>
      <c r="G133" s="11"/>
      <c r="H133" s="11"/>
      <c r="I133" s="11"/>
      <c r="J133" s="128"/>
      <c r="K133" s="89"/>
      <c r="L133" s="89"/>
      <c r="M133" s="92"/>
      <c r="N133" s="85"/>
      <c r="O133" s="89"/>
      <c r="P133" s="156"/>
    </row>
    <row r="134" spans="1:16" s="10" customFormat="1" ht="13.5">
      <c r="A134" s="13"/>
      <c r="B134" s="9"/>
      <c r="D134" s="44"/>
      <c r="E134" s="73"/>
      <c r="F134" s="73"/>
      <c r="G134" s="11"/>
      <c r="H134" s="11"/>
      <c r="I134" s="11"/>
      <c r="J134" s="128"/>
      <c r="K134" s="89"/>
      <c r="L134" s="89"/>
      <c r="M134" s="92"/>
      <c r="N134" s="85"/>
      <c r="O134" s="89"/>
      <c r="P134" s="156"/>
    </row>
    <row r="135" spans="1:16" s="10" customFormat="1" ht="13.5">
      <c r="A135" s="13"/>
      <c r="B135" s="9"/>
      <c r="D135" s="44"/>
      <c r="E135" s="73"/>
      <c r="F135" s="73"/>
      <c r="G135" s="11"/>
      <c r="H135" s="11"/>
      <c r="I135" s="11"/>
      <c r="J135" s="128"/>
      <c r="K135" s="89"/>
      <c r="L135" s="89"/>
      <c r="M135" s="92"/>
      <c r="N135" s="85"/>
      <c r="O135" s="89"/>
      <c r="P135" s="156"/>
    </row>
    <row r="136" spans="1:16" s="10" customFormat="1" ht="13.5">
      <c r="A136" s="13"/>
      <c r="B136" s="9"/>
      <c r="D136" s="44"/>
      <c r="E136" s="73"/>
      <c r="F136" s="73"/>
      <c r="G136" s="11"/>
      <c r="H136" s="11"/>
      <c r="I136" s="11"/>
      <c r="J136" s="128"/>
      <c r="K136" s="89"/>
      <c r="L136" s="89"/>
      <c r="M136" s="92"/>
      <c r="N136" s="85"/>
      <c r="O136" s="89"/>
      <c r="P136" s="156"/>
    </row>
    <row r="137" spans="1:16" s="10" customFormat="1" ht="13.5">
      <c r="A137" s="13"/>
      <c r="B137" s="9"/>
      <c r="D137" s="44"/>
      <c r="E137" s="73"/>
      <c r="F137" s="73"/>
      <c r="G137" s="11"/>
      <c r="H137" s="11"/>
      <c r="I137" s="11"/>
      <c r="J137" s="128"/>
      <c r="K137" s="89"/>
      <c r="L137" s="89"/>
      <c r="M137" s="92"/>
      <c r="N137" s="85"/>
      <c r="O137" s="89"/>
      <c r="P137" s="156"/>
    </row>
    <row r="138" spans="1:16" s="10" customFormat="1" ht="13.5">
      <c r="A138" s="13"/>
      <c r="B138" s="9"/>
      <c r="D138" s="44"/>
      <c r="E138" s="73"/>
      <c r="F138" s="73"/>
      <c r="G138" s="11"/>
      <c r="H138" s="11"/>
      <c r="I138" s="11"/>
      <c r="J138" s="128"/>
      <c r="K138" s="89"/>
      <c r="L138" s="89"/>
      <c r="M138" s="92"/>
      <c r="N138" s="85"/>
      <c r="O138" s="89"/>
      <c r="P138" s="156"/>
    </row>
    <row r="139" spans="1:16" s="10" customFormat="1" ht="13.5">
      <c r="A139" s="13"/>
      <c r="B139" s="9"/>
      <c r="D139" s="44"/>
      <c r="E139" s="73"/>
      <c r="F139" s="73"/>
      <c r="G139" s="11"/>
      <c r="H139" s="11"/>
      <c r="I139" s="11"/>
      <c r="J139" s="128"/>
      <c r="K139" s="89"/>
      <c r="L139" s="89"/>
      <c r="M139" s="92"/>
      <c r="N139" s="85"/>
      <c r="O139" s="89"/>
      <c r="P139" s="156"/>
    </row>
    <row r="140" spans="1:16" s="10" customFormat="1" ht="13.5">
      <c r="A140" s="13"/>
      <c r="B140" s="9"/>
      <c r="D140" s="44"/>
      <c r="E140" s="73"/>
      <c r="F140" s="73"/>
      <c r="G140" s="11"/>
      <c r="H140" s="11"/>
      <c r="I140" s="11"/>
      <c r="J140" s="128"/>
      <c r="K140" s="89"/>
      <c r="L140" s="89"/>
      <c r="M140" s="92"/>
      <c r="N140" s="85"/>
      <c r="O140" s="89"/>
      <c r="P140" s="156"/>
    </row>
    <row r="141" spans="1:16" s="10" customFormat="1" ht="13.5">
      <c r="A141" s="13"/>
      <c r="B141" s="9"/>
      <c r="D141" s="44"/>
      <c r="E141" s="73"/>
      <c r="F141" s="73"/>
      <c r="G141" s="11"/>
      <c r="H141" s="11"/>
      <c r="I141" s="11"/>
      <c r="J141" s="128"/>
      <c r="K141" s="89"/>
      <c r="L141" s="89"/>
      <c r="M141" s="92"/>
      <c r="N141" s="85"/>
      <c r="O141" s="89"/>
      <c r="P141" s="156"/>
    </row>
    <row r="142" spans="1:16" s="10" customFormat="1" ht="13.5">
      <c r="A142" s="13"/>
      <c r="B142" s="9"/>
      <c r="D142" s="44"/>
      <c r="E142" s="73"/>
      <c r="F142" s="73"/>
      <c r="G142" s="11"/>
      <c r="H142" s="11"/>
      <c r="I142" s="11"/>
      <c r="J142" s="128"/>
      <c r="K142" s="89"/>
      <c r="L142" s="89"/>
      <c r="M142" s="92"/>
      <c r="N142" s="85"/>
      <c r="O142" s="89"/>
      <c r="P142" s="156"/>
    </row>
    <row r="143" spans="1:16" s="10" customFormat="1" ht="13.5">
      <c r="A143" s="13"/>
      <c r="B143" s="9"/>
      <c r="D143" s="44"/>
      <c r="E143" s="73"/>
      <c r="F143" s="73"/>
      <c r="G143" s="11"/>
      <c r="H143" s="11"/>
      <c r="I143" s="11"/>
      <c r="J143" s="128"/>
      <c r="K143" s="89"/>
      <c r="L143" s="89"/>
      <c r="M143" s="92"/>
      <c r="N143" s="85"/>
      <c r="O143" s="89"/>
      <c r="P143" s="156"/>
    </row>
    <row r="144" spans="1:16" s="10" customFormat="1" ht="13.5">
      <c r="A144" s="13"/>
      <c r="B144" s="9"/>
      <c r="D144" s="44"/>
      <c r="E144" s="73"/>
      <c r="F144" s="73"/>
      <c r="G144" s="11"/>
      <c r="H144" s="11"/>
      <c r="I144" s="11"/>
      <c r="J144" s="128"/>
      <c r="K144" s="89"/>
      <c r="L144" s="89"/>
      <c r="M144" s="92"/>
      <c r="N144" s="85"/>
      <c r="O144" s="89"/>
      <c r="P144" s="156"/>
    </row>
    <row r="145" spans="1:16" s="10" customFormat="1" ht="13.5">
      <c r="A145" s="13"/>
      <c r="B145" s="9"/>
      <c r="D145" s="44"/>
      <c r="E145" s="73"/>
      <c r="F145" s="73"/>
      <c r="G145" s="11"/>
      <c r="H145" s="11"/>
      <c r="I145" s="11"/>
      <c r="J145" s="128"/>
      <c r="K145" s="89"/>
      <c r="L145" s="89"/>
      <c r="M145" s="92"/>
      <c r="N145" s="85"/>
      <c r="O145" s="89"/>
      <c r="P145" s="156"/>
    </row>
    <row r="146" spans="1:16" s="10" customFormat="1" ht="13.5">
      <c r="A146" s="13"/>
      <c r="B146" s="9"/>
      <c r="D146" s="44"/>
      <c r="E146" s="73"/>
      <c r="F146" s="73"/>
      <c r="G146" s="11"/>
      <c r="H146" s="11"/>
      <c r="I146" s="11"/>
      <c r="J146" s="128"/>
      <c r="K146" s="89"/>
      <c r="L146" s="89"/>
      <c r="M146" s="92"/>
      <c r="N146" s="85"/>
      <c r="O146" s="89"/>
      <c r="P146" s="156"/>
    </row>
    <row r="147" spans="1:16" s="10" customFormat="1" ht="13.5">
      <c r="A147" s="13"/>
      <c r="B147" s="9"/>
      <c r="D147" s="44"/>
      <c r="E147" s="73"/>
      <c r="F147" s="73"/>
      <c r="G147" s="11"/>
      <c r="H147" s="11"/>
      <c r="I147" s="11"/>
      <c r="J147" s="128"/>
      <c r="K147" s="89"/>
      <c r="L147" s="89"/>
      <c r="M147" s="92"/>
      <c r="N147" s="85"/>
      <c r="O147" s="89"/>
      <c r="P147" s="156"/>
    </row>
    <row r="148" spans="1:16" s="10" customFormat="1" ht="13.5">
      <c r="A148" s="13"/>
      <c r="B148" s="9"/>
      <c r="D148" s="44"/>
      <c r="E148" s="73"/>
      <c r="F148" s="73"/>
      <c r="G148" s="11"/>
      <c r="H148" s="11"/>
      <c r="I148" s="11"/>
      <c r="J148" s="128"/>
      <c r="K148" s="89"/>
      <c r="L148" s="89"/>
      <c r="M148" s="92"/>
      <c r="N148" s="85"/>
      <c r="O148" s="89"/>
      <c r="P148" s="156"/>
    </row>
    <row r="149" spans="1:16" s="10" customFormat="1" ht="13.5">
      <c r="A149" s="13"/>
      <c r="B149" s="9"/>
      <c r="D149" s="44"/>
      <c r="E149" s="73"/>
      <c r="F149" s="73"/>
      <c r="G149" s="11"/>
      <c r="H149" s="11"/>
      <c r="I149" s="11"/>
      <c r="J149" s="128"/>
      <c r="K149" s="89"/>
      <c r="L149" s="89"/>
      <c r="M149" s="92"/>
      <c r="N149" s="85"/>
      <c r="O149" s="89"/>
      <c r="P149" s="156"/>
    </row>
    <row r="150" spans="1:16" s="10" customFormat="1" ht="13.5">
      <c r="A150" s="13"/>
      <c r="B150" s="9"/>
      <c r="D150" s="44"/>
      <c r="E150" s="73"/>
      <c r="F150" s="73"/>
      <c r="G150" s="11"/>
      <c r="H150" s="11"/>
      <c r="I150" s="11"/>
      <c r="J150" s="128"/>
      <c r="K150" s="89"/>
      <c r="L150" s="89"/>
      <c r="M150" s="92"/>
      <c r="N150" s="85"/>
      <c r="O150" s="89"/>
      <c r="P150" s="156"/>
    </row>
    <row r="151" spans="1:16" s="10" customFormat="1" ht="13.5">
      <c r="A151" s="13"/>
      <c r="B151" s="9"/>
      <c r="D151" s="44"/>
      <c r="E151" s="73"/>
      <c r="F151" s="73"/>
      <c r="G151" s="11"/>
      <c r="H151" s="11"/>
      <c r="I151" s="11"/>
      <c r="J151" s="128"/>
      <c r="K151" s="89"/>
      <c r="L151" s="89"/>
      <c r="M151" s="92"/>
      <c r="N151" s="85"/>
      <c r="O151" s="89"/>
      <c r="P151" s="156"/>
    </row>
    <row r="152" spans="1:16" s="10" customFormat="1" ht="13.5">
      <c r="A152" s="13"/>
      <c r="B152" s="9"/>
      <c r="D152" s="44"/>
      <c r="E152" s="73"/>
      <c r="F152" s="73"/>
      <c r="G152" s="11"/>
      <c r="H152" s="11"/>
      <c r="I152" s="11"/>
      <c r="J152" s="128"/>
      <c r="K152" s="89"/>
      <c r="L152" s="89"/>
      <c r="M152" s="92"/>
      <c r="N152" s="85"/>
      <c r="O152" s="89"/>
      <c r="P152" s="156"/>
    </row>
    <row r="153" spans="1:16" s="10" customFormat="1" ht="13.5">
      <c r="A153" s="13"/>
      <c r="B153" s="9"/>
      <c r="D153" s="44"/>
      <c r="E153" s="73"/>
      <c r="F153" s="73"/>
      <c r="G153" s="11"/>
      <c r="H153" s="11"/>
      <c r="I153" s="11"/>
      <c r="J153" s="128"/>
      <c r="K153" s="89"/>
      <c r="L153" s="89"/>
      <c r="M153" s="92"/>
      <c r="N153" s="85"/>
      <c r="O153" s="89"/>
      <c r="P153" s="156"/>
    </row>
    <row r="154" spans="1:16" s="10" customFormat="1" ht="13.5">
      <c r="A154" s="13"/>
      <c r="B154" s="9"/>
      <c r="D154" s="44"/>
      <c r="E154" s="73"/>
      <c r="F154" s="73"/>
      <c r="G154" s="11"/>
      <c r="H154" s="11"/>
      <c r="I154" s="11"/>
      <c r="J154" s="128"/>
      <c r="K154" s="89"/>
      <c r="L154" s="89"/>
      <c r="M154" s="92"/>
      <c r="N154" s="85"/>
      <c r="O154" s="89"/>
      <c r="P154" s="156"/>
    </row>
    <row r="155" spans="1:16" s="10" customFormat="1" ht="13.5">
      <c r="A155" s="13"/>
      <c r="B155" s="9"/>
      <c r="D155" s="44"/>
      <c r="E155" s="73"/>
      <c r="F155" s="73"/>
      <c r="G155" s="11"/>
      <c r="H155" s="11"/>
      <c r="I155" s="11"/>
      <c r="J155" s="128"/>
      <c r="K155" s="89"/>
      <c r="L155" s="89"/>
      <c r="M155" s="92"/>
      <c r="N155" s="85"/>
      <c r="O155" s="89"/>
      <c r="P155" s="156"/>
    </row>
    <row r="156" spans="1:16" s="10" customFormat="1" ht="13.5">
      <c r="A156" s="13"/>
      <c r="B156" s="9"/>
      <c r="D156" s="44"/>
      <c r="E156" s="73"/>
      <c r="F156" s="73"/>
      <c r="G156" s="11"/>
      <c r="H156" s="11"/>
      <c r="I156" s="11"/>
      <c r="J156" s="128"/>
      <c r="K156" s="89"/>
      <c r="L156" s="89"/>
      <c r="M156" s="92"/>
      <c r="N156" s="85"/>
      <c r="O156" s="89"/>
      <c r="P156" s="156"/>
    </row>
    <row r="157" spans="1:16" s="10" customFormat="1" ht="13.5">
      <c r="A157" s="13"/>
      <c r="B157" s="9"/>
      <c r="D157" s="44"/>
      <c r="E157" s="73"/>
      <c r="F157" s="73"/>
      <c r="G157" s="11"/>
      <c r="H157" s="11"/>
      <c r="I157" s="11"/>
      <c r="J157" s="128"/>
      <c r="K157" s="89"/>
      <c r="L157" s="89"/>
      <c r="M157" s="92"/>
      <c r="N157" s="85"/>
      <c r="O157" s="89"/>
      <c r="P157" s="156"/>
    </row>
    <row r="158" spans="1:16" s="10" customFormat="1" ht="13.5">
      <c r="A158" s="13"/>
      <c r="B158" s="9"/>
      <c r="D158" s="44"/>
      <c r="E158" s="73"/>
      <c r="F158" s="73"/>
      <c r="G158" s="11"/>
      <c r="H158" s="11"/>
      <c r="I158" s="11"/>
      <c r="J158" s="128"/>
      <c r="K158" s="89"/>
      <c r="L158" s="89"/>
      <c r="M158" s="92"/>
      <c r="N158" s="85"/>
      <c r="O158" s="89"/>
      <c r="P158" s="156"/>
    </row>
    <row r="159" spans="1:16" s="10" customFormat="1" ht="13.5">
      <c r="A159" s="13"/>
      <c r="B159" s="9"/>
      <c r="D159" s="44"/>
      <c r="E159" s="73"/>
      <c r="F159" s="73"/>
      <c r="G159" s="11"/>
      <c r="H159" s="11"/>
      <c r="I159" s="11"/>
      <c r="J159" s="128"/>
      <c r="K159" s="89"/>
      <c r="L159" s="89"/>
      <c r="M159" s="92"/>
      <c r="N159" s="85"/>
      <c r="O159" s="89"/>
      <c r="P159" s="156"/>
    </row>
    <row r="160" spans="1:16" s="10" customFormat="1" ht="13.5">
      <c r="A160" s="13"/>
      <c r="B160" s="9"/>
      <c r="D160" s="44"/>
      <c r="E160" s="73"/>
      <c r="F160" s="73"/>
      <c r="G160" s="11"/>
      <c r="H160" s="11"/>
      <c r="I160" s="11"/>
      <c r="J160" s="128"/>
      <c r="K160" s="89"/>
      <c r="L160" s="89"/>
      <c r="M160" s="92"/>
      <c r="N160" s="85"/>
      <c r="O160" s="89"/>
      <c r="P160" s="156"/>
    </row>
    <row r="161" spans="1:16" s="10" customFormat="1" ht="13.5">
      <c r="A161" s="13"/>
      <c r="B161" s="9"/>
      <c r="D161" s="44"/>
      <c r="E161" s="73"/>
      <c r="F161" s="73"/>
      <c r="G161" s="11"/>
      <c r="H161" s="11"/>
      <c r="I161" s="11"/>
      <c r="J161" s="128"/>
      <c r="K161" s="89"/>
      <c r="L161" s="89"/>
      <c r="M161" s="92"/>
      <c r="N161" s="85"/>
      <c r="O161" s="89"/>
      <c r="P161" s="156"/>
    </row>
    <row r="162" spans="1:16" s="10" customFormat="1" ht="13.5">
      <c r="A162" s="13"/>
      <c r="B162" s="9"/>
      <c r="D162" s="44"/>
      <c r="E162" s="73"/>
      <c r="F162" s="73"/>
      <c r="G162" s="11"/>
      <c r="H162" s="11"/>
      <c r="I162" s="11"/>
      <c r="J162" s="128"/>
      <c r="K162" s="89"/>
      <c r="L162" s="89"/>
      <c r="M162" s="92"/>
      <c r="N162" s="85"/>
      <c r="O162" s="89"/>
      <c r="P162" s="156"/>
    </row>
    <row r="163" spans="1:16" s="10" customFormat="1" ht="13.5">
      <c r="A163" s="13"/>
      <c r="B163" s="9"/>
      <c r="D163" s="44"/>
      <c r="E163" s="73"/>
      <c r="F163" s="73"/>
      <c r="G163" s="11"/>
      <c r="H163" s="11"/>
      <c r="I163" s="11"/>
      <c r="J163" s="128"/>
      <c r="K163" s="89"/>
      <c r="L163" s="89"/>
      <c r="M163" s="92"/>
      <c r="N163" s="85"/>
      <c r="O163" s="89"/>
      <c r="P163" s="156"/>
    </row>
    <row r="164" spans="1:16" s="10" customFormat="1" ht="13.5">
      <c r="A164" s="13"/>
      <c r="B164" s="9"/>
      <c r="D164" s="44"/>
      <c r="E164" s="73"/>
      <c r="F164" s="73"/>
      <c r="G164" s="11"/>
      <c r="H164" s="11"/>
      <c r="I164" s="11"/>
      <c r="J164" s="128"/>
      <c r="K164" s="89"/>
      <c r="L164" s="89"/>
      <c r="M164" s="92"/>
      <c r="N164" s="85"/>
      <c r="O164" s="89"/>
      <c r="P164" s="156"/>
    </row>
    <row r="165" spans="1:16" s="10" customFormat="1" ht="13.5">
      <c r="A165" s="13"/>
      <c r="B165" s="9"/>
      <c r="D165" s="44"/>
      <c r="E165" s="73"/>
      <c r="F165" s="73"/>
      <c r="G165" s="11"/>
      <c r="H165" s="11"/>
      <c r="I165" s="11"/>
      <c r="J165" s="128"/>
      <c r="K165" s="89"/>
      <c r="L165" s="89"/>
      <c r="M165" s="92"/>
      <c r="N165" s="85"/>
      <c r="O165" s="89"/>
      <c r="P165" s="156"/>
    </row>
    <row r="166" spans="1:16" s="10" customFormat="1" ht="13.5">
      <c r="A166" s="13"/>
      <c r="B166" s="9"/>
      <c r="D166" s="44"/>
      <c r="E166" s="73"/>
      <c r="F166" s="73"/>
      <c r="G166" s="11"/>
      <c r="H166" s="11"/>
      <c r="I166" s="11"/>
      <c r="J166" s="128"/>
      <c r="K166" s="89"/>
      <c r="L166" s="89"/>
      <c r="M166" s="92"/>
      <c r="N166" s="85"/>
      <c r="O166" s="89"/>
      <c r="P166" s="156"/>
    </row>
    <row r="167" spans="1:16" s="10" customFormat="1" ht="13.5">
      <c r="A167" s="13"/>
      <c r="B167" s="9"/>
      <c r="D167" s="44"/>
      <c r="E167" s="73"/>
      <c r="F167" s="73"/>
      <c r="G167" s="11"/>
      <c r="H167" s="11"/>
      <c r="I167" s="11"/>
      <c r="J167" s="128"/>
      <c r="K167" s="89"/>
      <c r="L167" s="89"/>
      <c r="M167" s="92"/>
      <c r="N167" s="85"/>
      <c r="O167" s="89"/>
      <c r="P167" s="156"/>
    </row>
    <row r="168" spans="1:16" s="10" customFormat="1" ht="13.5">
      <c r="A168" s="13"/>
      <c r="B168" s="9"/>
      <c r="D168" s="44"/>
      <c r="E168" s="73"/>
      <c r="F168" s="73"/>
      <c r="G168" s="11"/>
      <c r="H168" s="11"/>
      <c r="I168" s="11"/>
      <c r="J168" s="128"/>
      <c r="K168" s="89"/>
      <c r="L168" s="89"/>
      <c r="M168" s="92"/>
      <c r="N168" s="85"/>
      <c r="O168" s="89"/>
      <c r="P168" s="156"/>
    </row>
    <row r="169" spans="1:16" s="10" customFormat="1" ht="13.5">
      <c r="A169" s="13"/>
      <c r="B169" s="9"/>
      <c r="D169" s="44"/>
      <c r="E169" s="73"/>
      <c r="F169" s="73"/>
      <c r="G169" s="11"/>
      <c r="H169" s="11"/>
      <c r="I169" s="11"/>
      <c r="J169" s="128"/>
      <c r="K169" s="89"/>
      <c r="L169" s="89"/>
      <c r="M169" s="92"/>
      <c r="N169" s="85"/>
      <c r="O169" s="89"/>
      <c r="P169" s="156"/>
    </row>
    <row r="170" spans="1:16" s="10" customFormat="1" ht="13.5">
      <c r="A170" s="13"/>
      <c r="B170" s="9"/>
      <c r="D170" s="44"/>
      <c r="E170" s="73"/>
      <c r="F170" s="73"/>
      <c r="G170" s="11"/>
      <c r="H170" s="11"/>
      <c r="I170" s="11"/>
      <c r="J170" s="128"/>
      <c r="K170" s="89"/>
      <c r="L170" s="89"/>
      <c r="M170" s="92"/>
      <c r="N170" s="85"/>
      <c r="O170" s="89"/>
      <c r="P170" s="156"/>
    </row>
    <row r="171" spans="1:16" s="10" customFormat="1" ht="13.5">
      <c r="A171" s="13"/>
      <c r="B171" s="9"/>
      <c r="D171" s="44"/>
      <c r="E171" s="73"/>
      <c r="F171" s="73"/>
      <c r="G171" s="11"/>
      <c r="H171" s="11"/>
      <c r="I171" s="11"/>
      <c r="J171" s="128"/>
      <c r="K171" s="89"/>
      <c r="L171" s="89"/>
      <c r="M171" s="92"/>
      <c r="N171" s="85"/>
      <c r="O171" s="89"/>
      <c r="P171" s="156"/>
    </row>
    <row r="172" spans="1:16" s="10" customFormat="1" ht="13.5">
      <c r="A172" s="13"/>
      <c r="B172" s="9"/>
      <c r="D172" s="44"/>
      <c r="E172" s="73"/>
      <c r="F172" s="73"/>
      <c r="G172" s="11"/>
      <c r="H172" s="11"/>
      <c r="I172" s="11"/>
      <c r="J172" s="128"/>
      <c r="K172" s="89"/>
      <c r="L172" s="89"/>
      <c r="M172" s="92"/>
      <c r="N172" s="85"/>
      <c r="O172" s="89"/>
      <c r="P172" s="156"/>
    </row>
    <row r="173" spans="1:16" s="10" customFormat="1" ht="13.5">
      <c r="A173" s="13"/>
      <c r="B173" s="9"/>
      <c r="D173" s="44"/>
      <c r="E173" s="73"/>
      <c r="F173" s="73"/>
      <c r="G173" s="11"/>
      <c r="H173" s="11"/>
      <c r="I173" s="11"/>
      <c r="J173" s="128"/>
      <c r="K173" s="89"/>
      <c r="L173" s="89"/>
      <c r="M173" s="92"/>
      <c r="N173" s="85"/>
      <c r="O173" s="89"/>
      <c r="P173" s="156"/>
    </row>
    <row r="174" spans="1:16" s="10" customFormat="1" ht="13.5">
      <c r="A174" s="13"/>
      <c r="B174" s="9"/>
      <c r="D174" s="44"/>
      <c r="E174" s="73"/>
      <c r="F174" s="73"/>
      <c r="G174" s="11"/>
      <c r="H174" s="11"/>
      <c r="I174" s="11"/>
      <c r="J174" s="128"/>
      <c r="K174" s="89"/>
      <c r="L174" s="89"/>
      <c r="M174" s="92"/>
      <c r="N174" s="85"/>
      <c r="O174" s="89"/>
      <c r="P174" s="156"/>
    </row>
    <row r="175" spans="1:16" s="10" customFormat="1" ht="13.5">
      <c r="A175" s="13"/>
      <c r="B175" s="9"/>
      <c r="D175" s="44"/>
      <c r="E175" s="73"/>
      <c r="F175" s="73"/>
      <c r="G175" s="11"/>
      <c r="H175" s="11"/>
      <c r="I175" s="11"/>
      <c r="J175" s="128"/>
      <c r="K175" s="89"/>
      <c r="L175" s="89"/>
      <c r="M175" s="92"/>
      <c r="N175" s="85"/>
      <c r="O175" s="89"/>
      <c r="P175" s="156"/>
    </row>
    <row r="176" spans="1:16" s="10" customFormat="1" ht="13.5">
      <c r="A176" s="13"/>
      <c r="B176" s="9"/>
      <c r="D176" s="44"/>
      <c r="E176" s="73"/>
      <c r="F176" s="73"/>
      <c r="G176" s="11"/>
      <c r="H176" s="11"/>
      <c r="I176" s="11"/>
      <c r="J176" s="128"/>
      <c r="K176" s="89"/>
      <c r="L176" s="89"/>
      <c r="M176" s="92"/>
      <c r="N176" s="85"/>
      <c r="O176" s="89"/>
      <c r="P176" s="156"/>
    </row>
    <row r="177" spans="1:16" s="10" customFormat="1" ht="13.5">
      <c r="A177" s="13"/>
      <c r="B177" s="9"/>
      <c r="D177" s="44"/>
      <c r="E177" s="73"/>
      <c r="F177" s="73"/>
      <c r="G177" s="11"/>
      <c r="H177" s="11"/>
      <c r="I177" s="11"/>
      <c r="J177" s="128"/>
      <c r="K177" s="89"/>
      <c r="L177" s="89"/>
      <c r="M177" s="92"/>
      <c r="N177" s="85"/>
      <c r="O177" s="89"/>
      <c r="P177" s="156"/>
    </row>
    <row r="178" spans="1:16" s="10" customFormat="1" ht="13.5">
      <c r="A178" s="13"/>
      <c r="B178" s="9"/>
      <c r="D178" s="44"/>
      <c r="E178" s="73"/>
      <c r="F178" s="73"/>
      <c r="G178" s="11"/>
      <c r="H178" s="11"/>
      <c r="I178" s="11"/>
      <c r="J178" s="128"/>
      <c r="K178" s="89"/>
      <c r="L178" s="89"/>
      <c r="M178" s="92"/>
      <c r="N178" s="85"/>
      <c r="O178" s="89"/>
      <c r="P178" s="156"/>
    </row>
    <row r="179" spans="1:16" s="10" customFormat="1" ht="13.5">
      <c r="A179" s="13"/>
      <c r="B179" s="9"/>
      <c r="D179" s="44"/>
      <c r="E179" s="73"/>
      <c r="F179" s="73"/>
      <c r="G179" s="11"/>
      <c r="H179" s="11"/>
      <c r="I179" s="11"/>
      <c r="J179" s="128"/>
      <c r="K179" s="89"/>
      <c r="L179" s="89"/>
      <c r="M179" s="92"/>
      <c r="N179" s="85"/>
      <c r="O179" s="89"/>
      <c r="P179" s="156"/>
    </row>
    <row r="180" spans="1:16" s="10" customFormat="1" ht="13.5">
      <c r="A180" s="13"/>
      <c r="B180" s="9"/>
      <c r="D180" s="44"/>
      <c r="E180" s="73"/>
      <c r="F180" s="73"/>
      <c r="G180" s="11"/>
      <c r="H180" s="11"/>
      <c r="I180" s="11"/>
      <c r="J180" s="128"/>
      <c r="K180" s="89"/>
      <c r="L180" s="89"/>
      <c r="M180" s="92"/>
      <c r="N180" s="85"/>
      <c r="O180" s="89"/>
      <c r="P180" s="156"/>
    </row>
    <row r="181" spans="1:16" s="10" customFormat="1" ht="13.5">
      <c r="A181" s="13"/>
      <c r="B181" s="9"/>
      <c r="D181" s="44"/>
      <c r="E181" s="73"/>
      <c r="F181" s="73"/>
      <c r="G181" s="11"/>
      <c r="H181" s="11"/>
      <c r="I181" s="11"/>
      <c r="J181" s="128"/>
      <c r="K181" s="89"/>
      <c r="L181" s="89"/>
      <c r="M181" s="92"/>
      <c r="N181" s="85"/>
      <c r="O181" s="89"/>
      <c r="P181" s="156"/>
    </row>
    <row r="182" spans="1:16" s="10" customFormat="1" ht="13.5">
      <c r="A182" s="13"/>
      <c r="B182" s="9"/>
      <c r="D182" s="44"/>
      <c r="E182" s="73"/>
      <c r="F182" s="73"/>
      <c r="G182" s="11"/>
      <c r="H182" s="11"/>
      <c r="I182" s="11"/>
      <c r="J182" s="128"/>
      <c r="K182" s="89"/>
      <c r="L182" s="89"/>
      <c r="M182" s="92"/>
      <c r="N182" s="85"/>
      <c r="O182" s="89"/>
      <c r="P182" s="156"/>
    </row>
    <row r="183" spans="1:16" s="10" customFormat="1" ht="13.5">
      <c r="A183" s="13"/>
      <c r="B183" s="9"/>
      <c r="D183" s="44"/>
      <c r="E183" s="73"/>
      <c r="F183" s="73"/>
      <c r="G183" s="11"/>
      <c r="H183" s="11"/>
      <c r="I183" s="11"/>
      <c r="J183" s="128"/>
      <c r="K183" s="89"/>
      <c r="L183" s="89"/>
      <c r="M183" s="92"/>
      <c r="N183" s="85"/>
      <c r="O183" s="89"/>
      <c r="P183" s="156"/>
    </row>
    <row r="184" spans="1:16" s="10" customFormat="1" ht="13.5">
      <c r="A184" s="13"/>
      <c r="B184" s="9"/>
      <c r="D184" s="44"/>
      <c r="E184" s="73"/>
      <c r="F184" s="73"/>
      <c r="G184" s="11"/>
      <c r="H184" s="11"/>
      <c r="I184" s="11"/>
      <c r="J184" s="128"/>
      <c r="K184" s="89"/>
      <c r="L184" s="89"/>
      <c r="M184" s="92"/>
      <c r="N184" s="85"/>
      <c r="O184" s="89"/>
      <c r="P184" s="156"/>
    </row>
    <row r="185" spans="1:16" s="10" customFormat="1" ht="13.5">
      <c r="A185" s="13"/>
      <c r="B185" s="9"/>
      <c r="D185" s="44"/>
      <c r="E185" s="73"/>
      <c r="F185" s="73"/>
      <c r="G185" s="11"/>
      <c r="H185" s="11"/>
      <c r="I185" s="11"/>
      <c r="J185" s="128"/>
      <c r="K185" s="89"/>
      <c r="L185" s="89"/>
      <c r="M185" s="92"/>
      <c r="N185" s="85"/>
      <c r="O185" s="89"/>
      <c r="P185" s="156"/>
    </row>
    <row r="186" spans="1:16" s="10" customFormat="1" ht="13.5">
      <c r="A186" s="13"/>
      <c r="B186" s="9"/>
      <c r="D186" s="44"/>
      <c r="E186" s="73"/>
      <c r="F186" s="73"/>
      <c r="G186" s="11"/>
      <c r="H186" s="11"/>
      <c r="I186" s="11"/>
      <c r="J186" s="128"/>
      <c r="K186" s="89"/>
      <c r="L186" s="89"/>
      <c r="M186" s="92"/>
      <c r="N186" s="85"/>
      <c r="O186" s="89"/>
      <c r="P186" s="156"/>
    </row>
  </sheetData>
  <sheetProtection insertRows="0" deleteRows="0" sort="0"/>
  <mergeCells count="14">
    <mergeCell ref="I3:I4"/>
    <mergeCell ref="J3:M3"/>
    <mergeCell ref="D3:D4"/>
    <mergeCell ref="F3:F4"/>
    <mergeCell ref="E106:G106"/>
    <mergeCell ref="D114:G114"/>
    <mergeCell ref="A2:P2"/>
    <mergeCell ref="C106:D107"/>
    <mergeCell ref="L106:P108"/>
    <mergeCell ref="N3:P3"/>
    <mergeCell ref="H3:H4"/>
    <mergeCell ref="G3:G4"/>
    <mergeCell ref="C3:C4"/>
    <mergeCell ref="E3:E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36" r:id="rId2"/>
  <ignoredErrors>
    <ignoredError sqref="G113 F112:G112 D110:D113 H113:H114 E109:E113 D115:G115 G116:G126 J9:K27 O9:P27 J55:K70 N58:O68 L58:M68 O85:O100 N85:N90" unlockedFormula="1"/>
    <ignoredError sqref="L28:N28 L43:M54 L71:M84 N71:O83 L91:M101 N101" formula="1"/>
    <ignoredError sqref="L9:N27 N43:O54 L55:M57 N55:O57 N69:O70 L69:M70 N84:O84 N91:N100 D109" formula="1" unlockedFormula="1"/>
    <ignoredError sqref="D108" numberStoredAsText="1"/>
    <ignoredError sqref="D109" numberStoredAsText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="70" zoomScaleNormal="70" workbookViewId="0" topLeftCell="A1">
      <selection activeCell="C2" sqref="C2:C3"/>
    </sheetView>
  </sheetViews>
  <sheetFormatPr defaultColWidth="9.140625" defaultRowHeight="14.25" customHeight="1"/>
  <cols>
    <col min="1" max="1" width="3.421875" style="37" bestFit="1" customWidth="1"/>
    <col min="2" max="2" width="1.7109375" style="40" customWidth="1"/>
    <col min="3" max="3" width="36.7109375" style="40" bestFit="1" customWidth="1"/>
    <col min="4" max="4" width="9.57421875" style="41" customWidth="1"/>
    <col min="5" max="5" width="19.140625" style="41" customWidth="1"/>
    <col min="6" max="6" width="17.00390625" style="41" bestFit="1" customWidth="1"/>
    <col min="7" max="7" width="11.00390625" style="41" bestFit="1" customWidth="1"/>
    <col min="8" max="8" width="11.7109375" style="41" customWidth="1"/>
    <col min="9" max="9" width="16.140625" style="140" bestFit="1" customWidth="1"/>
    <col min="10" max="10" width="16.8515625" style="150" customWidth="1"/>
    <col min="11" max="11" width="8.8515625" style="144" customWidth="1"/>
    <col min="12" max="16384" width="9.140625" style="40" customWidth="1"/>
  </cols>
  <sheetData>
    <row r="1" spans="1:11" s="38" customFormat="1" ht="42" customHeight="1" thickBot="1">
      <c r="A1" s="37"/>
      <c r="B1" s="324" t="s">
        <v>184</v>
      </c>
      <c r="C1" s="325"/>
      <c r="D1" s="325"/>
      <c r="E1" s="325"/>
      <c r="F1" s="325"/>
      <c r="G1" s="325"/>
      <c r="H1" s="325"/>
      <c r="I1" s="325"/>
      <c r="J1" s="325"/>
      <c r="K1" s="326"/>
    </row>
    <row r="2" spans="2:11" s="260" customFormat="1" ht="14.25" customHeight="1">
      <c r="B2" s="261"/>
      <c r="C2" s="327" t="s">
        <v>16</v>
      </c>
      <c r="D2" s="327" t="s">
        <v>41</v>
      </c>
      <c r="E2" s="327" t="s">
        <v>91</v>
      </c>
      <c r="F2" s="327" t="s">
        <v>90</v>
      </c>
      <c r="G2" s="314" t="s">
        <v>18</v>
      </c>
      <c r="H2" s="314" t="s">
        <v>39</v>
      </c>
      <c r="I2" s="314" t="s">
        <v>20</v>
      </c>
      <c r="J2" s="314"/>
      <c r="K2" s="330" t="s">
        <v>40</v>
      </c>
    </row>
    <row r="3" spans="1:11" s="260" customFormat="1" ht="34.5" customHeight="1" thickBot="1">
      <c r="A3" s="262"/>
      <c r="B3" s="263"/>
      <c r="C3" s="328"/>
      <c r="D3" s="328"/>
      <c r="E3" s="328"/>
      <c r="F3" s="328"/>
      <c r="G3" s="332"/>
      <c r="H3" s="329"/>
      <c r="I3" s="134" t="s">
        <v>38</v>
      </c>
      <c r="J3" s="264" t="s">
        <v>7</v>
      </c>
      <c r="K3" s="331"/>
    </row>
    <row r="4" spans="1:11" s="50" customFormat="1" ht="14.25" customHeight="1">
      <c r="A4" s="52">
        <v>1</v>
      </c>
      <c r="B4" s="131"/>
      <c r="C4" s="171" t="s">
        <v>4</v>
      </c>
      <c r="D4" s="158">
        <v>38751</v>
      </c>
      <c r="E4" s="171" t="s">
        <v>52</v>
      </c>
      <c r="F4" s="171" t="s">
        <v>106</v>
      </c>
      <c r="G4" s="159">
        <v>277</v>
      </c>
      <c r="H4" s="159">
        <v>14</v>
      </c>
      <c r="I4" s="265">
        <v>27403176</v>
      </c>
      <c r="J4" s="266">
        <v>4239215</v>
      </c>
      <c r="K4" s="267">
        <f>+I4/J4</f>
        <v>6.46421000114408</v>
      </c>
    </row>
    <row r="5" spans="1:11" s="50" customFormat="1" ht="14.25" customHeight="1">
      <c r="A5" s="52">
        <v>2</v>
      </c>
      <c r="B5" s="132"/>
      <c r="C5" s="167" t="s">
        <v>44</v>
      </c>
      <c r="D5" s="79">
        <v>38723</v>
      </c>
      <c r="E5" s="168" t="s">
        <v>99</v>
      </c>
      <c r="F5" s="167" t="s">
        <v>127</v>
      </c>
      <c r="G5" s="124">
        <v>280</v>
      </c>
      <c r="H5" s="124">
        <v>15</v>
      </c>
      <c r="I5" s="254">
        <f>5592380+3880622.5+1673082.62+1119075.5+434517.5+130151.5+6347.5+744.5+27+2593+460+255+1561+9584+3764</f>
        <v>12855165.620000001</v>
      </c>
      <c r="J5" s="255">
        <f>871283+621889+270076+179456+67736+23058+1452+132+6+608+92+51+376+3188+1672</f>
        <v>2041075</v>
      </c>
      <c r="K5" s="189">
        <f>IF(I5&lt;&gt;0,I5/J5,"")</f>
        <v>6.29823285278591</v>
      </c>
    </row>
    <row r="6" spans="1:11" s="39" customFormat="1" ht="14.25" customHeight="1">
      <c r="A6" s="52">
        <v>3</v>
      </c>
      <c r="B6" s="133"/>
      <c r="C6" s="167" t="s">
        <v>201</v>
      </c>
      <c r="D6" s="79">
        <v>38723</v>
      </c>
      <c r="E6" s="167" t="s">
        <v>52</v>
      </c>
      <c r="F6" s="167" t="s">
        <v>115</v>
      </c>
      <c r="G6" s="124">
        <v>199</v>
      </c>
      <c r="H6" s="124">
        <v>18</v>
      </c>
      <c r="I6" s="249">
        <v>6508645.1</v>
      </c>
      <c r="J6" s="192">
        <v>994952</v>
      </c>
      <c r="K6" s="190">
        <f aca="true" t="shared" si="0" ref="K6:K18">+I6/J6</f>
        <v>6.541667437223102</v>
      </c>
    </row>
    <row r="7" spans="1:11" s="39" customFormat="1" ht="14.25" customHeight="1">
      <c r="A7" s="52">
        <v>4</v>
      </c>
      <c r="B7" s="133"/>
      <c r="C7" s="167" t="s">
        <v>172</v>
      </c>
      <c r="D7" s="79">
        <v>38821</v>
      </c>
      <c r="E7" s="167" t="s">
        <v>99</v>
      </c>
      <c r="F7" s="167" t="s">
        <v>100</v>
      </c>
      <c r="G7" s="124">
        <v>118</v>
      </c>
      <c r="H7" s="124">
        <v>4</v>
      </c>
      <c r="I7" s="246">
        <f>1908861+1583540+976953.5+606582.5</f>
        <v>5075937</v>
      </c>
      <c r="J7" s="186">
        <f>267837+226672+141343+93283</f>
        <v>729135</v>
      </c>
      <c r="K7" s="190">
        <f t="shared" si="0"/>
        <v>6.961587360365365</v>
      </c>
    </row>
    <row r="8" spans="1:11" s="39" customFormat="1" ht="14.25" customHeight="1">
      <c r="A8" s="52">
        <v>5</v>
      </c>
      <c r="B8" s="133"/>
      <c r="C8" s="167" t="s">
        <v>3</v>
      </c>
      <c r="D8" s="79">
        <v>38765</v>
      </c>
      <c r="E8" s="167" t="s">
        <v>52</v>
      </c>
      <c r="F8" s="167" t="s">
        <v>142</v>
      </c>
      <c r="G8" s="124">
        <v>164</v>
      </c>
      <c r="H8" s="124">
        <v>12</v>
      </c>
      <c r="I8" s="249">
        <v>4207819.5</v>
      </c>
      <c r="J8" s="192">
        <v>640606</v>
      </c>
      <c r="K8" s="190">
        <f t="shared" si="0"/>
        <v>6.568498421806852</v>
      </c>
    </row>
    <row r="9" spans="1:11" s="39" customFormat="1" ht="14.25" customHeight="1">
      <c r="A9" s="52">
        <v>6</v>
      </c>
      <c r="B9" s="133"/>
      <c r="C9" s="167" t="s">
        <v>33</v>
      </c>
      <c r="D9" s="79">
        <v>38758</v>
      </c>
      <c r="E9" s="167" t="s">
        <v>99</v>
      </c>
      <c r="F9" s="167" t="s">
        <v>119</v>
      </c>
      <c r="G9" s="124">
        <v>80</v>
      </c>
      <c r="H9" s="124">
        <v>13</v>
      </c>
      <c r="I9" s="246">
        <f>1046144.5+776147+471268+342390+240709.5+167344+96416.5+41350+35967.5+31795.5+14506+10028+6242</f>
        <v>3280308.5</v>
      </c>
      <c r="J9" s="186">
        <f>153560+115584+70079+59336+46681+34549+19625+8318+8035+8705+3661+2044+1179</f>
        <v>531356</v>
      </c>
      <c r="K9" s="190">
        <f t="shared" si="0"/>
        <v>6.173466564788955</v>
      </c>
    </row>
    <row r="10" spans="1:11" s="39" customFormat="1" ht="14.25" customHeight="1">
      <c r="A10" s="52">
        <v>7</v>
      </c>
      <c r="B10" s="133"/>
      <c r="C10" s="125" t="s">
        <v>225</v>
      </c>
      <c r="D10" s="42">
        <v>38730</v>
      </c>
      <c r="E10" s="125" t="s">
        <v>97</v>
      </c>
      <c r="F10" s="125" t="s">
        <v>102</v>
      </c>
      <c r="G10" s="120">
        <v>116</v>
      </c>
      <c r="H10" s="120">
        <v>17</v>
      </c>
      <c r="I10" s="249">
        <v>3274893</v>
      </c>
      <c r="J10" s="186">
        <v>466142</v>
      </c>
      <c r="K10" s="190">
        <f t="shared" si="0"/>
        <v>7.025526556285424</v>
      </c>
    </row>
    <row r="11" spans="1:11" s="39" customFormat="1" ht="14.25" customHeight="1">
      <c r="A11" s="52">
        <v>8</v>
      </c>
      <c r="B11" s="133"/>
      <c r="C11" s="125" t="s">
        <v>92</v>
      </c>
      <c r="D11" s="42">
        <v>38807</v>
      </c>
      <c r="E11" s="125" t="s">
        <v>93</v>
      </c>
      <c r="F11" s="125" t="s">
        <v>94</v>
      </c>
      <c r="G11" s="120">
        <v>115</v>
      </c>
      <c r="H11" s="120">
        <v>5</v>
      </c>
      <c r="I11" s="246">
        <v>2073930.1</v>
      </c>
      <c r="J11" s="186">
        <v>287319</v>
      </c>
      <c r="K11" s="189">
        <f t="shared" si="0"/>
        <v>7.218214249666747</v>
      </c>
    </row>
    <row r="12" spans="1:11" s="39" customFormat="1" ht="14.25" customHeight="1">
      <c r="A12" s="52">
        <v>9</v>
      </c>
      <c r="B12" s="133"/>
      <c r="C12" s="125" t="s">
        <v>56</v>
      </c>
      <c r="D12" s="42">
        <v>38744</v>
      </c>
      <c r="E12" s="125" t="s">
        <v>97</v>
      </c>
      <c r="F12" s="125" t="s">
        <v>124</v>
      </c>
      <c r="G12" s="120">
        <v>71</v>
      </c>
      <c r="H12" s="120">
        <v>14</v>
      </c>
      <c r="I12" s="246">
        <v>1845007</v>
      </c>
      <c r="J12" s="186">
        <v>228970</v>
      </c>
      <c r="K12" s="189">
        <f t="shared" si="0"/>
        <v>8.057854740795737</v>
      </c>
    </row>
    <row r="13" spans="1:11" s="39" customFormat="1" ht="14.25" customHeight="1">
      <c r="A13" s="52">
        <v>10</v>
      </c>
      <c r="B13" s="133"/>
      <c r="C13" s="125" t="s">
        <v>70</v>
      </c>
      <c r="D13" s="42">
        <v>38793</v>
      </c>
      <c r="E13" s="125" t="s">
        <v>97</v>
      </c>
      <c r="F13" s="125" t="s">
        <v>98</v>
      </c>
      <c r="G13" s="120">
        <v>129</v>
      </c>
      <c r="H13" s="120">
        <v>8</v>
      </c>
      <c r="I13" s="246">
        <v>1782416</v>
      </c>
      <c r="J13" s="186">
        <v>270816</v>
      </c>
      <c r="K13" s="190">
        <f t="shared" si="0"/>
        <v>6.5816495332624365</v>
      </c>
    </row>
    <row r="14" spans="1:11" s="39" customFormat="1" ht="14.25" customHeight="1">
      <c r="A14" s="52">
        <v>11</v>
      </c>
      <c r="B14" s="133"/>
      <c r="C14" s="125" t="s">
        <v>25</v>
      </c>
      <c r="D14" s="42">
        <v>38786</v>
      </c>
      <c r="E14" s="169" t="s">
        <v>96</v>
      </c>
      <c r="F14" s="125" t="s">
        <v>104</v>
      </c>
      <c r="G14" s="120">
        <v>36</v>
      </c>
      <c r="H14" s="120">
        <v>9</v>
      </c>
      <c r="I14" s="247">
        <f>766172.5+426876.5+722.5+265870+79562.5+40+30203.5+20801+7671+6348+3330</f>
        <v>1607597.5</v>
      </c>
      <c r="J14" s="198">
        <f>104283+58908+78+37818+14443+4+6768+4620+1770+1277+711</f>
        <v>230680</v>
      </c>
      <c r="K14" s="190">
        <f t="shared" si="0"/>
        <v>6.968950494191088</v>
      </c>
    </row>
    <row r="15" spans="1:11" s="39" customFormat="1" ht="14.25" customHeight="1">
      <c r="A15" s="52">
        <v>12</v>
      </c>
      <c r="B15" s="133"/>
      <c r="C15" s="125" t="s">
        <v>185</v>
      </c>
      <c r="D15" s="42">
        <v>38842</v>
      </c>
      <c r="E15" s="125" t="s">
        <v>97</v>
      </c>
      <c r="F15" s="125" t="s">
        <v>114</v>
      </c>
      <c r="G15" s="120">
        <v>173</v>
      </c>
      <c r="H15" s="120">
        <v>1</v>
      </c>
      <c r="I15" s="246">
        <v>1560949</v>
      </c>
      <c r="J15" s="186">
        <v>200826</v>
      </c>
      <c r="K15" s="190">
        <f t="shared" si="0"/>
        <v>7.772643980361108</v>
      </c>
    </row>
    <row r="16" spans="1:13" s="39" customFormat="1" ht="14.25" customHeight="1">
      <c r="A16" s="52">
        <v>13</v>
      </c>
      <c r="B16" s="133"/>
      <c r="C16" s="125" t="s">
        <v>144</v>
      </c>
      <c r="D16" s="42">
        <v>38751</v>
      </c>
      <c r="E16" s="125" t="s">
        <v>97</v>
      </c>
      <c r="F16" s="125" t="s">
        <v>110</v>
      </c>
      <c r="G16" s="120">
        <v>51</v>
      </c>
      <c r="H16" s="120">
        <v>13</v>
      </c>
      <c r="I16" s="246">
        <v>1331905</v>
      </c>
      <c r="J16" s="186">
        <v>173821</v>
      </c>
      <c r="K16" s="190">
        <f t="shared" si="0"/>
        <v>7.662509132958618</v>
      </c>
      <c r="M16" s="66"/>
    </row>
    <row r="17" spans="1:11" s="39" customFormat="1" ht="14.25" customHeight="1">
      <c r="A17" s="52">
        <v>14</v>
      </c>
      <c r="B17" s="133"/>
      <c r="C17" s="125" t="s">
        <v>28</v>
      </c>
      <c r="D17" s="42">
        <v>38758</v>
      </c>
      <c r="E17" s="169" t="s">
        <v>96</v>
      </c>
      <c r="F17" s="125" t="s">
        <v>104</v>
      </c>
      <c r="G17" s="120">
        <v>61</v>
      </c>
      <c r="H17" s="120">
        <v>13</v>
      </c>
      <c r="I17" s="247">
        <f>532455+375378.5+1288+209157.5+74302.5+38855.5+4630+21016.5+13072+2309+5106+4417+5902+1814.5+1188</f>
        <v>1290892</v>
      </c>
      <c r="J17" s="198">
        <f>61952+44929+104+25802+9625+5738+693+3941-2+1998+265+605+699+1165+276+358</f>
        <v>158148</v>
      </c>
      <c r="K17" s="190">
        <f t="shared" si="0"/>
        <v>8.162556592558868</v>
      </c>
    </row>
    <row r="18" spans="1:11" s="39" customFormat="1" ht="14.25" customHeight="1">
      <c r="A18" s="52">
        <v>15</v>
      </c>
      <c r="B18" s="133"/>
      <c r="C18" s="125" t="s">
        <v>30</v>
      </c>
      <c r="D18" s="42">
        <v>38730</v>
      </c>
      <c r="E18" s="169" t="s">
        <v>96</v>
      </c>
      <c r="F18" s="125" t="s">
        <v>49</v>
      </c>
      <c r="G18" s="120">
        <v>62</v>
      </c>
      <c r="H18" s="120">
        <v>16</v>
      </c>
      <c r="I18" s="247">
        <f>620634.5+342052.5+188118+10733+4394+3499+5130.5+267+2707.5+1265.5+1567+387+1177+148+551+59</f>
        <v>1182690.5</v>
      </c>
      <c r="J18" s="198">
        <f>71532+39787+22209+1403+667+665+1174+78+545+187+307+74+286+21+88+9</f>
        <v>139032</v>
      </c>
      <c r="K18" s="190">
        <f t="shared" si="0"/>
        <v>8.506606392772888</v>
      </c>
    </row>
    <row r="19" spans="1:11" s="39" customFormat="1" ht="14.25" customHeight="1">
      <c r="A19" s="52">
        <v>16</v>
      </c>
      <c r="B19" s="133"/>
      <c r="C19" s="119" t="s">
        <v>29</v>
      </c>
      <c r="D19" s="42">
        <v>38737</v>
      </c>
      <c r="E19" s="169" t="s">
        <v>96</v>
      </c>
      <c r="F19" s="125" t="s">
        <v>104</v>
      </c>
      <c r="G19" s="120">
        <v>59</v>
      </c>
      <c r="H19" s="120">
        <v>13</v>
      </c>
      <c r="I19" s="247">
        <f>608427+380282+114207+9532.5+267+10793+13396.5+5792+7887+5035.5+7591+2654+5417+339</f>
        <v>1171620.5</v>
      </c>
      <c r="J19" s="198">
        <f>84958+53848+16688+1589+36+2247+2850+1209+1697+1120+1428+513+1135+61</f>
        <v>169379</v>
      </c>
      <c r="K19" s="268">
        <f>I19/J19</f>
        <v>6.917153248041375</v>
      </c>
    </row>
    <row r="20" spans="1:11" s="39" customFormat="1" ht="14.25" customHeight="1">
      <c r="A20" s="52">
        <v>17</v>
      </c>
      <c r="B20" s="133"/>
      <c r="C20" s="167" t="s">
        <v>86</v>
      </c>
      <c r="D20" s="79">
        <v>38800</v>
      </c>
      <c r="E20" s="167" t="s">
        <v>99</v>
      </c>
      <c r="F20" s="167" t="s">
        <v>100</v>
      </c>
      <c r="G20" s="124">
        <v>92</v>
      </c>
      <c r="H20" s="124">
        <v>7</v>
      </c>
      <c r="I20" s="246">
        <f>481751.5+308419.5+242119.5+52953+38471.5+16408.5+18127</f>
        <v>1158250.5</v>
      </c>
      <c r="J20" s="186">
        <f>67910+40806+32344+8727+9142+4213+4473</f>
        <v>167615</v>
      </c>
      <c r="K20" s="190">
        <f>+I20/J20</f>
        <v>6.91018405273991</v>
      </c>
    </row>
    <row r="21" spans="1:11" s="39" customFormat="1" ht="14.25" customHeight="1">
      <c r="A21" s="52">
        <v>18</v>
      </c>
      <c r="B21" s="133"/>
      <c r="C21" s="119" t="s">
        <v>27</v>
      </c>
      <c r="D21" s="42">
        <v>38772</v>
      </c>
      <c r="E21" s="169" t="s">
        <v>96</v>
      </c>
      <c r="F21" s="125" t="s">
        <v>112</v>
      </c>
      <c r="G21" s="120">
        <v>85</v>
      </c>
      <c r="H21" s="120">
        <v>8</v>
      </c>
      <c r="I21" s="247">
        <f>567539+316479.5+147520.5+33631.5+20525+10752+2179+662</f>
        <v>1099288.5</v>
      </c>
      <c r="J21" s="198">
        <f>70751+40533+20089+5992+4309+2533+671+110</f>
        <v>144988</v>
      </c>
      <c r="K21" s="268">
        <f>I21/J21</f>
        <v>7.581927469859575</v>
      </c>
    </row>
    <row r="22" spans="1:11" s="39" customFormat="1" ht="14.25" customHeight="1">
      <c r="A22" s="52">
        <v>19</v>
      </c>
      <c r="B22" s="133"/>
      <c r="C22" s="125" t="s">
        <v>26</v>
      </c>
      <c r="D22" s="42">
        <v>38779</v>
      </c>
      <c r="E22" s="169" t="s">
        <v>96</v>
      </c>
      <c r="F22" s="125" t="s">
        <v>104</v>
      </c>
      <c r="G22" s="120">
        <v>96</v>
      </c>
      <c r="H22" s="120">
        <v>8</v>
      </c>
      <c r="I22" s="247">
        <f>548794+335797+701.5+148448.5+3571+32617.5+14092-3800+4657-453+614+455+1282.5+769</f>
        <v>1087546</v>
      </c>
      <c r="J22" s="198">
        <f>69211+43223+82+20305+51+6206+3183-272+1252-105+122+156+265+127</f>
        <v>143806</v>
      </c>
      <c r="K22" s="190">
        <f>+I22/J22</f>
        <v>7.562591268792679</v>
      </c>
    </row>
    <row r="23" spans="1:11" s="39" customFormat="1" ht="14.25" customHeight="1">
      <c r="A23" s="52">
        <v>20</v>
      </c>
      <c r="B23" s="133"/>
      <c r="C23" s="125" t="s">
        <v>136</v>
      </c>
      <c r="D23" s="42">
        <v>38814</v>
      </c>
      <c r="E23" s="169" t="s">
        <v>96</v>
      </c>
      <c r="F23" s="125" t="s">
        <v>137</v>
      </c>
      <c r="G23" s="120">
        <v>124</v>
      </c>
      <c r="H23" s="120">
        <v>5</v>
      </c>
      <c r="I23" s="247">
        <f>439414+274192+192421+64.5+69171.5+43293.5-3918</f>
        <v>1014638.5</v>
      </c>
      <c r="J23" s="198">
        <f>65914+42392+32259+2+13519+9474-1031</f>
        <v>162529</v>
      </c>
      <c r="K23" s="190">
        <f>+I23/J23</f>
        <v>6.24281512837709</v>
      </c>
    </row>
    <row r="24" spans="1:11" s="39" customFormat="1" ht="14.25" customHeight="1">
      <c r="A24" s="52">
        <v>21</v>
      </c>
      <c r="B24" s="133"/>
      <c r="C24" s="125" t="s">
        <v>64</v>
      </c>
      <c r="D24" s="42">
        <v>38779</v>
      </c>
      <c r="E24" s="125" t="s">
        <v>97</v>
      </c>
      <c r="F24" s="125" t="s">
        <v>102</v>
      </c>
      <c r="G24" s="120">
        <v>72</v>
      </c>
      <c r="H24" s="120">
        <v>24</v>
      </c>
      <c r="I24" s="246">
        <v>962280</v>
      </c>
      <c r="J24" s="186">
        <v>142392</v>
      </c>
      <c r="K24" s="190">
        <f>+I24/J24</f>
        <v>6.757963930557897</v>
      </c>
    </row>
    <row r="25" spans="1:11" s="39" customFormat="1" ht="14.25" customHeight="1">
      <c r="A25" s="52">
        <v>22</v>
      </c>
      <c r="B25" s="133"/>
      <c r="C25" s="167" t="s">
        <v>43</v>
      </c>
      <c r="D25" s="79">
        <v>38737</v>
      </c>
      <c r="E25" s="168" t="s">
        <v>99</v>
      </c>
      <c r="F25" s="167" t="s">
        <v>123</v>
      </c>
      <c r="G25" s="124">
        <v>43</v>
      </c>
      <c r="H25" s="124">
        <v>13</v>
      </c>
      <c r="I25" s="254">
        <f>396203.5+294727+144308+39007.5+20845+13381+3440+5237.5+6333+2618+1285+5683+2376</f>
        <v>935444.5</v>
      </c>
      <c r="J25" s="255">
        <f>47896+35851+17460+6558+3746+4007+1374+1611+1950+556+169+1830+1188</f>
        <v>124196</v>
      </c>
      <c r="K25" s="189">
        <f>IF(I25&lt;&gt;0,I25/J25,"")</f>
        <v>7.532001835807916</v>
      </c>
    </row>
    <row r="26" spans="1:11" s="39" customFormat="1" ht="14.25" customHeight="1">
      <c r="A26" s="52">
        <v>23</v>
      </c>
      <c r="B26" s="133"/>
      <c r="C26" s="125" t="s">
        <v>176</v>
      </c>
      <c r="D26" s="42">
        <v>38821</v>
      </c>
      <c r="E26" s="125" t="s">
        <v>97</v>
      </c>
      <c r="F26" s="125" t="s">
        <v>102</v>
      </c>
      <c r="G26" s="120">
        <v>94</v>
      </c>
      <c r="H26" s="120">
        <v>4</v>
      </c>
      <c r="I26" s="246">
        <v>901950</v>
      </c>
      <c r="J26" s="186">
        <v>129043</v>
      </c>
      <c r="K26" s="189">
        <f aca="true" t="shared" si="1" ref="K26:K38">+I26/J26</f>
        <v>6.989530621575754</v>
      </c>
    </row>
    <row r="27" spans="1:11" s="39" customFormat="1" ht="14.25" customHeight="1">
      <c r="A27" s="52">
        <v>24</v>
      </c>
      <c r="B27" s="133"/>
      <c r="C27" s="125" t="s">
        <v>95</v>
      </c>
      <c r="D27" s="42">
        <v>38807</v>
      </c>
      <c r="E27" s="169" t="s">
        <v>96</v>
      </c>
      <c r="F27" s="125" t="s">
        <v>49</v>
      </c>
      <c r="G27" s="120">
        <v>77</v>
      </c>
      <c r="H27" s="120">
        <v>6</v>
      </c>
      <c r="I27" s="247">
        <f>360631+281662+146898.5-10+41732+5+35353+15128</f>
        <v>881399.5</v>
      </c>
      <c r="J27" s="198">
        <f>47208+36381+19166-5+6638+7219+4011</f>
        <v>120618</v>
      </c>
      <c r="K27" s="190">
        <f t="shared" si="1"/>
        <v>7.307362914324562</v>
      </c>
    </row>
    <row r="28" spans="1:11" s="39" customFormat="1" ht="14.25" customHeight="1">
      <c r="A28" s="52">
        <v>25</v>
      </c>
      <c r="B28" s="133"/>
      <c r="C28" s="125" t="s">
        <v>82</v>
      </c>
      <c r="D28" s="42">
        <v>38800</v>
      </c>
      <c r="E28" s="125" t="s">
        <v>71</v>
      </c>
      <c r="F28" s="125" t="s">
        <v>139</v>
      </c>
      <c r="G28" s="120">
        <v>58</v>
      </c>
      <c r="H28" s="120">
        <v>7</v>
      </c>
      <c r="I28" s="248">
        <f>350945.5+222517.5+139156.5+40897.5+38142.5+25481.5+16036.5</f>
        <v>833177.5</v>
      </c>
      <c r="J28" s="186">
        <f>46256+31606+20219+8293+8608+6050+3760</f>
        <v>124792</v>
      </c>
      <c r="K28" s="190">
        <f t="shared" si="1"/>
        <v>6.676529745496506</v>
      </c>
    </row>
    <row r="29" spans="1:11" s="39" customFormat="1" ht="14.25" customHeight="1">
      <c r="A29" s="52">
        <v>26</v>
      </c>
      <c r="B29" s="133"/>
      <c r="C29" s="125" t="s">
        <v>215</v>
      </c>
      <c r="D29" s="42">
        <v>38772</v>
      </c>
      <c r="E29" s="125" t="s">
        <v>97</v>
      </c>
      <c r="F29" s="125" t="s">
        <v>110</v>
      </c>
      <c r="G29" s="120">
        <v>62</v>
      </c>
      <c r="H29" s="120">
        <v>11</v>
      </c>
      <c r="I29" s="246">
        <v>820681</v>
      </c>
      <c r="J29" s="186">
        <v>108007</v>
      </c>
      <c r="K29" s="189">
        <f t="shared" si="1"/>
        <v>7.598405658892479</v>
      </c>
    </row>
    <row r="30" spans="1:11" s="39" customFormat="1" ht="14.25" customHeight="1">
      <c r="A30" s="52">
        <v>27</v>
      </c>
      <c r="B30" s="133"/>
      <c r="C30" s="125" t="s">
        <v>173</v>
      </c>
      <c r="D30" s="42">
        <v>38835</v>
      </c>
      <c r="E30" s="125" t="s">
        <v>97</v>
      </c>
      <c r="F30" s="125" t="s">
        <v>110</v>
      </c>
      <c r="G30" s="120">
        <v>71</v>
      </c>
      <c r="H30" s="120">
        <v>2</v>
      </c>
      <c r="I30" s="246">
        <v>760525</v>
      </c>
      <c r="J30" s="186">
        <v>88179</v>
      </c>
      <c r="K30" s="190">
        <f t="shared" si="1"/>
        <v>8.624785946767371</v>
      </c>
    </row>
    <row r="31" spans="1:11" s="39" customFormat="1" ht="14.25" customHeight="1">
      <c r="A31" s="52">
        <v>28</v>
      </c>
      <c r="B31" s="133"/>
      <c r="C31" s="125" t="s">
        <v>69</v>
      </c>
      <c r="D31" s="42">
        <v>38793</v>
      </c>
      <c r="E31" s="169" t="s">
        <v>96</v>
      </c>
      <c r="F31" s="125" t="s">
        <v>49</v>
      </c>
      <c r="G31" s="120">
        <v>20</v>
      </c>
      <c r="H31" s="120">
        <v>8</v>
      </c>
      <c r="I31" s="247">
        <f>382650.25+216772+80793+19622+15213+10279+6237+3281.5</f>
        <v>734847.75</v>
      </c>
      <c r="J31" s="198">
        <f>44423+25158+2+10694+4081+3731+2440+1502+538</f>
        <v>92569</v>
      </c>
      <c r="K31" s="190">
        <f t="shared" si="1"/>
        <v>7.938378398816019</v>
      </c>
    </row>
    <row r="32" spans="1:11" s="39" customFormat="1" ht="14.25" customHeight="1">
      <c r="A32" s="52">
        <v>29</v>
      </c>
      <c r="B32" s="133"/>
      <c r="C32" s="125" t="s">
        <v>88</v>
      </c>
      <c r="D32" s="42">
        <v>38765</v>
      </c>
      <c r="E32" s="169" t="s">
        <v>96</v>
      </c>
      <c r="F32" s="125" t="s">
        <v>111</v>
      </c>
      <c r="G32" s="120">
        <v>24</v>
      </c>
      <c r="H32" s="120">
        <v>10</v>
      </c>
      <c r="I32" s="247">
        <f>233855.5+204363.5+128310.5+63025+34881+574.5+33654+11641+7934+7483+300</f>
        <v>726022</v>
      </c>
      <c r="J32" s="198">
        <f>23969+21050+14093+7549+5203+51+5592+2578+1510+1129+34</f>
        <v>82758</v>
      </c>
      <c r="K32" s="190">
        <f t="shared" si="1"/>
        <v>8.772831629570556</v>
      </c>
    </row>
    <row r="33" spans="1:11" s="39" customFormat="1" ht="14.25" customHeight="1">
      <c r="A33" s="52">
        <v>30</v>
      </c>
      <c r="B33" s="133"/>
      <c r="C33" s="125" t="s">
        <v>155</v>
      </c>
      <c r="D33" s="42">
        <v>38828</v>
      </c>
      <c r="E33" s="169" t="s">
        <v>96</v>
      </c>
      <c r="F33" s="125" t="s">
        <v>112</v>
      </c>
      <c r="G33" s="120">
        <v>54</v>
      </c>
      <c r="H33" s="120">
        <v>3</v>
      </c>
      <c r="I33" s="247">
        <f>365673.5+242198.5+102288+967.5</f>
        <v>711127.5</v>
      </c>
      <c r="J33" s="198">
        <f>45213+29847+13085+1</f>
        <v>88146</v>
      </c>
      <c r="K33" s="190">
        <f t="shared" si="1"/>
        <v>8.067609420733783</v>
      </c>
    </row>
    <row r="34" spans="1:11" s="39" customFormat="1" ht="14.25" customHeight="1">
      <c r="A34" s="52">
        <v>31</v>
      </c>
      <c r="B34" s="133"/>
      <c r="C34" s="167" t="s">
        <v>174</v>
      </c>
      <c r="D34" s="79">
        <v>38835</v>
      </c>
      <c r="E34" s="167" t="s">
        <v>99</v>
      </c>
      <c r="F34" s="167" t="s">
        <v>129</v>
      </c>
      <c r="G34" s="124">
        <v>65</v>
      </c>
      <c r="H34" s="124">
        <v>2</v>
      </c>
      <c r="I34" s="246">
        <f>381578+253958</f>
        <v>635536</v>
      </c>
      <c r="J34" s="186">
        <f>51957+35225</f>
        <v>87182</v>
      </c>
      <c r="K34" s="190">
        <f t="shared" si="1"/>
        <v>7.289761648046615</v>
      </c>
    </row>
    <row r="35" spans="1:11" s="39" customFormat="1" ht="14.25" customHeight="1">
      <c r="A35" s="52">
        <v>32</v>
      </c>
      <c r="B35" s="133"/>
      <c r="C35" s="125" t="s">
        <v>36</v>
      </c>
      <c r="D35" s="42">
        <v>38716</v>
      </c>
      <c r="E35" s="169" t="s">
        <v>96</v>
      </c>
      <c r="F35" s="125" t="s">
        <v>104</v>
      </c>
      <c r="G35" s="120">
        <v>60</v>
      </c>
      <c r="H35" s="120">
        <v>14</v>
      </c>
      <c r="I35" s="247">
        <f>585119+1780+1044</f>
        <v>587943</v>
      </c>
      <c r="J35" s="198">
        <f>83689+369+235</f>
        <v>84293</v>
      </c>
      <c r="K35" s="190">
        <f t="shared" si="1"/>
        <v>6.974991992217622</v>
      </c>
    </row>
    <row r="36" spans="1:11" s="39" customFormat="1" ht="14.25" customHeight="1">
      <c r="A36" s="52">
        <v>33</v>
      </c>
      <c r="B36" s="133"/>
      <c r="C36" s="125" t="s">
        <v>101</v>
      </c>
      <c r="D36" s="42">
        <v>38807</v>
      </c>
      <c r="E36" s="125" t="s">
        <v>97</v>
      </c>
      <c r="F36" s="125" t="s">
        <v>102</v>
      </c>
      <c r="G36" s="120">
        <v>62</v>
      </c>
      <c r="H36" s="120">
        <v>6</v>
      </c>
      <c r="I36" s="246">
        <v>541653</v>
      </c>
      <c r="J36" s="186">
        <v>70140</v>
      </c>
      <c r="K36" s="190">
        <f t="shared" si="1"/>
        <v>7.722455089820359</v>
      </c>
    </row>
    <row r="37" spans="1:11" s="39" customFormat="1" ht="14.25" customHeight="1">
      <c r="A37" s="52">
        <v>34</v>
      </c>
      <c r="B37" s="133"/>
      <c r="C37" s="125" t="s">
        <v>165</v>
      </c>
      <c r="D37" s="42">
        <v>38786</v>
      </c>
      <c r="E37" s="125" t="s">
        <v>97</v>
      </c>
      <c r="F37" s="125" t="s">
        <v>114</v>
      </c>
      <c r="G37" s="120">
        <v>63</v>
      </c>
      <c r="H37" s="120">
        <v>9</v>
      </c>
      <c r="I37" s="246">
        <v>504709</v>
      </c>
      <c r="J37" s="186">
        <v>63289</v>
      </c>
      <c r="K37" s="189">
        <f t="shared" si="1"/>
        <v>7.974671743904944</v>
      </c>
    </row>
    <row r="38" spans="1:11" s="39" customFormat="1" ht="14.25" customHeight="1">
      <c r="A38" s="52">
        <v>35</v>
      </c>
      <c r="B38" s="133"/>
      <c r="C38" s="125" t="s">
        <v>80</v>
      </c>
      <c r="D38" s="42">
        <v>38800</v>
      </c>
      <c r="E38" s="169" t="s">
        <v>96</v>
      </c>
      <c r="F38" s="125" t="s">
        <v>186</v>
      </c>
      <c r="G38" s="120">
        <v>36</v>
      </c>
      <c r="H38" s="120">
        <v>7</v>
      </c>
      <c r="I38" s="247">
        <f>288395.5+117307+73357+9936.5+3180.5+6040+3145</f>
        <v>501361.5</v>
      </c>
      <c r="J38" s="198">
        <f>32591+13752+9420+1407+573+1208+527</f>
        <v>59478</v>
      </c>
      <c r="K38" s="190">
        <f t="shared" si="1"/>
        <v>8.429360435791384</v>
      </c>
    </row>
    <row r="39" spans="1:11" s="39" customFormat="1" ht="14.25" customHeight="1">
      <c r="A39" s="52">
        <v>36</v>
      </c>
      <c r="B39" s="133"/>
      <c r="C39" s="125" t="s">
        <v>55</v>
      </c>
      <c r="D39" s="42">
        <v>38751</v>
      </c>
      <c r="E39" s="169" t="s">
        <v>97</v>
      </c>
      <c r="F39" s="125" t="s">
        <v>93</v>
      </c>
      <c r="G39" s="120">
        <v>27</v>
      </c>
      <c r="H39" s="120">
        <v>13</v>
      </c>
      <c r="I39" s="246">
        <v>478607</v>
      </c>
      <c r="J39" s="256">
        <v>55602</v>
      </c>
      <c r="K39" s="189">
        <f>IF(I39&lt;&gt;0,I39/J39,"")</f>
        <v>8.607729937772023</v>
      </c>
    </row>
    <row r="40" spans="1:11" s="39" customFormat="1" ht="14.25" customHeight="1">
      <c r="A40" s="52">
        <v>37</v>
      </c>
      <c r="B40" s="133"/>
      <c r="C40" s="167" t="s">
        <v>156</v>
      </c>
      <c r="D40" s="79">
        <v>38828</v>
      </c>
      <c r="E40" s="167" t="s">
        <v>99</v>
      </c>
      <c r="F40" s="167" t="s">
        <v>123</v>
      </c>
      <c r="G40" s="124">
        <v>43</v>
      </c>
      <c r="H40" s="124">
        <v>3</v>
      </c>
      <c r="I40" s="246">
        <f>221837.5+151726+100334.5</f>
        <v>473898</v>
      </c>
      <c r="J40" s="186">
        <f>31465+21243+15047</f>
        <v>67755</v>
      </c>
      <c r="K40" s="189">
        <f aca="true" t="shared" si="2" ref="K40:K46">+I40/J40</f>
        <v>6.994288244410007</v>
      </c>
    </row>
    <row r="41" spans="1:11" s="39" customFormat="1" ht="14.25" customHeight="1">
      <c r="A41" s="52">
        <v>38</v>
      </c>
      <c r="B41" s="133"/>
      <c r="C41" s="125" t="s">
        <v>85</v>
      </c>
      <c r="D41" s="42">
        <v>38793</v>
      </c>
      <c r="E41" s="167" t="s">
        <v>99</v>
      </c>
      <c r="F41" s="125" t="s">
        <v>191</v>
      </c>
      <c r="G41" s="120">
        <v>50</v>
      </c>
      <c r="H41" s="120">
        <v>8</v>
      </c>
      <c r="I41" s="246">
        <f>196913+123210+45760+23987+14825+9931+11940+5017.5</f>
        <v>431583.5</v>
      </c>
      <c r="J41" s="186">
        <f>26732+15006+5997+4114+3495+3333+3072+1744</f>
        <v>63493</v>
      </c>
      <c r="K41" s="190">
        <f t="shared" si="2"/>
        <v>6.797339864237003</v>
      </c>
    </row>
    <row r="42" spans="1:11" s="39" customFormat="1" ht="14.25" customHeight="1">
      <c r="A42" s="52">
        <v>39</v>
      </c>
      <c r="B42" s="133"/>
      <c r="C42" s="125" t="s">
        <v>138</v>
      </c>
      <c r="D42" s="42">
        <v>38814</v>
      </c>
      <c r="E42" s="125" t="s">
        <v>71</v>
      </c>
      <c r="F42" s="125" t="s">
        <v>139</v>
      </c>
      <c r="G42" s="120">
        <v>56</v>
      </c>
      <c r="H42" s="120">
        <v>5</v>
      </c>
      <c r="I42" s="248">
        <f>217941.5+99459+32613+17816.5+8424.5</f>
        <v>376254.5</v>
      </c>
      <c r="J42" s="186">
        <f>30137+15034+5570+3956+2001</f>
        <v>56698</v>
      </c>
      <c r="K42" s="190">
        <f t="shared" si="2"/>
        <v>6.6361159123778615</v>
      </c>
    </row>
    <row r="43" spans="1:11" s="39" customFormat="1" ht="14.25" customHeight="1">
      <c r="A43" s="52">
        <v>40</v>
      </c>
      <c r="B43" s="133"/>
      <c r="C43" s="167" t="s">
        <v>148</v>
      </c>
      <c r="D43" s="79">
        <v>38814</v>
      </c>
      <c r="E43" s="167" t="s">
        <v>99</v>
      </c>
      <c r="F43" s="167" t="s">
        <v>160</v>
      </c>
      <c r="G43" s="124">
        <v>50</v>
      </c>
      <c r="H43" s="124">
        <v>5</v>
      </c>
      <c r="I43" s="246">
        <f>159204+117003.5+55112+26308.5+8703</f>
        <v>366331</v>
      </c>
      <c r="J43" s="186">
        <f>19860+13877+7175+4316+1437</f>
        <v>46665</v>
      </c>
      <c r="K43" s="189">
        <f t="shared" si="2"/>
        <v>7.850230365370192</v>
      </c>
    </row>
    <row r="44" spans="1:11" s="39" customFormat="1" ht="14.25" customHeight="1">
      <c r="A44" s="52">
        <v>41</v>
      </c>
      <c r="B44" s="133"/>
      <c r="C44" s="167" t="s">
        <v>195</v>
      </c>
      <c r="D44" s="79">
        <v>38765</v>
      </c>
      <c r="E44" s="167" t="s">
        <v>97</v>
      </c>
      <c r="F44" s="167" t="s">
        <v>114</v>
      </c>
      <c r="G44" s="124">
        <v>41</v>
      </c>
      <c r="H44" s="124">
        <v>12</v>
      </c>
      <c r="I44" s="249">
        <v>334661</v>
      </c>
      <c r="J44" s="186">
        <v>45663</v>
      </c>
      <c r="K44" s="189">
        <f t="shared" si="2"/>
        <v>7.328931520049055</v>
      </c>
    </row>
    <row r="45" spans="1:11" s="39" customFormat="1" ht="14.25" customHeight="1">
      <c r="A45" s="52">
        <v>42</v>
      </c>
      <c r="B45" s="133"/>
      <c r="C45" s="167" t="s">
        <v>143</v>
      </c>
      <c r="D45" s="79">
        <v>38772</v>
      </c>
      <c r="E45" s="167" t="s">
        <v>99</v>
      </c>
      <c r="F45" s="167" t="s">
        <v>100</v>
      </c>
      <c r="G45" s="124">
        <v>49</v>
      </c>
      <c r="H45" s="124">
        <v>11</v>
      </c>
      <c r="I45" s="246">
        <f>151711.5+80204.5+40498+22773.5+10013.5+8954+2475+789.5+1863+538.5+173</f>
        <v>319994</v>
      </c>
      <c r="J45" s="186">
        <f>20342+10373+5841+6919+2082+2313+566+196+713+99+43</f>
        <v>49487</v>
      </c>
      <c r="K45" s="190">
        <f t="shared" si="2"/>
        <v>6.466223452623922</v>
      </c>
    </row>
    <row r="46" spans="1:11" s="39" customFormat="1" ht="14.25" customHeight="1">
      <c r="A46" s="52">
        <v>43</v>
      </c>
      <c r="B46" s="133"/>
      <c r="C46" s="125" t="s">
        <v>158</v>
      </c>
      <c r="D46" s="42">
        <v>38821</v>
      </c>
      <c r="E46" s="169" t="s">
        <v>96</v>
      </c>
      <c r="F46" s="125" t="s">
        <v>104</v>
      </c>
      <c r="G46" s="120">
        <v>54</v>
      </c>
      <c r="H46" s="120">
        <v>4</v>
      </c>
      <c r="I46" s="247">
        <f>155465+86253.5+51+32563.5+13957.5</f>
        <v>288290.5</v>
      </c>
      <c r="J46" s="198">
        <f>21109+11912+4921+2568</f>
        <v>40510</v>
      </c>
      <c r="K46" s="190">
        <f t="shared" si="2"/>
        <v>7.116526783510245</v>
      </c>
    </row>
    <row r="47" spans="1:11" s="39" customFormat="1" ht="14.25" customHeight="1">
      <c r="A47" s="52">
        <v>44</v>
      </c>
      <c r="B47" s="133"/>
      <c r="C47" s="178" t="s">
        <v>130</v>
      </c>
      <c r="D47" s="79">
        <v>38751</v>
      </c>
      <c r="E47" s="257" t="s">
        <v>99</v>
      </c>
      <c r="F47" s="257" t="s">
        <v>100</v>
      </c>
      <c r="G47" s="163">
        <v>25</v>
      </c>
      <c r="H47" s="163">
        <v>9</v>
      </c>
      <c r="I47" s="249">
        <v>275432.5</v>
      </c>
      <c r="J47" s="192">
        <v>29916</v>
      </c>
      <c r="K47" s="189">
        <f>I47/J47</f>
        <v>9.206862548469047</v>
      </c>
    </row>
    <row r="48" spans="1:11" s="39" customFormat="1" ht="14.25" customHeight="1">
      <c r="A48" s="52">
        <v>45</v>
      </c>
      <c r="B48" s="133"/>
      <c r="C48" s="125" t="s">
        <v>147</v>
      </c>
      <c r="D48" s="42">
        <v>38821</v>
      </c>
      <c r="E48" s="169" t="s">
        <v>96</v>
      </c>
      <c r="F48" s="125" t="s">
        <v>145</v>
      </c>
      <c r="G48" s="120">
        <v>32</v>
      </c>
      <c r="H48" s="120">
        <v>4</v>
      </c>
      <c r="I48" s="247">
        <f>122911+88335.5+16+40828.5+16007.5</f>
        <v>268098.5</v>
      </c>
      <c r="J48" s="198">
        <f>13093+9562-3+4800+2670</f>
        <v>30122</v>
      </c>
      <c r="K48" s="190">
        <f>+I48/J48</f>
        <v>8.900421618750414</v>
      </c>
    </row>
    <row r="49" spans="1:11" s="39" customFormat="1" ht="14.25" customHeight="1">
      <c r="A49" s="52">
        <v>46</v>
      </c>
      <c r="B49" s="133"/>
      <c r="C49" s="125" t="s">
        <v>157</v>
      </c>
      <c r="D49" s="42">
        <v>38828</v>
      </c>
      <c r="E49" s="125" t="s">
        <v>97</v>
      </c>
      <c r="F49" s="125" t="s">
        <v>102</v>
      </c>
      <c r="G49" s="120">
        <v>46</v>
      </c>
      <c r="H49" s="120">
        <v>3</v>
      </c>
      <c r="I49" s="246">
        <v>260201</v>
      </c>
      <c r="J49" s="186">
        <v>30383</v>
      </c>
      <c r="K49" s="189">
        <f>+I49/J49</f>
        <v>8.564032518184511</v>
      </c>
    </row>
    <row r="50" spans="1:11" s="50" customFormat="1" ht="14.25" customHeight="1">
      <c r="A50" s="52">
        <v>47</v>
      </c>
      <c r="B50" s="133"/>
      <c r="C50" s="125" t="s">
        <v>57</v>
      </c>
      <c r="D50" s="42">
        <v>38737</v>
      </c>
      <c r="E50" s="169" t="s">
        <v>97</v>
      </c>
      <c r="F50" s="125" t="s">
        <v>183</v>
      </c>
      <c r="G50" s="120">
        <v>28</v>
      </c>
      <c r="H50" s="120">
        <v>12</v>
      </c>
      <c r="I50" s="258">
        <v>246387</v>
      </c>
      <c r="J50" s="256">
        <v>30377</v>
      </c>
      <c r="K50" s="189">
        <f>IF(I50&lt;&gt;0,I50/J50,"")</f>
        <v>8.110972117062252</v>
      </c>
    </row>
    <row r="51" spans="1:11" s="50" customFormat="1" ht="14.25" customHeight="1">
      <c r="A51" s="52">
        <v>48</v>
      </c>
      <c r="B51" s="133"/>
      <c r="C51" s="125" t="s">
        <v>83</v>
      </c>
      <c r="D51" s="42">
        <v>38793</v>
      </c>
      <c r="E51" s="125" t="s">
        <v>71</v>
      </c>
      <c r="F51" s="125" t="s">
        <v>108</v>
      </c>
      <c r="G51" s="120">
        <v>71</v>
      </c>
      <c r="H51" s="120">
        <v>8</v>
      </c>
      <c r="I51" s="248">
        <f>139188.5+65126.5+15320+6439+3617+3772+4116+209.5</f>
        <v>237788.5</v>
      </c>
      <c r="J51" s="186">
        <f>20151+10232+2945+1343+1021+739+717+69</f>
        <v>37217</v>
      </c>
      <c r="K51" s="190">
        <f>+I51/J51</f>
        <v>6.389244162613859</v>
      </c>
    </row>
    <row r="52" spans="1:11" s="50" customFormat="1" ht="14.25" customHeight="1">
      <c r="A52" s="52">
        <v>49</v>
      </c>
      <c r="B52" s="133"/>
      <c r="C52" s="125" t="s">
        <v>175</v>
      </c>
      <c r="D52" s="42">
        <v>38835</v>
      </c>
      <c r="E52" s="169" t="s">
        <v>96</v>
      </c>
      <c r="F52" s="125" t="s">
        <v>186</v>
      </c>
      <c r="G52" s="120">
        <v>40</v>
      </c>
      <c r="H52" s="120">
        <v>2</v>
      </c>
      <c r="I52" s="247">
        <f>140527+60007</f>
        <v>200534</v>
      </c>
      <c r="J52" s="198">
        <f>16242+7267</f>
        <v>23509</v>
      </c>
      <c r="K52" s="190">
        <f>+I52/J52</f>
        <v>8.530094857288699</v>
      </c>
    </row>
    <row r="53" spans="1:11" s="50" customFormat="1" ht="14.25" customHeight="1">
      <c r="A53" s="52">
        <v>50</v>
      </c>
      <c r="B53" s="133"/>
      <c r="C53" s="167" t="s">
        <v>0</v>
      </c>
      <c r="D53" s="79">
        <v>38786</v>
      </c>
      <c r="E53" s="167" t="s">
        <v>99</v>
      </c>
      <c r="F53" s="167" t="s">
        <v>108</v>
      </c>
      <c r="G53" s="124">
        <v>30</v>
      </c>
      <c r="H53" s="124">
        <v>9</v>
      </c>
      <c r="I53" s="246">
        <f>94630+42901+16809.5+16862+11072+2518+4525+910+841</f>
        <v>191068.5</v>
      </c>
      <c r="J53" s="186">
        <f>12856+5706+2789+3336+2239+567+1047+161+186</f>
        <v>28887</v>
      </c>
      <c r="K53" s="190">
        <f>+I53/J53</f>
        <v>6.614342091598297</v>
      </c>
    </row>
    <row r="54" spans="1:11" s="50" customFormat="1" ht="14.25" customHeight="1">
      <c r="A54" s="52">
        <v>51</v>
      </c>
      <c r="B54" s="133"/>
      <c r="C54" s="167" t="s">
        <v>103</v>
      </c>
      <c r="D54" s="79">
        <v>38807</v>
      </c>
      <c r="E54" s="167" t="s">
        <v>99</v>
      </c>
      <c r="F54" s="167" t="s">
        <v>100</v>
      </c>
      <c r="G54" s="124">
        <v>20</v>
      </c>
      <c r="H54" s="124">
        <v>6</v>
      </c>
      <c r="I54" s="246">
        <f>79858.5+57561+16625.5+10101+9488+11377.5</f>
        <v>185011.5</v>
      </c>
      <c r="J54" s="186">
        <f>9494+7131+2064+2030+1770+2617</f>
        <v>25106</v>
      </c>
      <c r="K54" s="190">
        <f>+I54/J54</f>
        <v>7.369214530391141</v>
      </c>
    </row>
    <row r="55" spans="1:11" s="50" customFormat="1" ht="14.25" customHeight="1">
      <c r="A55" s="52">
        <v>52</v>
      </c>
      <c r="B55" s="133"/>
      <c r="C55" s="125" t="s">
        <v>37</v>
      </c>
      <c r="D55" s="42">
        <v>38758</v>
      </c>
      <c r="E55" s="169" t="s">
        <v>97</v>
      </c>
      <c r="F55" s="125" t="s">
        <v>110</v>
      </c>
      <c r="G55" s="120">
        <v>46</v>
      </c>
      <c r="H55" s="120">
        <v>12</v>
      </c>
      <c r="I55" s="246">
        <v>181942</v>
      </c>
      <c r="J55" s="256">
        <v>24046</v>
      </c>
      <c r="K55" s="189">
        <f>IF(I55&lt;&gt;0,I55/J55,"")</f>
        <v>7.566414372452799</v>
      </c>
    </row>
    <row r="56" spans="1:11" s="39" customFormat="1" ht="14.25" customHeight="1">
      <c r="A56" s="52">
        <v>53</v>
      </c>
      <c r="B56" s="132"/>
      <c r="C56" s="125" t="s">
        <v>81</v>
      </c>
      <c r="D56" s="42">
        <v>38800</v>
      </c>
      <c r="E56" s="169" t="s">
        <v>96</v>
      </c>
      <c r="F56" s="125" t="s">
        <v>104</v>
      </c>
      <c r="G56" s="120">
        <v>12</v>
      </c>
      <c r="H56" s="120">
        <v>7</v>
      </c>
      <c r="I56" s="247">
        <f>82365.5+56251.5+17508+5415.5+3304+3006+1642+540</f>
        <v>170032.5</v>
      </c>
      <c r="J56" s="198">
        <f>8878+5706+2045+866+701+556+302+135</f>
        <v>19189</v>
      </c>
      <c r="K56" s="190">
        <f>+I56/J56</f>
        <v>8.860935952889676</v>
      </c>
    </row>
    <row r="57" spans="1:11" s="39" customFormat="1" ht="14.25" customHeight="1">
      <c r="A57" s="52">
        <v>54</v>
      </c>
      <c r="B57" s="132"/>
      <c r="C57" s="167" t="s">
        <v>68</v>
      </c>
      <c r="D57" s="79">
        <v>38793</v>
      </c>
      <c r="E57" s="167" t="s">
        <v>52</v>
      </c>
      <c r="F57" s="167" t="s">
        <v>109</v>
      </c>
      <c r="G57" s="124">
        <v>33</v>
      </c>
      <c r="H57" s="124">
        <v>8</v>
      </c>
      <c r="I57" s="249">
        <v>148469.5</v>
      </c>
      <c r="J57" s="192">
        <v>28711</v>
      </c>
      <c r="K57" s="189">
        <f>+I57/J57</f>
        <v>5.171171328062415</v>
      </c>
    </row>
    <row r="58" spans="1:11" s="39" customFormat="1" ht="14.25" customHeight="1">
      <c r="A58" s="52">
        <v>55</v>
      </c>
      <c r="B58" s="132"/>
      <c r="C58" s="125" t="s">
        <v>159</v>
      </c>
      <c r="D58" s="42">
        <v>38828</v>
      </c>
      <c r="E58" s="125" t="s">
        <v>93</v>
      </c>
      <c r="F58" s="125" t="s">
        <v>110</v>
      </c>
      <c r="G58" s="120">
        <v>46</v>
      </c>
      <c r="H58" s="120">
        <v>2</v>
      </c>
      <c r="I58" s="246">
        <v>130765</v>
      </c>
      <c r="J58" s="186">
        <v>17854</v>
      </c>
      <c r="K58" s="189">
        <f>+I58/J58</f>
        <v>7.324129046712222</v>
      </c>
    </row>
    <row r="59" spans="1:11" s="39" customFormat="1" ht="14.25" customHeight="1">
      <c r="A59" s="52">
        <v>56</v>
      </c>
      <c r="B59" s="132"/>
      <c r="C59" s="167" t="s">
        <v>118</v>
      </c>
      <c r="D59" s="79">
        <v>38765</v>
      </c>
      <c r="E59" s="167" t="s">
        <v>99</v>
      </c>
      <c r="F59" s="167" t="s">
        <v>105</v>
      </c>
      <c r="G59" s="124">
        <v>30</v>
      </c>
      <c r="H59" s="124">
        <v>11</v>
      </c>
      <c r="I59" s="246">
        <f>62768+32353+12961+8129+4050.5+1984.5+2460+376+907+1161.5+935</f>
        <v>128085.5</v>
      </c>
      <c r="J59" s="186">
        <f>8337+4470+2425+1438+815+505+607+85+187+317+218</f>
        <v>19404</v>
      </c>
      <c r="K59" s="190">
        <f>+I59/J59</f>
        <v>6.60098433312719</v>
      </c>
    </row>
    <row r="60" spans="1:11" s="39" customFormat="1" ht="14.25" customHeight="1">
      <c r="A60" s="52">
        <v>57</v>
      </c>
      <c r="B60" s="132"/>
      <c r="C60" s="160" t="s">
        <v>128</v>
      </c>
      <c r="D60" s="42">
        <v>38765</v>
      </c>
      <c r="E60" s="200" t="s">
        <v>97</v>
      </c>
      <c r="F60" s="200" t="s">
        <v>93</v>
      </c>
      <c r="G60" s="161">
        <v>20</v>
      </c>
      <c r="H60" s="161">
        <v>7</v>
      </c>
      <c r="I60" s="247">
        <v>125109</v>
      </c>
      <c r="J60" s="198">
        <v>13297</v>
      </c>
      <c r="K60" s="189">
        <f>I60/J60</f>
        <v>9.408814018199594</v>
      </c>
    </row>
    <row r="61" spans="1:11" s="39" customFormat="1" ht="14.25" customHeight="1">
      <c r="A61" s="52">
        <v>58</v>
      </c>
      <c r="B61" s="132"/>
      <c r="C61" s="167" t="s">
        <v>34</v>
      </c>
      <c r="D61" s="79">
        <v>38758</v>
      </c>
      <c r="E61" s="167" t="s">
        <v>99</v>
      </c>
      <c r="F61" s="167" t="s">
        <v>100</v>
      </c>
      <c r="G61" s="124">
        <v>10</v>
      </c>
      <c r="H61" s="124">
        <v>11</v>
      </c>
      <c r="I61" s="246">
        <f>43085.5+25538.5+13529.5+10266+5793+7370.5+3427.5+2770+873+285+265</f>
        <v>113203.5</v>
      </c>
      <c r="J61" s="186">
        <f>4921+3009+1674+2167+814+1163+450+1256+176+30+28</f>
        <v>15688</v>
      </c>
      <c r="K61" s="189">
        <f aca="true" t="shared" si="3" ref="K61:K86">+I61/J61</f>
        <v>7.215929372768995</v>
      </c>
    </row>
    <row r="62" spans="1:11" s="39" customFormat="1" ht="14.25" customHeight="1">
      <c r="A62" s="52">
        <v>59</v>
      </c>
      <c r="B62" s="132"/>
      <c r="C62" s="167" t="s">
        <v>63</v>
      </c>
      <c r="D62" s="79">
        <v>38716</v>
      </c>
      <c r="E62" s="170" t="s">
        <v>65</v>
      </c>
      <c r="F62" s="167" t="s">
        <v>167</v>
      </c>
      <c r="G62" s="124">
        <v>9</v>
      </c>
      <c r="H62" s="124">
        <v>18</v>
      </c>
      <c r="I62" s="246">
        <f>41335+22428+10569.5+2994.5+6995.5+477+1541+1030+1308+1168.5+974+1343+1399+1115+913+1257+1859.5+2654.5</f>
        <v>101362</v>
      </c>
      <c r="J62" s="186">
        <f>5101+2761+1545+448+1608+159+304+206+436+246+162+276+329+246+181+254+303+684</f>
        <v>15249</v>
      </c>
      <c r="K62" s="189">
        <f t="shared" si="3"/>
        <v>6.647124401600105</v>
      </c>
    </row>
    <row r="63" spans="1:11" s="39" customFormat="1" ht="14.25" customHeight="1">
      <c r="A63" s="52">
        <v>60</v>
      </c>
      <c r="B63" s="132"/>
      <c r="C63" s="125" t="s">
        <v>113</v>
      </c>
      <c r="D63" s="42">
        <v>38793</v>
      </c>
      <c r="E63" s="125" t="s">
        <v>170</v>
      </c>
      <c r="F63" s="125" t="s">
        <v>178</v>
      </c>
      <c r="G63" s="120">
        <v>4</v>
      </c>
      <c r="H63" s="120">
        <v>8</v>
      </c>
      <c r="I63" s="249">
        <v>100122.5</v>
      </c>
      <c r="J63" s="192">
        <v>11850</v>
      </c>
      <c r="K63" s="190">
        <f t="shared" si="3"/>
        <v>8.44915611814346</v>
      </c>
    </row>
    <row r="64" spans="1:11" s="39" customFormat="1" ht="14.25" customHeight="1">
      <c r="A64" s="52">
        <v>61</v>
      </c>
      <c r="B64" s="132"/>
      <c r="C64" s="167" t="s">
        <v>177</v>
      </c>
      <c r="D64" s="79">
        <v>38835</v>
      </c>
      <c r="E64" s="167" t="s">
        <v>99</v>
      </c>
      <c r="F64" s="167" t="s">
        <v>100</v>
      </c>
      <c r="G64" s="124">
        <v>15</v>
      </c>
      <c r="H64" s="124">
        <v>2</v>
      </c>
      <c r="I64" s="246">
        <f>60845.5+35645.5</f>
        <v>96491</v>
      </c>
      <c r="J64" s="186">
        <f>6762+4054</f>
        <v>10816</v>
      </c>
      <c r="K64" s="189">
        <f t="shared" si="3"/>
        <v>8.921135355029586</v>
      </c>
    </row>
    <row r="65" spans="1:11" s="39" customFormat="1" ht="14.25" customHeight="1">
      <c r="A65" s="52">
        <v>62</v>
      </c>
      <c r="B65" s="132"/>
      <c r="C65" s="125" t="s">
        <v>146</v>
      </c>
      <c r="D65" s="42">
        <v>38779</v>
      </c>
      <c r="E65" s="125" t="s">
        <v>208</v>
      </c>
      <c r="F65" s="259" t="s">
        <v>168</v>
      </c>
      <c r="G65" s="120">
        <v>8</v>
      </c>
      <c r="H65" s="120">
        <v>9</v>
      </c>
      <c r="I65" s="250">
        <v>82351.4</v>
      </c>
      <c r="J65" s="194">
        <v>9780</v>
      </c>
      <c r="K65" s="190">
        <f t="shared" si="3"/>
        <v>8.42038854805726</v>
      </c>
    </row>
    <row r="66" spans="1:11" s="39" customFormat="1" ht="14.25" customHeight="1">
      <c r="A66" s="52">
        <v>63</v>
      </c>
      <c r="B66" s="132"/>
      <c r="C66" s="167" t="s">
        <v>140</v>
      </c>
      <c r="D66" s="79">
        <v>38814</v>
      </c>
      <c r="E66" s="170" t="s">
        <v>65</v>
      </c>
      <c r="F66" s="167" t="s">
        <v>141</v>
      </c>
      <c r="G66" s="124">
        <v>14</v>
      </c>
      <c r="H66" s="124">
        <v>4</v>
      </c>
      <c r="I66" s="246">
        <f>43111+13278+6067.5+7325+7474</f>
        <v>77255.5</v>
      </c>
      <c r="J66" s="186">
        <f>4620+1821+1003+1445+1813</f>
        <v>10702</v>
      </c>
      <c r="K66" s="189">
        <f t="shared" si="3"/>
        <v>7.218790880209307</v>
      </c>
    </row>
    <row r="67" spans="1:11" s="39" customFormat="1" ht="14.25" customHeight="1">
      <c r="A67" s="52">
        <v>64</v>
      </c>
      <c r="B67" s="132"/>
      <c r="C67" s="125" t="s">
        <v>231</v>
      </c>
      <c r="D67" s="42">
        <v>38835</v>
      </c>
      <c r="E67" s="125" t="s">
        <v>170</v>
      </c>
      <c r="F67" s="125" t="s">
        <v>178</v>
      </c>
      <c r="G67" s="120">
        <v>8</v>
      </c>
      <c r="H67" s="120">
        <v>2</v>
      </c>
      <c r="I67" s="249">
        <v>76950</v>
      </c>
      <c r="J67" s="192">
        <v>13681</v>
      </c>
      <c r="K67" s="189">
        <f t="shared" si="3"/>
        <v>5.624588845844602</v>
      </c>
    </row>
    <row r="68" spans="1:11" s="39" customFormat="1" ht="14.25" customHeight="1">
      <c r="A68" s="52">
        <v>65</v>
      </c>
      <c r="B68" s="132"/>
      <c r="C68" s="167" t="s">
        <v>61</v>
      </c>
      <c r="D68" s="79">
        <v>38744</v>
      </c>
      <c r="E68" s="170" t="s">
        <v>65</v>
      </c>
      <c r="F68" s="167" t="s">
        <v>125</v>
      </c>
      <c r="G68" s="124">
        <v>7</v>
      </c>
      <c r="H68" s="124">
        <v>13</v>
      </c>
      <c r="I68" s="246">
        <f>23060.5+7183+3670+700+2376+2273+1430+3390+1771.5+3246+11360+7257.5+2859</f>
        <v>70576.5</v>
      </c>
      <c r="J68" s="186">
        <f>2772+1034+467+35+792+451+260+597+327+776+1582+1115+514</f>
        <v>10722</v>
      </c>
      <c r="K68" s="189">
        <f t="shared" si="3"/>
        <v>6.582400671516508</v>
      </c>
    </row>
    <row r="69" spans="1:11" s="39" customFormat="1" ht="14.25" customHeight="1">
      <c r="A69" s="52">
        <v>66</v>
      </c>
      <c r="B69" s="132"/>
      <c r="C69" s="167" t="s">
        <v>87</v>
      </c>
      <c r="D69" s="79">
        <v>38723</v>
      </c>
      <c r="E69" s="170" t="s">
        <v>65</v>
      </c>
      <c r="F69" s="167" t="s">
        <v>164</v>
      </c>
      <c r="G69" s="124">
        <v>3</v>
      </c>
      <c r="H69" s="124">
        <v>13</v>
      </c>
      <c r="I69" s="246">
        <f>22570+12751+6691+4543+3462+1141+1389+1484.5+48+38+1782+1068+714</f>
        <v>57681.5</v>
      </c>
      <c r="J69" s="186">
        <f>2787+1607+844+585+460+145+463+399+9+7+594+356+238</f>
        <v>8494</v>
      </c>
      <c r="K69" s="190">
        <f t="shared" si="3"/>
        <v>6.790852366376265</v>
      </c>
    </row>
    <row r="70" spans="1:11" s="39" customFormat="1" ht="14.25" customHeight="1">
      <c r="A70" s="52">
        <v>67</v>
      </c>
      <c r="B70" s="132"/>
      <c r="C70" s="167" t="s">
        <v>182</v>
      </c>
      <c r="D70" s="79">
        <v>38786</v>
      </c>
      <c r="E70" s="167" t="s">
        <v>111</v>
      </c>
      <c r="F70" s="167" t="s">
        <v>126</v>
      </c>
      <c r="G70" s="124">
        <v>4</v>
      </c>
      <c r="H70" s="124">
        <v>10</v>
      </c>
      <c r="I70" s="246">
        <v>50710.15</v>
      </c>
      <c r="J70" s="186">
        <v>6453.333333333333</v>
      </c>
      <c r="K70" s="190">
        <f t="shared" si="3"/>
        <v>7.857977789256199</v>
      </c>
    </row>
    <row r="71" spans="1:11" s="39" customFormat="1" ht="14.25" customHeight="1">
      <c r="A71" s="52">
        <v>68</v>
      </c>
      <c r="B71" s="132"/>
      <c r="C71" s="167" t="s">
        <v>62</v>
      </c>
      <c r="D71" s="79">
        <v>38758</v>
      </c>
      <c r="E71" s="170" t="s">
        <v>65</v>
      </c>
      <c r="F71" s="167" t="s">
        <v>116</v>
      </c>
      <c r="G71" s="124">
        <v>4</v>
      </c>
      <c r="H71" s="124">
        <v>13</v>
      </c>
      <c r="I71" s="246">
        <f>12456+7990+4147+1031+2942.5+1687.5+5526.5+3841.5+1352.5+925+2425+2735+1963</f>
        <v>49022.5</v>
      </c>
      <c r="J71" s="186">
        <f>1552+1090+669+166+430+252+1516+804+308+163+443+768+612</f>
        <v>8773</v>
      </c>
      <c r="K71" s="190">
        <f t="shared" si="3"/>
        <v>5.587883278240055</v>
      </c>
    </row>
    <row r="72" spans="1:11" s="39" customFormat="1" ht="14.25" customHeight="1">
      <c r="A72" s="52">
        <v>69</v>
      </c>
      <c r="B72" s="132"/>
      <c r="C72" s="167" t="s">
        <v>60</v>
      </c>
      <c r="D72" s="79">
        <v>38779</v>
      </c>
      <c r="E72" s="170" t="s">
        <v>65</v>
      </c>
      <c r="F72" s="167" t="s">
        <v>196</v>
      </c>
      <c r="G72" s="124">
        <v>10</v>
      </c>
      <c r="H72" s="124">
        <v>10</v>
      </c>
      <c r="I72" s="246">
        <f>19635+7029.5+1939.5+1932.5+1425+2285+846+5995.5+272.5+3026</f>
        <v>44386.5</v>
      </c>
      <c r="J72" s="186">
        <f>2548+994+309+438+475+587+190+1491+27+979</f>
        <v>8038</v>
      </c>
      <c r="K72" s="190">
        <f t="shared" si="3"/>
        <v>5.522082607613834</v>
      </c>
    </row>
    <row r="73" spans="1:11" s="39" customFormat="1" ht="14.25" customHeight="1">
      <c r="A73" s="52">
        <v>70</v>
      </c>
      <c r="B73" s="132"/>
      <c r="C73" s="125" t="s">
        <v>187</v>
      </c>
      <c r="D73" s="42">
        <v>38842</v>
      </c>
      <c r="E73" s="169" t="s">
        <v>96</v>
      </c>
      <c r="F73" s="125" t="s">
        <v>133</v>
      </c>
      <c r="G73" s="120">
        <v>14</v>
      </c>
      <c r="H73" s="120">
        <v>1</v>
      </c>
      <c r="I73" s="247">
        <v>41489.5</v>
      </c>
      <c r="J73" s="198">
        <v>4497</v>
      </c>
      <c r="K73" s="190">
        <f t="shared" si="3"/>
        <v>9.226039581943517</v>
      </c>
    </row>
    <row r="74" spans="1:11" s="39" customFormat="1" ht="14.25" customHeight="1">
      <c r="A74" s="52">
        <v>71</v>
      </c>
      <c r="B74" s="132"/>
      <c r="C74" s="167" t="s">
        <v>188</v>
      </c>
      <c r="D74" s="79">
        <v>38842</v>
      </c>
      <c r="E74" s="167" t="s">
        <v>99</v>
      </c>
      <c r="F74" s="167" t="s">
        <v>189</v>
      </c>
      <c r="G74" s="124">
        <v>40</v>
      </c>
      <c r="H74" s="124">
        <v>1</v>
      </c>
      <c r="I74" s="246">
        <f>38973.5</f>
        <v>38973.5</v>
      </c>
      <c r="J74" s="186">
        <f>6538</f>
        <v>6538</v>
      </c>
      <c r="K74" s="189">
        <f t="shared" si="3"/>
        <v>5.961073722851025</v>
      </c>
    </row>
    <row r="75" spans="1:11" s="50" customFormat="1" ht="14.25" customHeight="1">
      <c r="A75" s="52">
        <v>72</v>
      </c>
      <c r="B75" s="132"/>
      <c r="C75" s="167" t="s">
        <v>190</v>
      </c>
      <c r="D75" s="79">
        <v>38828</v>
      </c>
      <c r="E75" s="167" t="s">
        <v>111</v>
      </c>
      <c r="F75" s="167" t="s">
        <v>161</v>
      </c>
      <c r="G75" s="124">
        <v>5</v>
      </c>
      <c r="H75" s="124">
        <v>3</v>
      </c>
      <c r="I75" s="246">
        <v>37022.9</v>
      </c>
      <c r="J75" s="186">
        <v>5036</v>
      </c>
      <c r="K75" s="189">
        <f t="shared" si="3"/>
        <v>7.351648133439237</v>
      </c>
    </row>
    <row r="76" spans="1:11" s="50" customFormat="1" ht="14.25" customHeight="1">
      <c r="A76" s="52">
        <v>73</v>
      </c>
      <c r="B76" s="132"/>
      <c r="C76" s="125" t="s">
        <v>84</v>
      </c>
      <c r="D76" s="42">
        <v>38793</v>
      </c>
      <c r="E76" s="125" t="s">
        <v>71</v>
      </c>
      <c r="F76" s="125" t="s">
        <v>122</v>
      </c>
      <c r="G76" s="120">
        <v>2</v>
      </c>
      <c r="H76" s="120">
        <v>7</v>
      </c>
      <c r="I76" s="248">
        <f>21147.5+3690+1708+783+1453+1727.5+1306.5</f>
        <v>31815.5</v>
      </c>
      <c r="J76" s="186">
        <f>2248+452+253+99+248+260+197</f>
        <v>3757</v>
      </c>
      <c r="K76" s="189">
        <f t="shared" si="3"/>
        <v>8.468325791855204</v>
      </c>
    </row>
    <row r="77" spans="1:11" s="50" customFormat="1" ht="14.25" customHeight="1">
      <c r="A77" s="52">
        <v>74</v>
      </c>
      <c r="B77" s="132"/>
      <c r="C77" s="125" t="s">
        <v>1</v>
      </c>
      <c r="D77" s="42">
        <v>38779</v>
      </c>
      <c r="E77" s="125" t="s">
        <v>170</v>
      </c>
      <c r="F77" s="125" t="s">
        <v>121</v>
      </c>
      <c r="G77" s="120">
        <v>10</v>
      </c>
      <c r="H77" s="120">
        <v>9</v>
      </c>
      <c r="I77" s="249">
        <v>30670.5</v>
      </c>
      <c r="J77" s="192">
        <v>3611</v>
      </c>
      <c r="K77" s="190">
        <f t="shared" si="3"/>
        <v>8.493630573248408</v>
      </c>
    </row>
    <row r="78" spans="1:11" s="50" customFormat="1" ht="14.25" customHeight="1">
      <c r="A78" s="52">
        <v>75</v>
      </c>
      <c r="B78" s="132"/>
      <c r="C78" s="125" t="s">
        <v>66</v>
      </c>
      <c r="D78" s="42">
        <v>38786</v>
      </c>
      <c r="E78" s="125" t="s">
        <v>53</v>
      </c>
      <c r="F78" s="125" t="s">
        <v>117</v>
      </c>
      <c r="G78" s="120">
        <v>7</v>
      </c>
      <c r="H78" s="120">
        <v>9</v>
      </c>
      <c r="I78" s="250">
        <v>25057.5</v>
      </c>
      <c r="J78" s="194">
        <v>4796</v>
      </c>
      <c r="K78" s="190">
        <f t="shared" si="3"/>
        <v>5.224666388657214</v>
      </c>
    </row>
    <row r="79" spans="1:11" s="50" customFormat="1" ht="14.25" customHeight="1">
      <c r="A79" s="52">
        <v>76</v>
      </c>
      <c r="B79" s="132"/>
      <c r="C79" s="167" t="s">
        <v>151</v>
      </c>
      <c r="D79" s="79">
        <v>38751</v>
      </c>
      <c r="E79" s="170" t="s">
        <v>65</v>
      </c>
      <c r="F79" s="167" t="s">
        <v>125</v>
      </c>
      <c r="G79" s="124">
        <v>1</v>
      </c>
      <c r="H79" s="124">
        <v>9</v>
      </c>
      <c r="I79" s="246">
        <f>6339+5656+3753+2609+448+675+1816+2430+1068</f>
        <v>24794</v>
      </c>
      <c r="J79" s="186">
        <f>796+708+467+329+60+87+264+364+356</f>
        <v>3431</v>
      </c>
      <c r="K79" s="190">
        <f t="shared" si="3"/>
        <v>7.226464587583795</v>
      </c>
    </row>
    <row r="80" spans="1:11" s="50" customFormat="1" ht="14.25" customHeight="1">
      <c r="A80" s="52">
        <v>77</v>
      </c>
      <c r="B80" s="132"/>
      <c r="C80" s="167" t="s">
        <v>162</v>
      </c>
      <c r="D80" s="79">
        <v>38828</v>
      </c>
      <c r="E80" s="170" t="s">
        <v>65</v>
      </c>
      <c r="F80" s="167" t="s">
        <v>163</v>
      </c>
      <c r="G80" s="124">
        <v>6</v>
      </c>
      <c r="H80" s="124">
        <v>3</v>
      </c>
      <c r="I80" s="246">
        <f>8964+4246+2175</f>
        <v>15385</v>
      </c>
      <c r="J80" s="186">
        <f>1055+574+361</f>
        <v>1990</v>
      </c>
      <c r="K80" s="190">
        <f t="shared" si="3"/>
        <v>7.731155778894473</v>
      </c>
    </row>
    <row r="81" spans="1:11" s="50" customFormat="1" ht="14.25" customHeight="1">
      <c r="A81" s="52">
        <v>78</v>
      </c>
      <c r="B81" s="132"/>
      <c r="C81" s="119" t="s">
        <v>42</v>
      </c>
      <c r="D81" s="79">
        <v>38772</v>
      </c>
      <c r="E81" s="125" t="s">
        <v>133</v>
      </c>
      <c r="F81" s="125" t="s">
        <v>107</v>
      </c>
      <c r="G81" s="162">
        <v>1</v>
      </c>
      <c r="H81" s="161">
        <v>6</v>
      </c>
      <c r="I81" s="250">
        <v>14052</v>
      </c>
      <c r="J81" s="194">
        <v>1802</v>
      </c>
      <c r="K81" s="190">
        <f t="shared" si="3"/>
        <v>7.798002219755827</v>
      </c>
    </row>
    <row r="82" spans="1:11" s="50" customFormat="1" ht="14.25" customHeight="1">
      <c r="A82" s="52">
        <v>79</v>
      </c>
      <c r="B82" s="132"/>
      <c r="C82" s="167" t="s">
        <v>59</v>
      </c>
      <c r="D82" s="79">
        <v>38786</v>
      </c>
      <c r="E82" s="170" t="s">
        <v>65</v>
      </c>
      <c r="F82" s="167" t="s">
        <v>134</v>
      </c>
      <c r="G82" s="124">
        <v>6</v>
      </c>
      <c r="H82" s="124">
        <v>4</v>
      </c>
      <c r="I82" s="246">
        <f>9397.5+2137+188+1545</f>
        <v>13267.5</v>
      </c>
      <c r="J82" s="186">
        <f>1039+275+26+515</f>
        <v>1855</v>
      </c>
      <c r="K82" s="189">
        <f t="shared" si="3"/>
        <v>7.152291105121294</v>
      </c>
    </row>
    <row r="83" spans="1:11" s="50" customFormat="1" ht="14.25" customHeight="1">
      <c r="A83" s="52">
        <v>80</v>
      </c>
      <c r="B83" s="132"/>
      <c r="C83" s="167" t="s">
        <v>221</v>
      </c>
      <c r="D83" s="79">
        <v>38723</v>
      </c>
      <c r="E83" s="170" t="s">
        <v>65</v>
      </c>
      <c r="F83" s="167" t="s">
        <v>222</v>
      </c>
      <c r="G83" s="124">
        <v>5</v>
      </c>
      <c r="H83" s="124">
        <v>8</v>
      </c>
      <c r="I83" s="246">
        <f>7149+2747+756+1338+270+74+91+462</f>
        <v>12887</v>
      </c>
      <c r="J83" s="186">
        <f>932+357+92+247+90+24+25+88</f>
        <v>1855</v>
      </c>
      <c r="K83" s="190">
        <f t="shared" si="3"/>
        <v>6.947169811320754</v>
      </c>
    </row>
    <row r="84" spans="1:11" s="50" customFormat="1" ht="14.25" customHeight="1">
      <c r="A84" s="52">
        <v>81</v>
      </c>
      <c r="B84" s="132"/>
      <c r="C84" s="167" t="s">
        <v>179</v>
      </c>
      <c r="D84" s="79">
        <v>38835</v>
      </c>
      <c r="E84" s="170" t="s">
        <v>65</v>
      </c>
      <c r="F84" s="167" t="s">
        <v>197</v>
      </c>
      <c r="G84" s="124">
        <v>5</v>
      </c>
      <c r="H84" s="124">
        <v>2</v>
      </c>
      <c r="I84" s="246">
        <f>497.5+5960+2567</f>
        <v>9024.5</v>
      </c>
      <c r="J84" s="186">
        <f>103+657+317</f>
        <v>1077</v>
      </c>
      <c r="K84" s="190">
        <f t="shared" si="3"/>
        <v>8.379294336118848</v>
      </c>
    </row>
    <row r="85" spans="1:11" s="50" customFormat="1" ht="14.25" customHeight="1">
      <c r="A85" s="52">
        <v>82</v>
      </c>
      <c r="B85" s="132"/>
      <c r="C85" s="125" t="s">
        <v>150</v>
      </c>
      <c r="D85" s="42">
        <v>38821</v>
      </c>
      <c r="E85" s="125" t="s">
        <v>170</v>
      </c>
      <c r="F85" s="125" t="s">
        <v>166</v>
      </c>
      <c r="G85" s="120">
        <v>5</v>
      </c>
      <c r="H85" s="120">
        <v>4</v>
      </c>
      <c r="I85" s="249">
        <v>7440.5</v>
      </c>
      <c r="J85" s="192">
        <v>952</v>
      </c>
      <c r="K85" s="190">
        <f t="shared" si="3"/>
        <v>7.815651260504202</v>
      </c>
    </row>
    <row r="86" spans="1:11" s="39" customFormat="1" ht="14.25" customHeight="1">
      <c r="A86" s="52">
        <v>83</v>
      </c>
      <c r="B86" s="132"/>
      <c r="C86" s="123" t="s">
        <v>152</v>
      </c>
      <c r="D86" s="42">
        <v>38758</v>
      </c>
      <c r="E86" s="167" t="s">
        <v>133</v>
      </c>
      <c r="F86" s="167" t="s">
        <v>135</v>
      </c>
      <c r="G86" s="124">
        <v>4</v>
      </c>
      <c r="H86" s="124">
        <v>10</v>
      </c>
      <c r="I86" s="247">
        <v>6143</v>
      </c>
      <c r="J86" s="198">
        <v>976</v>
      </c>
      <c r="K86" s="190">
        <f t="shared" si="3"/>
        <v>6.29405737704918</v>
      </c>
    </row>
    <row r="87" spans="1:11" s="39" customFormat="1" ht="14.25" customHeight="1" thickBot="1">
      <c r="A87" s="52">
        <v>84</v>
      </c>
      <c r="B87" s="269"/>
      <c r="C87" s="270" t="s">
        <v>120</v>
      </c>
      <c r="D87" s="271">
        <v>38807</v>
      </c>
      <c r="E87" s="270" t="s">
        <v>170</v>
      </c>
      <c r="F87" s="270" t="s">
        <v>121</v>
      </c>
      <c r="G87" s="272">
        <v>2</v>
      </c>
      <c r="H87" s="272">
        <v>1</v>
      </c>
      <c r="I87" s="273">
        <v>4404.5</v>
      </c>
      <c r="J87" s="274">
        <v>680</v>
      </c>
      <c r="K87" s="275">
        <f>IF(I87&lt;&gt;0,I87/J87,"")</f>
        <v>6.4772058823529415</v>
      </c>
    </row>
    <row r="88" spans="1:11" s="39" customFormat="1" ht="15">
      <c r="A88" s="53"/>
      <c r="B88" s="276"/>
      <c r="C88" s="100" t="s">
        <v>73</v>
      </c>
      <c r="D88" s="100"/>
      <c r="E88" s="98"/>
      <c r="F88" s="98"/>
      <c r="G88" s="101">
        <f>SUM(G4:G87)</f>
        <v>4307</v>
      </c>
      <c r="H88" s="100"/>
      <c r="I88" s="102">
        <f>SUM(I4:I87)</f>
        <v>98902418.02000003</v>
      </c>
      <c r="J88" s="277">
        <f>SUM(J4:J87)</f>
        <v>14542482.333333334</v>
      </c>
      <c r="K88" s="278">
        <f>I88/J88</f>
        <v>6.8009309382692065</v>
      </c>
    </row>
    <row r="89" spans="1:11" s="39" customFormat="1" ht="15.75" thickBot="1">
      <c r="A89" s="53"/>
      <c r="B89" s="279"/>
      <c r="C89" s="76" t="s">
        <v>131</v>
      </c>
      <c r="D89" s="76"/>
      <c r="E89" s="78"/>
      <c r="F89" s="78"/>
      <c r="G89" s="77">
        <v>3940</v>
      </c>
      <c r="H89" s="76"/>
      <c r="I89" s="83">
        <v>76247573.71</v>
      </c>
      <c r="J89" s="280">
        <v>11807908</v>
      </c>
      <c r="K89" s="281">
        <f>I89/J89</f>
        <v>6.457331282560805</v>
      </c>
    </row>
    <row r="90" spans="1:11" s="39" customFormat="1" ht="13.5" thickBot="1">
      <c r="A90" s="51"/>
      <c r="C90" s="164"/>
      <c r="D90" s="165"/>
      <c r="E90" s="165"/>
      <c r="F90" s="165"/>
      <c r="G90" s="165"/>
      <c r="H90" s="165"/>
      <c r="I90" s="135"/>
      <c r="J90" s="145"/>
      <c r="K90" s="166"/>
    </row>
    <row r="91" spans="1:11" s="48" customFormat="1" ht="12.75">
      <c r="A91" s="47"/>
      <c r="B91" s="54"/>
      <c r="C91" s="327" t="s">
        <v>16</v>
      </c>
      <c r="D91" s="327"/>
      <c r="E91" s="314" t="s">
        <v>79</v>
      </c>
      <c r="F91" s="95"/>
      <c r="G91" s="314" t="s">
        <v>78</v>
      </c>
      <c r="H91" s="314"/>
      <c r="I91" s="314" t="s">
        <v>20</v>
      </c>
      <c r="J91" s="314"/>
      <c r="K91" s="334" t="s">
        <v>40</v>
      </c>
    </row>
    <row r="92" spans="1:11" s="48" customFormat="1" ht="13.5" thickBot="1">
      <c r="A92" s="49"/>
      <c r="B92" s="57"/>
      <c r="C92" s="336"/>
      <c r="D92" s="336"/>
      <c r="E92" s="337"/>
      <c r="F92" s="96"/>
      <c r="G92" s="337"/>
      <c r="H92" s="333"/>
      <c r="I92" s="136" t="s">
        <v>38</v>
      </c>
      <c r="J92" s="146" t="s">
        <v>7</v>
      </c>
      <c r="K92" s="335"/>
    </row>
    <row r="93" spans="1:11" ht="15">
      <c r="A93" s="52">
        <v>1</v>
      </c>
      <c r="B93" s="58"/>
      <c r="C93" s="59" t="s">
        <v>76</v>
      </c>
      <c r="D93" s="60"/>
      <c r="E93" s="60">
        <v>11</v>
      </c>
      <c r="F93" s="60"/>
      <c r="G93" s="67">
        <f>G4+G5+G6+G8+G9+G13+G23+G57+G59+G74+G78</f>
        <v>1363</v>
      </c>
      <c r="H93" s="60"/>
      <c r="I93" s="137">
        <f>I4+I5+I6+I8+I9+I13+I23+I57+I59+I74+I78</f>
        <v>57392755.220000006</v>
      </c>
      <c r="J93" s="147">
        <f>J4+J5+J6+J8+J9+J13+J23+J57+J59+J74+J78</f>
        <v>8939998</v>
      </c>
      <c r="K93" s="141">
        <f>I93/J93</f>
        <v>6.419772713595686</v>
      </c>
    </row>
    <row r="94" spans="1:11" ht="15.75" thickBot="1">
      <c r="A94" s="52">
        <v>2</v>
      </c>
      <c r="B94" s="61"/>
      <c r="C94" s="62" t="s">
        <v>77</v>
      </c>
      <c r="D94" s="63"/>
      <c r="E94" s="63">
        <v>73</v>
      </c>
      <c r="F94" s="63"/>
      <c r="G94" s="68">
        <f>G88-G93</f>
        <v>2944</v>
      </c>
      <c r="H94" s="63"/>
      <c r="I94" s="138">
        <f>I88-I93</f>
        <v>41509662.80000002</v>
      </c>
      <c r="J94" s="148">
        <f>J88-J93</f>
        <v>5602484.333333334</v>
      </c>
      <c r="K94" s="142">
        <f>I94/J94</f>
        <v>7.409152856176367</v>
      </c>
    </row>
    <row r="95" spans="2:11" ht="15.75" thickBot="1">
      <c r="B95" s="64"/>
      <c r="C95" s="65"/>
      <c r="D95" s="55"/>
      <c r="E95" s="55">
        <f>SUM(E93:E94)</f>
        <v>84</v>
      </c>
      <c r="F95" s="55"/>
      <c r="G95" s="56">
        <f>SUM(G93:G94)</f>
        <v>4307</v>
      </c>
      <c r="H95" s="55"/>
      <c r="I95" s="139">
        <f>SUM(I93:I94)</f>
        <v>98902418.02000003</v>
      </c>
      <c r="J95" s="149">
        <f>SUM(J93:J94)</f>
        <v>14542482.333333334</v>
      </c>
      <c r="K95" s="143">
        <f>I95/J95</f>
        <v>6.8009309382692065</v>
      </c>
    </row>
    <row r="97" ht="14.25" customHeight="1" thickBot="1"/>
    <row r="98" spans="1:9" ht="15">
      <c r="A98" s="212"/>
      <c r="B98" s="213"/>
      <c r="C98" s="214" t="s">
        <v>74</v>
      </c>
      <c r="D98" s="322" t="s">
        <v>233</v>
      </c>
      <c r="E98" s="206"/>
      <c r="F98" s="206"/>
      <c r="G98" s="206"/>
      <c r="H98" s="179"/>
      <c r="I98" s="323"/>
    </row>
    <row r="99" spans="1:13" ht="32.25" customHeight="1" thickBot="1">
      <c r="A99" s="212"/>
      <c r="B99" s="213"/>
      <c r="C99" s="223"/>
      <c r="D99" s="224" t="s">
        <v>6</v>
      </c>
      <c r="E99" s="225" t="s">
        <v>21</v>
      </c>
      <c r="F99" s="225" t="s">
        <v>7</v>
      </c>
      <c r="G99" s="282" t="s">
        <v>232</v>
      </c>
      <c r="H99" s="298" t="s">
        <v>234</v>
      </c>
      <c r="I99" s="226" t="s">
        <v>11</v>
      </c>
      <c r="J99" s="41"/>
      <c r="K99" s="140"/>
      <c r="L99" s="150"/>
      <c r="M99" s="144"/>
    </row>
    <row r="100" spans="1:13" ht="14.25" customHeight="1">
      <c r="A100" s="34">
        <v>1</v>
      </c>
      <c r="B100" s="213"/>
      <c r="C100" s="291" t="s">
        <v>52</v>
      </c>
      <c r="D100" s="292">
        <v>4</v>
      </c>
      <c r="E100" s="293">
        <v>38268110.1</v>
      </c>
      <c r="F100" s="294">
        <v>5903484</v>
      </c>
      <c r="G100" s="295">
        <v>673</v>
      </c>
      <c r="H100" s="297">
        <f>E100/G100</f>
        <v>56861.9763744428</v>
      </c>
      <c r="I100" s="296">
        <f aca="true" t="shared" si="4" ref="I100:I111">E100/F100</f>
        <v>6.4822925072719775</v>
      </c>
      <c r="J100" s="41"/>
      <c r="K100" s="140"/>
      <c r="L100" s="150"/>
      <c r="M100" s="144"/>
    </row>
    <row r="101" spans="1:13" ht="14.25" customHeight="1">
      <c r="A101" s="34">
        <v>2</v>
      </c>
      <c r="B101" s="213"/>
      <c r="C101" s="236" t="s">
        <v>50</v>
      </c>
      <c r="D101" s="237">
        <v>17</v>
      </c>
      <c r="E101" s="238">
        <v>26560714.62</v>
      </c>
      <c r="F101" s="239">
        <v>4044314</v>
      </c>
      <c r="G101" s="283">
        <v>1040</v>
      </c>
      <c r="H101" s="283">
        <f>E101/G101</f>
        <v>25539.148673076925</v>
      </c>
      <c r="I101" s="240">
        <f t="shared" si="4"/>
        <v>6.567421476176182</v>
      </c>
      <c r="J101" s="41"/>
      <c r="K101" s="140"/>
      <c r="L101" s="150"/>
      <c r="M101" s="144"/>
    </row>
    <row r="102" spans="1:13" ht="14.25" customHeight="1">
      <c r="A102" s="34">
        <v>3</v>
      </c>
      <c r="B102" s="213"/>
      <c r="C102" s="236" t="s">
        <v>51</v>
      </c>
      <c r="D102" s="237">
        <v>17</v>
      </c>
      <c r="E102" s="238">
        <v>15913875</v>
      </c>
      <c r="F102" s="239">
        <v>2140993</v>
      </c>
      <c r="G102" s="289">
        <v>1172</v>
      </c>
      <c r="H102" s="283">
        <f aca="true" t="shared" si="5" ref="H102:H111">E102/G102</f>
        <v>13578.391638225256</v>
      </c>
      <c r="I102" s="240">
        <f t="shared" si="4"/>
        <v>7.432941163282645</v>
      </c>
      <c r="J102" s="41"/>
      <c r="K102" s="140"/>
      <c r="L102" s="150"/>
      <c r="M102" s="144"/>
    </row>
    <row r="103" spans="1:13" ht="14.25" customHeight="1">
      <c r="A103" s="34">
        <v>4</v>
      </c>
      <c r="B103" s="213"/>
      <c r="C103" s="236" t="s">
        <v>49</v>
      </c>
      <c r="D103" s="290">
        <v>18</v>
      </c>
      <c r="E103" s="238">
        <v>13565419.75</v>
      </c>
      <c r="F103" s="239">
        <v>1794251</v>
      </c>
      <c r="G103" s="283">
        <v>946</v>
      </c>
      <c r="H103" s="283">
        <f t="shared" si="5"/>
        <v>14339.767177589853</v>
      </c>
      <c r="I103" s="240">
        <f t="shared" si="4"/>
        <v>7.560491675913793</v>
      </c>
      <c r="J103" s="41"/>
      <c r="K103" s="140"/>
      <c r="L103" s="150"/>
      <c r="M103" s="144"/>
    </row>
    <row r="104" spans="1:13" ht="14.25" customHeight="1">
      <c r="A104" s="34">
        <v>5</v>
      </c>
      <c r="B104" s="213"/>
      <c r="C104" s="236" t="s">
        <v>132</v>
      </c>
      <c r="D104" s="237">
        <v>2</v>
      </c>
      <c r="E104" s="238">
        <v>2204695.1</v>
      </c>
      <c r="F104" s="239">
        <v>305173</v>
      </c>
      <c r="G104" s="283">
        <v>161</v>
      </c>
      <c r="H104" s="283">
        <f t="shared" si="5"/>
        <v>13693.758385093168</v>
      </c>
      <c r="I104" s="240">
        <f t="shared" si="4"/>
        <v>7.224410744069758</v>
      </c>
      <c r="J104" s="41"/>
      <c r="K104" s="140"/>
      <c r="L104" s="150"/>
      <c r="M104" s="144"/>
    </row>
    <row r="105" spans="1:13" ht="14.25" customHeight="1">
      <c r="A105" s="34">
        <v>6</v>
      </c>
      <c r="B105" s="213"/>
      <c r="C105" s="236" t="s">
        <v>71</v>
      </c>
      <c r="D105" s="237">
        <v>4</v>
      </c>
      <c r="E105" s="238">
        <v>1479036</v>
      </c>
      <c r="F105" s="239">
        <v>222464</v>
      </c>
      <c r="G105" s="283">
        <v>187</v>
      </c>
      <c r="H105" s="283">
        <f t="shared" si="5"/>
        <v>7909.283422459893</v>
      </c>
      <c r="I105" s="240">
        <f t="shared" si="4"/>
        <v>6.648428509781358</v>
      </c>
      <c r="J105" s="41"/>
      <c r="K105" s="140"/>
      <c r="L105" s="150"/>
      <c r="M105" s="144"/>
    </row>
    <row r="106" spans="1:13" ht="14.25" customHeight="1">
      <c r="A106" s="34">
        <v>7</v>
      </c>
      <c r="B106" s="213"/>
      <c r="C106" s="236" t="s">
        <v>65</v>
      </c>
      <c r="D106" s="237">
        <v>11</v>
      </c>
      <c r="E106" s="238">
        <v>475642.5</v>
      </c>
      <c r="F106" s="239">
        <v>72186</v>
      </c>
      <c r="G106" s="283">
        <v>70</v>
      </c>
      <c r="H106" s="283">
        <f t="shared" si="5"/>
        <v>6794.892857142857</v>
      </c>
      <c r="I106" s="240">
        <f t="shared" si="4"/>
        <v>6.589123929847893</v>
      </c>
      <c r="J106" s="41"/>
      <c r="K106" s="140"/>
      <c r="L106" s="150"/>
      <c r="M106" s="144"/>
    </row>
    <row r="107" spans="1:13" ht="14.25" customHeight="1">
      <c r="A107" s="34">
        <v>8</v>
      </c>
      <c r="B107" s="213"/>
      <c r="C107" s="236" t="s">
        <v>170</v>
      </c>
      <c r="D107" s="237">
        <v>5</v>
      </c>
      <c r="E107" s="238">
        <v>219588</v>
      </c>
      <c r="F107" s="239">
        <v>30774</v>
      </c>
      <c r="G107" s="283">
        <v>29</v>
      </c>
      <c r="H107" s="283">
        <f t="shared" si="5"/>
        <v>7572</v>
      </c>
      <c r="I107" s="240">
        <f t="shared" si="4"/>
        <v>7.135503996880484</v>
      </c>
      <c r="J107" s="41"/>
      <c r="K107" s="140"/>
      <c r="L107" s="150"/>
      <c r="M107" s="144"/>
    </row>
    <row r="108" spans="1:13" ht="14.25" customHeight="1">
      <c r="A108" s="34">
        <v>9</v>
      </c>
      <c r="B108" s="213"/>
      <c r="C108" s="236" t="s">
        <v>54</v>
      </c>
      <c r="D108" s="237">
        <v>2</v>
      </c>
      <c r="E108" s="238">
        <v>87733.05</v>
      </c>
      <c r="F108" s="239">
        <v>11489</v>
      </c>
      <c r="G108" s="283">
        <v>9</v>
      </c>
      <c r="H108" s="283">
        <f t="shared" si="5"/>
        <v>9748.116666666667</v>
      </c>
      <c r="I108" s="288">
        <f t="shared" si="4"/>
        <v>7.636265123161285</v>
      </c>
      <c r="J108" s="41"/>
      <c r="K108" s="140"/>
      <c r="L108" s="150"/>
      <c r="M108" s="144"/>
    </row>
    <row r="109" spans="1:13" ht="14.25" customHeight="1">
      <c r="A109" s="34">
        <v>10</v>
      </c>
      <c r="B109" s="213"/>
      <c r="C109" s="236" t="s">
        <v>208</v>
      </c>
      <c r="D109" s="237">
        <v>1</v>
      </c>
      <c r="E109" s="238">
        <v>82351.4</v>
      </c>
      <c r="F109" s="239">
        <v>9780</v>
      </c>
      <c r="G109" s="283">
        <v>8</v>
      </c>
      <c r="H109" s="283">
        <f t="shared" si="5"/>
        <v>10293.925</v>
      </c>
      <c r="I109" s="240">
        <f t="shared" si="4"/>
        <v>8.42038854805726</v>
      </c>
      <c r="J109" s="41"/>
      <c r="K109" s="140"/>
      <c r="L109" s="150"/>
      <c r="M109" s="144"/>
    </row>
    <row r="110" spans="1:13" ht="14.25" customHeight="1">
      <c r="A110" s="34">
        <v>11</v>
      </c>
      <c r="B110" s="213"/>
      <c r="C110" s="236" t="s">
        <v>53</v>
      </c>
      <c r="D110" s="237">
        <v>1</v>
      </c>
      <c r="E110" s="238">
        <v>25057.5</v>
      </c>
      <c r="F110" s="239">
        <v>4796</v>
      </c>
      <c r="G110" s="283">
        <v>7</v>
      </c>
      <c r="H110" s="283">
        <f t="shared" si="5"/>
        <v>3579.6428571428573</v>
      </c>
      <c r="I110" s="240">
        <f t="shared" si="4"/>
        <v>5.224666388657214</v>
      </c>
      <c r="J110" s="41"/>
      <c r="K110" s="140"/>
      <c r="L110" s="150"/>
      <c r="M110" s="144"/>
    </row>
    <row r="111" spans="1:13" ht="14.25" customHeight="1" thickBot="1">
      <c r="A111" s="34">
        <v>12</v>
      </c>
      <c r="B111" s="213"/>
      <c r="C111" s="241" t="s">
        <v>133</v>
      </c>
      <c r="D111" s="244">
        <v>2</v>
      </c>
      <c r="E111" s="284">
        <v>20195</v>
      </c>
      <c r="F111" s="285">
        <v>2778</v>
      </c>
      <c r="G111" s="286">
        <v>5</v>
      </c>
      <c r="H111" s="286">
        <f t="shared" si="5"/>
        <v>4039</v>
      </c>
      <c r="I111" s="287">
        <f t="shared" si="4"/>
        <v>7.269618430525558</v>
      </c>
      <c r="J111" s="41"/>
      <c r="K111" s="140"/>
      <c r="L111" s="150"/>
      <c r="M111" s="144"/>
    </row>
  </sheetData>
  <mergeCells count="17">
    <mergeCell ref="H91:H92"/>
    <mergeCell ref="I91:J91"/>
    <mergeCell ref="K91:K92"/>
    <mergeCell ref="C91:C92"/>
    <mergeCell ref="D91:D92"/>
    <mergeCell ref="E91:E92"/>
    <mergeCell ref="G91:G92"/>
    <mergeCell ref="D98:I98"/>
    <mergeCell ref="B1:K1"/>
    <mergeCell ref="E2:E3"/>
    <mergeCell ref="C2:C3"/>
    <mergeCell ref="D2:D3"/>
    <mergeCell ref="H2:H3"/>
    <mergeCell ref="I2:J2"/>
    <mergeCell ref="K2:K3"/>
    <mergeCell ref="G2:G3"/>
    <mergeCell ref="F2:F3"/>
  </mergeCells>
  <printOptions/>
  <pageMargins left="0.75" right="0.2" top="0.45" bottom="0.64" header="0.27" footer="0.46"/>
  <pageSetup orientation="portrait" paperSize="9" scale="45" r:id="rId1"/>
  <ignoredErrors>
    <ignoredError sqref="I14:J56 I100:I111 H100:H111" unlockedFormula="1"/>
    <ignoredError sqref="K5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2006-05-12T18:37:01Z</cp:lastPrinted>
  <dcterms:created xsi:type="dcterms:W3CDTF">2006-03-17T12:24:26Z</dcterms:created>
  <dcterms:modified xsi:type="dcterms:W3CDTF">2006-05-12T18:37:29Z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