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255" windowWidth="7830" windowHeight="8100" tabRatio="320" firstSheet="4" activeTab="4"/>
  </bookViews>
  <sheets>
    <sheet name="April,21-23 (we 17)" sheetId="1" r:id="rId1"/>
    <sheet name="April,21-23 (TOP 10)" sheetId="2" r:id="rId2"/>
    <sheet name="April, 28-30 (we 18)" sheetId="3" r:id="rId3"/>
    <sheet name="April, 28-30 (TOP TEN)" sheetId="4" r:id="rId4"/>
    <sheet name="May,5-7 (we19)" sheetId="5" r:id="rId5"/>
    <sheet name="May,5-7 (TOP TEN)" sheetId="6" r:id="rId6"/>
    <sheet name="May,12-14(we20)" sheetId="7" r:id="rId7"/>
    <sheet name="May,19-21 (we21)" sheetId="8" r:id="rId8"/>
    <sheet name="May,26-28 (we22)" sheetId="9" r:id="rId9"/>
    <sheet name="June,2-4 (we23)" sheetId="10" r:id="rId10"/>
    <sheet name="June,9-11 (we24)" sheetId="11" r:id="rId11"/>
    <sheet name="June,16-18(we25)" sheetId="12" r:id="rId12"/>
    <sheet name="June23-25 (we26)" sheetId="13" r:id="rId13"/>
    <sheet name="June 30-July,2 (we27)" sheetId="14" r:id="rId14"/>
    <sheet name="July7-9 (we28)" sheetId="15" r:id="rId15"/>
    <sheet name="July 14-16 (we29)" sheetId="16" r:id="rId16"/>
    <sheet name="July 21-23 (we30)" sheetId="17" r:id="rId17"/>
    <sheet name="July 28-30 (we 31)" sheetId="18" r:id="rId18"/>
    <sheet name="Aug.4-6 (we32)" sheetId="19" r:id="rId19"/>
    <sheet name="Aug.11-13 (we33)" sheetId="20" r:id="rId20"/>
    <sheet name="Aug.18-20 (we34)" sheetId="21" r:id="rId21"/>
    <sheet name="Aug.25-27 (we35)" sheetId="22" r:id="rId22"/>
    <sheet name="Sep.1-3 (we36)" sheetId="23" r:id="rId23"/>
    <sheet name="Sep.8-10 (we37)" sheetId="24" r:id="rId24"/>
    <sheet name="Sep.15-17 (we38)" sheetId="25" r:id="rId25"/>
    <sheet name="Sep.22-24 (we39)" sheetId="26" r:id="rId26"/>
    <sheet name="Sep.29-Oct.1(we40)" sheetId="27" r:id="rId27"/>
    <sheet name="Oct.6-8 (we41)" sheetId="28" r:id="rId28"/>
    <sheet name="Oct.13-15 (we42)" sheetId="29" r:id="rId29"/>
    <sheet name="Oct 20-22 (we43)" sheetId="30" r:id="rId30"/>
    <sheet name="Oct.27-29 (we44)" sheetId="31" r:id="rId31"/>
    <sheet name="Nov.3-5 (we45)" sheetId="32" r:id="rId32"/>
    <sheet name="Nov.10-12 (we46)" sheetId="33" r:id="rId33"/>
    <sheet name="Nov.17-19 (we47)" sheetId="34" r:id="rId34"/>
    <sheet name="Nov.24-26 (we48)" sheetId="35" r:id="rId35"/>
    <sheet name="Dec.1-3 (we49)" sheetId="36" r:id="rId36"/>
    <sheet name="Dec.8-10 (we50)" sheetId="37" r:id="rId37"/>
    <sheet name="Dec.15-17 (we51)" sheetId="38" r:id="rId38"/>
    <sheet name="Dec.22-24 (we52)" sheetId="39" r:id="rId39"/>
    <sheet name="Distributor Master" sheetId="40" r:id="rId40"/>
    <sheet name="Sheet22" sheetId="41" r:id="rId41"/>
    <sheet name="Sheet23" sheetId="42" r:id="rId42"/>
    <sheet name="Sheet24" sheetId="43" r:id="rId43"/>
    <sheet name="Sheet3" sheetId="44" r:id="rId44"/>
  </sheets>
  <definedNames>
    <definedName name="_xlnm.Print_Area" localSheetId="3">'April, 28-30 (TOP TEN)'!$A$1:$V$25</definedName>
    <definedName name="_xlnm.Print_Area" localSheetId="2">'April, 28-30 (we 18)'!$A$1:$X$94</definedName>
    <definedName name="_xlnm.Print_Area" localSheetId="1">'April,21-23 (TOP 10)'!$A$1:$V$25</definedName>
    <definedName name="_xlnm.Print_Area" localSheetId="0">'April,21-23 (we 17)'!$A$1:$X$94</definedName>
    <definedName name="_xlnm.Print_Area" localSheetId="5">'May,5-7 (TOP TEN)'!$A$1:$V$25</definedName>
    <definedName name="_xlnm.Print_Area" localSheetId="4">'May,5-7 (we19)'!$A$1:$X$97</definedName>
  </definedNames>
  <calcPr fullCalcOnLoad="1"/>
</workbook>
</file>

<file path=xl/sharedStrings.xml><?xml version="1.0" encoding="utf-8"?>
<sst xmlns="http://schemas.openxmlformats.org/spreadsheetml/2006/main" count="2180" uniqueCount="279">
  <si>
    <t>Title</t>
  </si>
  <si>
    <t>Release date</t>
  </si>
  <si>
    <t>Distributor</t>
  </si>
  <si>
    <t># of Prints</t>
  </si>
  <si>
    <t>Friday</t>
  </si>
  <si>
    <t>G.B.O</t>
  </si>
  <si>
    <t>Admission</t>
  </si>
  <si>
    <t>Saturday</t>
  </si>
  <si>
    <t>Sunday</t>
  </si>
  <si>
    <t>Total</t>
  </si>
  <si>
    <t>Weekend Result</t>
  </si>
  <si>
    <t>Change</t>
  </si>
  <si>
    <t>Screen Av.(Adm.)</t>
  </si>
  <si>
    <t>Av.Ticket Price</t>
  </si>
  <si>
    <t>Cum.G.B.O</t>
  </si>
  <si>
    <t>Cum. Admission</t>
  </si>
  <si>
    <t>Adm.</t>
  </si>
  <si>
    <t xml:space="preserve">Last week </t>
  </si>
  <si>
    <t xml:space="preserve"> G.B.O</t>
  </si>
  <si>
    <t>Week in Rel.</t>
  </si>
  <si>
    <t># of Scr.</t>
  </si>
  <si>
    <t>Rank</t>
  </si>
  <si>
    <t>Turkey Weekend Total</t>
  </si>
  <si>
    <t>WEEKLY ANTRAKT CINEMA NEWSPAPER PRESENTS-HAFTALIK ANTRAKT SİNEMA GAZETESİ SUNAR</t>
  </si>
  <si>
    <t>WEEKEND NO:                                    PERIOD:</t>
  </si>
  <si>
    <t>TURKEY WEEKEND TOP RANKING</t>
  </si>
  <si>
    <t>WEEKEND NO: 20                                   PERIOD: May, 12- 14</t>
  </si>
  <si>
    <t>WEEKEND NO: 21                                   PERIOD: May,19- 21</t>
  </si>
  <si>
    <t>WEEKEND NO: 22                                   PERIOD: May, 26- 28</t>
  </si>
  <si>
    <t>WEEKEND NO: 23                                   PERIOD: June, 2- 4</t>
  </si>
  <si>
    <t>WEEKEND NO: 24                                    PERIOD: June, 9- 11</t>
  </si>
  <si>
    <t>WEEKEND NO: 25                                    PERIOD: June, 16- 18</t>
  </si>
  <si>
    <t>WEEKEND NO: 26                                   PERIOD: June, 23- 25</t>
  </si>
  <si>
    <t>WEEKEND NO: 27                                    PERIOD: June, 30 -  July, 2</t>
  </si>
  <si>
    <t>WEEKEND NO: 28                                    PERIOD: July , 7- 9</t>
  </si>
  <si>
    <t>WEEKEND NO: 29                                   PERIOD: July, 14- 16</t>
  </si>
  <si>
    <t>WEEKEND NO: 30                                    PERIOD: July, 21- 23</t>
  </si>
  <si>
    <t>WEEKEND NO: 31                                   PERIOD: July, 28- 30</t>
  </si>
  <si>
    <t>WEEKEND NO: 32                                   PERIOD: August, 4- 6</t>
  </si>
  <si>
    <t>WEEKEND NO: 33                                   PERIOD: August, 11- 13</t>
  </si>
  <si>
    <t>WEEKEND NO: 34                                   PERIOD:August, 18 - 20</t>
  </si>
  <si>
    <t>WEEKEND NO: 35                                    PERIOD: August, 25 - 27</t>
  </si>
  <si>
    <t>WEEKEND NO: 36                                   PERIOD:September, 1- 3</t>
  </si>
  <si>
    <t>WEEKEND NO: 37                                   PERIOD: September, 8 - 10</t>
  </si>
  <si>
    <t>WEEKEND NO: 38                                   PERIOD: September, 15 - 17</t>
  </si>
  <si>
    <t>WEEKEND NO: 39                                   PERIOD: September, 22 - 24</t>
  </si>
  <si>
    <t>WEEKEND NO:40                                   PERIOD: September, 29 - October, 1</t>
  </si>
  <si>
    <t>WEEKEND NO: 41                                    PERIOD: October, 6 - 8</t>
  </si>
  <si>
    <t>WEEKEND NO: 42                                   PERIOD: October, 13 - 15</t>
  </si>
  <si>
    <t>WEEKEND NO: 43                                   PERIOD: October, 20 - 22</t>
  </si>
  <si>
    <t>WEEKEND NO: 44                                    PERIOD: October, 27 - 29</t>
  </si>
  <si>
    <t>WEEKEND NO: 45                                   PERIOD: November, 3 - 5</t>
  </si>
  <si>
    <t>WEEKEND NO: 46                                   PERIOD: November, 10 - 12</t>
  </si>
  <si>
    <t>WEEKEND NO: 47                                   PERIOD: November, 17 - 19</t>
  </si>
  <si>
    <t>WEEKEND NO: 48                                   PERIOD: Nov.,24-26</t>
  </si>
  <si>
    <t>WEEKEND NO: 49                                    PERIOD: Dec., 1-3</t>
  </si>
  <si>
    <t>WEEKEND NO: 50                                   PERIOD: December, 8 - 10</t>
  </si>
  <si>
    <t>WEEKEND NO: 51                                   PERIOD: December, 15 - 17</t>
  </si>
  <si>
    <t>WEEKEND NO: 52                                   PERIOD: December, 22 - 24</t>
  </si>
  <si>
    <r>
      <t xml:space="preserve">2006 - </t>
    </r>
    <r>
      <rPr>
        <b/>
        <sz val="11"/>
        <color indexed="9"/>
        <rFont val="Arial"/>
        <family val="2"/>
      </rPr>
      <t>TURKEY WEEKEND TOP RANKING</t>
    </r>
  </si>
  <si>
    <t>HOSTEL</t>
  </si>
  <si>
    <t>KURTLAR VADISI IRAK</t>
  </si>
  <si>
    <t>HACIVAT KARAGOZ NEDEN OLDURULDU?</t>
  </si>
  <si>
    <t>BABAM VE OGLUM</t>
  </si>
  <si>
    <t>DABBE</t>
  </si>
  <si>
    <t>FUN WITH DICK &amp; JANE</t>
  </si>
  <si>
    <t>BAMBI 2</t>
  </si>
  <si>
    <t>NANNY MCPHEE</t>
  </si>
  <si>
    <t>CRASH</t>
  </si>
  <si>
    <t>SAINT ANGE</t>
  </si>
  <si>
    <t>MATCH POINT</t>
  </si>
  <si>
    <t>BIG MOMMA'S HOUSE 2</t>
  </si>
  <si>
    <t>CACHE</t>
  </si>
  <si>
    <t>ME AND YOU AND EVERYONE WE KNOW</t>
  </si>
  <si>
    <t>AEON FLUX</t>
  </si>
  <si>
    <t>SQUID AND THE WHALE, THE</t>
  </si>
  <si>
    <t>WB</t>
  </si>
  <si>
    <t>KENDA</t>
  </si>
  <si>
    <t>OZEN</t>
  </si>
  <si>
    <t>WARNER BROS.</t>
  </si>
  <si>
    <t>UIP</t>
  </si>
  <si>
    <t>CHANTIER</t>
  </si>
  <si>
    <t>G.B.O.</t>
  </si>
  <si>
    <t>MEMOIRS OF A GEISHA</t>
  </si>
  <si>
    <t>MATCHPOINT</t>
  </si>
  <si>
    <t>MUNICH</t>
  </si>
  <si>
    <t>JARHEAD</t>
  </si>
  <si>
    <t>KELOGLAN KARA PRENS'E KARSI</t>
  </si>
  <si>
    <t>ORGANIZE ISLER</t>
  </si>
  <si>
    <t>RUMOR HAS IT</t>
  </si>
  <si>
    <t>DREAMER</t>
  </si>
  <si>
    <t>CHICKEN LITTLE</t>
  </si>
  <si>
    <t>ZATHURA</t>
  </si>
  <si>
    <t>EXORCISM OF EMILY ROSE</t>
  </si>
  <si>
    <t>BIR FILM</t>
  </si>
  <si>
    <t>35 MILIM</t>
  </si>
  <si>
    <t>Release
Date</t>
  </si>
  <si>
    <t># of
Prints</t>
  </si>
  <si>
    <t># of
Screen</t>
  </si>
  <si>
    <t>Weeks in Release</t>
  </si>
  <si>
    <t>Weekend Total</t>
  </si>
  <si>
    <t>Last Weekend</t>
  </si>
  <si>
    <t>Cumulative</t>
  </si>
  <si>
    <t>Scr.Avg.
(Adm.)</t>
  </si>
  <si>
    <t>Avg.
Ticket</t>
  </si>
  <si>
    <t>BEYZA'NIN KADINLARI</t>
  </si>
  <si>
    <t>SYRIANA</t>
  </si>
  <si>
    <t>WB / PRA</t>
  </si>
  <si>
    <t>KORKUYORUM ANNE</t>
  </si>
  <si>
    <t>WHAT THE BLEEP DO WE KNOW</t>
  </si>
  <si>
    <t>TIM BURTON'S CORPSE BRIDE</t>
  </si>
  <si>
    <t>HISTORY OF VIOLENCE</t>
  </si>
  <si>
    <t>SAW 2</t>
  </si>
  <si>
    <t>SIN CITY</t>
  </si>
  <si>
    <t>WEDDING DATE, THE</t>
  </si>
  <si>
    <t>WEEKEND TOTAL</t>
  </si>
  <si>
    <t>.</t>
  </si>
  <si>
    <t>*Sorted according to Weekend Total G.B.O. - Hafta sonu toplam hasılat sütununa göre sıralanmıştır.</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</si>
  <si>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</si>
  <si>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BROKEBACK MOUNTAIN</t>
  </si>
  <si>
    <t>CAPOTE</t>
  </si>
  <si>
    <t>OYUN</t>
  </si>
  <si>
    <t>STOLEN EYES</t>
  </si>
  <si>
    <t>YOUNG ADAM</t>
  </si>
  <si>
    <t>RED SHOES</t>
  </si>
  <si>
    <t>SEX &amp; PHILOSOPHY</t>
  </si>
  <si>
    <t>RABBIT ON THE MOON</t>
  </si>
  <si>
    <t>FATELESS</t>
  </si>
  <si>
    <t>PINK PANTHER</t>
  </si>
  <si>
    <t>HOODWINKED</t>
  </si>
  <si>
    <t>CRY_WOLF</t>
  </si>
  <si>
    <t>PROOF</t>
  </si>
  <si>
    <t>BASIC INSTINCT 2</t>
  </si>
  <si>
    <t>V FOR VENDETTA</t>
  </si>
  <si>
    <t>CASANOVA</t>
  </si>
  <si>
    <t>BEE SEASON</t>
  </si>
  <si>
    <t>18.11 05</t>
  </si>
  <si>
    <t>16 BLOCKS</t>
  </si>
  <si>
    <t>DANDELION</t>
  </si>
  <si>
    <t>CERTI BAMBINI</t>
  </si>
  <si>
    <t>LADIES IN LAVENDER</t>
  </si>
  <si>
    <t>LE GRAND VOYAGE</t>
  </si>
  <si>
    <t>WALLACE &amp; GROMITE</t>
  </si>
  <si>
    <t>UNP</t>
  </si>
  <si>
    <t>C2 PICTURES</t>
  </si>
  <si>
    <t>GEN</t>
  </si>
  <si>
    <t>TIGLON</t>
  </si>
  <si>
    <t>OZEN FILM</t>
  </si>
  <si>
    <t>FOX</t>
  </si>
  <si>
    <t>WOLF CREEK</t>
  </si>
  <si>
    <t>MEDYAVIZYON</t>
  </si>
  <si>
    <t>WEINSTEIN CO.</t>
  </si>
  <si>
    <t>BUENA VISTA</t>
  </si>
  <si>
    <t>THE PHANTOM OF THE OPERA</t>
  </si>
  <si>
    <t>ALTIOKLAR</t>
  </si>
  <si>
    <t>FILMPOP</t>
  </si>
  <si>
    <t>JOYEUX NOEL</t>
  </si>
  <si>
    <t>FILMS DIST.</t>
  </si>
  <si>
    <t>AVSAR</t>
  </si>
  <si>
    <t>J PLAN</t>
  </si>
  <si>
    <t>PANA</t>
  </si>
  <si>
    <t>COLUMBIA</t>
  </si>
  <si>
    <t>SINETEL</t>
  </si>
  <si>
    <t>IFR</t>
  </si>
  <si>
    <t>ATLANTIK</t>
  </si>
  <si>
    <t>FRANCE</t>
  </si>
  <si>
    <t>35 MM</t>
  </si>
  <si>
    <t>PI FILMCILIK</t>
  </si>
  <si>
    <t>FOCUS</t>
  </si>
  <si>
    <t>UNIVERSAL</t>
  </si>
  <si>
    <t>BKM</t>
  </si>
  <si>
    <t>PRA</t>
  </si>
  <si>
    <t>PARAMOUNT</t>
  </si>
  <si>
    <t>CELLULOID</t>
  </si>
  <si>
    <t>PRIDE &amp; PRIDJUDICE</t>
  </si>
  <si>
    <t>ASKD - PYRAMIDE</t>
  </si>
  <si>
    <t>YAKA FILM</t>
  </si>
  <si>
    <t>FIDA</t>
  </si>
  <si>
    <t>LAKESHORE</t>
  </si>
  <si>
    <t>UMUT SANAT</t>
  </si>
  <si>
    <t>SINE FILM</t>
  </si>
  <si>
    <t>PINEMA</t>
  </si>
  <si>
    <t>DREAMWORKS</t>
  </si>
  <si>
    <t>R FILM</t>
  </si>
  <si>
    <t>BARBAR</t>
  </si>
  <si>
    <t>HYPNOS</t>
  </si>
  <si>
    <t>FILMAX</t>
  </si>
  <si>
    <t>ENERGY</t>
  </si>
  <si>
    <t>Company</t>
  </si>
  <si>
    <t>WILD BUNCH</t>
  </si>
  <si>
    <t>WILD, THE</t>
  </si>
  <si>
    <t>PHANTOM OF THE OPERA, THE</t>
  </si>
  <si>
    <t>ASK THE DUST</t>
  </si>
  <si>
    <t>ENEL MUNDO E CADA RATO</t>
  </si>
  <si>
    <t>UNICEF</t>
  </si>
  <si>
    <t>ZOZO</t>
  </si>
  <si>
    <t>TROUBLE</t>
  </si>
  <si>
    <t>SAMARITAN GIRL</t>
  </si>
  <si>
    <t>DARK HORSE</t>
  </si>
  <si>
    <t>DEAR WENDY</t>
  </si>
  <si>
    <t>MADAGASCAR</t>
  </si>
  <si>
    <t>ICE AGE 2: THE MELTDOWN</t>
  </si>
  <si>
    <t>Weekly Movie Magazine Antrakt  Presents - Haftalık Antrakt Sinema Gazetesi Sunar</t>
  </si>
  <si>
    <t>LUCKY NUMBER SLEVIN</t>
  </si>
  <si>
    <t>DESCENT, THE</t>
  </si>
  <si>
    <t>OZEN - UMUT</t>
  </si>
  <si>
    <t>EIGHT BELOW</t>
  </si>
  <si>
    <t>WHEN A STRANGER CALLS</t>
  </si>
  <si>
    <t>SLITHER</t>
  </si>
  <si>
    <t>ODSSEY</t>
  </si>
  <si>
    <t>JE NE SUIS PAS LA POUR ETRE AIME</t>
  </si>
  <si>
    <t>REZO</t>
  </si>
  <si>
    <t>MON ANGE</t>
  </si>
  <si>
    <t>MK2</t>
  </si>
  <si>
    <t>UMUT</t>
  </si>
  <si>
    <t>CHARLIE &amp; THE CHOCOLATE FACTORY</t>
  </si>
  <si>
    <t>NARNIA</t>
  </si>
  <si>
    <t>WEATHERMAN, THE</t>
  </si>
  <si>
    <t>HAYALEVI</t>
  </si>
  <si>
    <t>CINECLICK ASIA</t>
  </si>
  <si>
    <t>UPSIDE OF ANGER, THE</t>
  </si>
  <si>
    <t>MEDIA 8</t>
  </si>
  <si>
    <t>ME AND YOU AND EVERYBODY WE KNOW</t>
  </si>
  <si>
    <t>TRUST FILMS</t>
  </si>
  <si>
    <t>SEPTEMBER 11</t>
  </si>
  <si>
    <t>SEARCHING FOR DEBRA WINGER</t>
  </si>
  <si>
    <t>LIMELIGHT</t>
  </si>
  <si>
    <t>SUPER SIZE ME</t>
  </si>
  <si>
    <t>MUST LOVE DOGS</t>
  </si>
  <si>
    <t>SONY PICTURES</t>
  </si>
  <si>
    <t>SUGARWORKZ</t>
  </si>
  <si>
    <t>PYRAMIDE</t>
  </si>
  <si>
    <t>BIR - ERMAN</t>
  </si>
  <si>
    <t>CAPITOL</t>
  </si>
  <si>
    <t xml:space="preserve">TURKEY'S WEEKEND MARKET DATAS </t>
  </si>
  <si>
    <t>WEEKEND BOX OFFICE &amp; ADMISSION REPORT</t>
  </si>
  <si>
    <t>WEEKEND: 17       21 - 23 APR 2005</t>
  </si>
  <si>
    <t>TOP 10</t>
  </si>
  <si>
    <t>WEEKEND: 17  21 - 23 APR 2005</t>
  </si>
  <si>
    <t>TOP ALL</t>
  </si>
  <si>
    <t>TURKEY'S WEEKEND MARKET DATAS</t>
  </si>
  <si>
    <t>ICE AGE 2; THE MELTDOWN</t>
  </si>
  <si>
    <t>INSIDE MAN</t>
  </si>
  <si>
    <t>FINAL DESTINATION 3</t>
  </si>
  <si>
    <t xml:space="preserve">WILD, THE   </t>
  </si>
  <si>
    <t>TWO FOR THE MONEY</t>
  </si>
  <si>
    <t>DATE MOVIE</t>
  </si>
  <si>
    <t>ROAD TO GUANTANAMO, THE</t>
  </si>
  <si>
    <t>PI FILM</t>
  </si>
  <si>
    <t>ENTRE SES MAINS</t>
  </si>
  <si>
    <t>PATHE</t>
  </si>
  <si>
    <t>BELGE FILM</t>
  </si>
  <si>
    <t>LIMON</t>
  </si>
  <si>
    <t>WEEKEND: 18       28 - 30 APR' 2006</t>
  </si>
  <si>
    <t>WEEKEND: 18            28 - 30 APR' 2006</t>
  </si>
  <si>
    <t>JE NES SUIS PAS LA POUR ETRE AIME</t>
  </si>
  <si>
    <t>GOOD WOMAN, A</t>
  </si>
  <si>
    <t>LIONS GATE</t>
  </si>
  <si>
    <t>REZZO</t>
  </si>
  <si>
    <t>WEEKEND: 19       05 - 07  MAY' 2006</t>
  </si>
  <si>
    <t>WEEKEND: 19            05 - 07 MAY' 2006</t>
  </si>
  <si>
    <t>MISSION IMPOSSIBLE 3</t>
  </si>
  <si>
    <t>FILM POP</t>
  </si>
  <si>
    <t>MATADOR</t>
  </si>
  <si>
    <t>ANNE YA DA LEYLA</t>
  </si>
  <si>
    <t>SINEMA AJANS</t>
  </si>
  <si>
    <t>THE ROAD TO GUANTANAMO</t>
  </si>
  <si>
    <t>JE NES SUISPAS LA POUR ETRE AIME</t>
  </si>
  <si>
    <t>ERMAN F. - PATHE</t>
  </si>
  <si>
    <t>AS IT IS IN HEAVEN</t>
  </si>
  <si>
    <t>LE FEMMES DE GILLES</t>
  </si>
  <si>
    <t>ARTEMIS</t>
  </si>
  <si>
    <t>H20</t>
  </si>
  <si>
    <t>KELOGLAN KARA PRENSE KARSI</t>
  </si>
  <si>
    <t>AVSAR FILM</t>
  </si>
  <si>
    <t>TF 1</t>
  </si>
  <si>
    <t>SIR F. - TRUST F.</t>
  </si>
  <si>
    <t>LIMON - CAPITOL</t>
  </si>
  <si>
    <t>BIN JIP</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</si>
</sst>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 numFmtId="178" formatCode="dd/mm/yy;@"/>
    <numFmt numFmtId="179" formatCode="#,##0_-"/>
  </numFmts>
  <fonts count="45">
    <font>
      <sz val="10"/>
      <name val="Arial"/>
      <family val="0"/>
    </font>
    <font>
      <sz val="9"/>
      <name val="Arial"/>
      <family val="0"/>
    </font>
    <font>
      <b/>
      <sz val="9"/>
      <name val="Arial"/>
      <family val="2"/>
    </font>
    <font>
      <sz val="8"/>
      <name val="Arial"/>
      <family val="0"/>
    </font>
    <font>
      <sz val="9"/>
      <color indexed="9"/>
      <name val="Arial"/>
      <family val="0"/>
    </font>
    <font>
      <b/>
      <sz val="11"/>
      <color indexed="9"/>
      <name val="Arial"/>
      <family val="2"/>
    </font>
    <font>
      <u val="single"/>
      <sz val="10"/>
      <color indexed="12"/>
      <name val="Arial"/>
      <family val="0"/>
    </font>
    <font>
      <u val="single"/>
      <sz val="10"/>
      <color indexed="36"/>
      <name val="Arial"/>
      <family val="0"/>
    </font>
    <font>
      <b/>
      <sz val="12"/>
      <color indexed="9"/>
      <name val="Arial"/>
      <family val="2"/>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0"/>
      <name val="Trebuchet MS"/>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30"/>
      <name val="Batang"/>
      <family val="1"/>
    </font>
    <font>
      <b/>
      <sz val="25"/>
      <name val="Batang"/>
      <family val="1"/>
    </font>
    <font>
      <b/>
      <sz val="50"/>
      <name val="Arial"/>
      <family val="2"/>
    </font>
    <font>
      <b/>
      <sz val="50"/>
      <color indexed="9"/>
      <name val="Arial"/>
      <family val="2"/>
    </font>
    <font>
      <b/>
      <sz val="20"/>
      <name val="Batang"/>
      <family val="1"/>
    </font>
    <font>
      <b/>
      <sz val="30"/>
      <color indexed="10"/>
      <name val="Arial"/>
      <family val="2"/>
    </font>
    <font>
      <b/>
      <sz val="30"/>
      <name val="Arial"/>
      <family val="0"/>
    </font>
    <font>
      <b/>
      <sz val="10"/>
      <name val="Impact"/>
      <family val="2"/>
    </font>
  </fonts>
  <fills count="12">
    <fill>
      <patternFill/>
    </fill>
    <fill>
      <patternFill patternType="gray125"/>
    </fill>
    <fill>
      <patternFill patternType="solid">
        <fgColor indexed="9"/>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2"/>
        <bgColor indexed="64"/>
      </patternFill>
    </fill>
    <fill>
      <patternFill patternType="solid">
        <fgColor indexed="48"/>
        <bgColor indexed="64"/>
      </patternFill>
    </fill>
  </fills>
  <borders count="71">
    <border>
      <left/>
      <right/>
      <top/>
      <bottom/>
      <diagonal/>
    </border>
    <border>
      <left>
        <color indexed="63"/>
      </left>
      <right style="thin"/>
      <top>
        <color indexed="63"/>
      </top>
      <bottom style="thin"/>
    </border>
    <border>
      <left style="thin"/>
      <right style="thin"/>
      <top style="hair"/>
      <bottom style="hair"/>
    </border>
    <border>
      <left style="thin"/>
      <right style="thin"/>
      <top style="hair"/>
      <bottom style="medium"/>
    </border>
    <border>
      <left style="thin"/>
      <right style="thin"/>
      <top style="thin"/>
      <bottom style="hair"/>
    </border>
    <border>
      <left style="thin"/>
      <right>
        <color indexed="63"/>
      </right>
      <top style="medium"/>
      <bottom>
        <color indexed="63"/>
      </bottom>
    </border>
    <border>
      <left>
        <color indexed="63"/>
      </left>
      <right style="thin"/>
      <top style="medium"/>
      <bottom>
        <color indexed="63"/>
      </bottom>
    </border>
    <border>
      <left style="thin"/>
      <right style="dashDotDot"/>
      <top style="thin"/>
      <bottom style="thin"/>
    </border>
    <border>
      <left>
        <color indexed="63"/>
      </left>
      <right>
        <color indexed="63"/>
      </right>
      <top style="thin"/>
      <bottom style="hair"/>
    </border>
    <border>
      <left style="thin"/>
      <right style="dashDotDot"/>
      <top style="thin"/>
      <bottom style="hair"/>
    </border>
    <border>
      <left>
        <color indexed="63"/>
      </left>
      <right style="thin"/>
      <top style="thin"/>
      <bottom style="hair"/>
    </border>
    <border>
      <left>
        <color indexed="63"/>
      </left>
      <right style="medium"/>
      <top style="thin"/>
      <bottom style="hair"/>
    </border>
    <border>
      <left>
        <color indexed="63"/>
      </left>
      <right>
        <color indexed="63"/>
      </right>
      <top style="hair"/>
      <bottom style="hair"/>
    </border>
    <border>
      <left style="thin"/>
      <right style="dashDotDot"/>
      <top style="hair"/>
      <bottom style="hair"/>
    </border>
    <border>
      <left>
        <color indexed="63"/>
      </left>
      <right style="thin"/>
      <top style="hair"/>
      <bottom style="hair"/>
    </border>
    <border>
      <left>
        <color indexed="63"/>
      </left>
      <right style="medium"/>
      <top style="hair"/>
      <bottom style="hair"/>
    </border>
    <border>
      <left>
        <color indexed="63"/>
      </left>
      <right>
        <color indexed="63"/>
      </right>
      <top style="hair"/>
      <bottom style="medium"/>
    </border>
    <border>
      <left style="thin"/>
      <right style="dashDotDot"/>
      <top style="hair"/>
      <bottom style="medium"/>
    </border>
    <border>
      <left>
        <color indexed="63"/>
      </left>
      <right style="thin"/>
      <top style="hair"/>
      <bottom style="medium"/>
    </border>
    <border>
      <left>
        <color indexed="63"/>
      </left>
      <right style="medium"/>
      <top style="hair"/>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style="hair"/>
    </border>
    <border>
      <left style="hair"/>
      <right style="hair"/>
      <top style="hair"/>
      <bottom style="hair"/>
    </border>
    <border>
      <left style="hair"/>
      <right style="hair"/>
      <top style="medium"/>
      <bottom style="hair"/>
    </border>
    <border>
      <left style="hair"/>
      <right style="thin"/>
      <top style="medium"/>
      <bottom style="hair"/>
    </border>
    <border>
      <left style="hair"/>
      <right style="thin"/>
      <top style="hair"/>
      <bottom style="hair"/>
    </border>
    <border>
      <left>
        <color indexed="63"/>
      </left>
      <right style="hair"/>
      <top style="medium"/>
      <bottom style="hair"/>
    </border>
    <border>
      <left>
        <color indexed="63"/>
      </left>
      <right style="hair"/>
      <top style="hair"/>
      <bottom style="hair"/>
    </border>
    <border>
      <left style="hair"/>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medium"/>
      <right style="hair"/>
      <top style="hair"/>
      <bottom style="hair"/>
    </border>
    <border>
      <left style="medium"/>
      <right style="hair"/>
      <top style="hair"/>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medium"/>
      <right style="hair"/>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86">
    <xf numFmtId="0" fontId="0" fillId="0" borderId="0" xfId="0" applyAlignment="1">
      <alignment/>
    </xf>
    <xf numFmtId="0" fontId="1" fillId="2" borderId="0" xfId="0" applyFont="1" applyFill="1" applyAlignment="1">
      <alignment/>
    </xf>
    <xf numFmtId="165" fontId="1" fillId="2" borderId="0" xfId="15" applyNumberFormat="1" applyFont="1" applyFill="1" applyAlignment="1">
      <alignment/>
    </xf>
    <xf numFmtId="165" fontId="1" fillId="2" borderId="1" xfId="15"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xf>
    <xf numFmtId="0" fontId="1" fillId="2" borderId="3" xfId="0" applyFont="1" applyFill="1" applyBorder="1" applyAlignment="1">
      <alignment/>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xf>
    <xf numFmtId="0" fontId="2" fillId="2" borderId="0" xfId="0" applyFont="1" applyFill="1" applyAlignment="1">
      <alignment/>
    </xf>
    <xf numFmtId="0" fontId="2" fillId="2" borderId="2" xfId="0" applyFont="1" applyFill="1" applyBorder="1" applyAlignment="1">
      <alignment horizontal="center"/>
    </xf>
    <xf numFmtId="0" fontId="2" fillId="2" borderId="2" xfId="0" applyFont="1" applyFill="1" applyBorder="1" applyAlignment="1">
      <alignment/>
    </xf>
    <xf numFmtId="165" fontId="1" fillId="2" borderId="5" xfId="15"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165" fontId="1" fillId="2" borderId="7" xfId="15" applyNumberFormat="1" applyFont="1" applyFill="1" applyBorder="1" applyAlignment="1">
      <alignment horizontal="center" vertical="center" wrapText="1"/>
    </xf>
    <xf numFmtId="0" fontId="4" fillId="3" borderId="0" xfId="0" applyFont="1" applyFill="1" applyAlignment="1">
      <alignment/>
    </xf>
    <xf numFmtId="165" fontId="4" fillId="3" borderId="0" xfId="15" applyNumberFormat="1" applyFont="1" applyFill="1" applyAlignment="1">
      <alignment/>
    </xf>
    <xf numFmtId="167" fontId="4" fillId="3" borderId="0" xfId="0" applyNumberFormat="1" applyFont="1" applyFill="1" applyAlignment="1">
      <alignment/>
    </xf>
    <xf numFmtId="167" fontId="1" fillId="2" borderId="0" xfId="0" applyNumberFormat="1" applyFont="1" applyFill="1" applyAlignment="1">
      <alignment/>
    </xf>
    <xf numFmtId="0" fontId="2" fillId="2" borderId="8" xfId="0" applyFont="1" applyFill="1" applyBorder="1" applyAlignment="1">
      <alignment horizontal="center"/>
    </xf>
    <xf numFmtId="165" fontId="2" fillId="2" borderId="9" xfId="15" applyNumberFormat="1" applyFont="1" applyFill="1" applyBorder="1" applyAlignment="1">
      <alignment horizontal="center"/>
    </xf>
    <xf numFmtId="165" fontId="2" fillId="2" borderId="10" xfId="15" applyNumberFormat="1" applyFont="1" applyFill="1" applyBorder="1" applyAlignment="1">
      <alignment horizontal="center"/>
    </xf>
    <xf numFmtId="0" fontId="2" fillId="2" borderId="10" xfId="21" applyFont="1" applyFill="1" applyBorder="1" applyAlignment="1">
      <alignment horizontal="center"/>
    </xf>
    <xf numFmtId="165" fontId="2" fillId="2" borderId="4" xfId="15" applyNumberFormat="1" applyFont="1" applyFill="1" applyBorder="1" applyAlignment="1">
      <alignment horizontal="center"/>
    </xf>
    <xf numFmtId="0" fontId="2" fillId="2" borderId="4" xfId="15" applyFont="1" applyFill="1" applyBorder="1" applyAlignment="1">
      <alignment horizontal="center"/>
    </xf>
    <xf numFmtId="0" fontId="2" fillId="2" borderId="11" xfId="15" applyFont="1" applyFill="1" applyBorder="1" applyAlignment="1">
      <alignment horizontal="center"/>
    </xf>
    <xf numFmtId="0" fontId="1" fillId="2" borderId="12" xfId="0" applyFont="1" applyFill="1" applyBorder="1" applyAlignment="1">
      <alignment horizontal="center"/>
    </xf>
    <xf numFmtId="165" fontId="1" fillId="2" borderId="13" xfId="15" applyNumberFormat="1" applyFont="1" applyFill="1" applyBorder="1" applyAlignment="1">
      <alignment horizontal="center"/>
    </xf>
    <xf numFmtId="165" fontId="1" fillId="2" borderId="14" xfId="15" applyNumberFormat="1" applyFont="1" applyFill="1" applyBorder="1" applyAlignment="1">
      <alignment horizontal="center"/>
    </xf>
    <xf numFmtId="9" fontId="1" fillId="2" borderId="14" xfId="21" applyFont="1" applyFill="1" applyBorder="1" applyAlignment="1">
      <alignment horizontal="center"/>
    </xf>
    <xf numFmtId="165" fontId="1" fillId="2" borderId="2" xfId="15" applyNumberFormat="1" applyFont="1" applyFill="1" applyBorder="1" applyAlignment="1">
      <alignment horizontal="center"/>
    </xf>
    <xf numFmtId="43" fontId="1" fillId="2" borderId="2" xfId="15" applyFont="1" applyFill="1" applyBorder="1" applyAlignment="1">
      <alignment horizontal="center"/>
    </xf>
    <xf numFmtId="43" fontId="1" fillId="2" borderId="15" xfId="15" applyFont="1" applyFill="1" applyBorder="1" applyAlignment="1">
      <alignment horizontal="center"/>
    </xf>
    <xf numFmtId="0" fontId="2" fillId="2" borderId="12" xfId="0" applyFont="1" applyFill="1" applyBorder="1" applyAlignment="1">
      <alignment horizontal="center"/>
    </xf>
    <xf numFmtId="165" fontId="2" fillId="2" borderId="13" xfId="15" applyNumberFormat="1" applyFont="1" applyFill="1" applyBorder="1" applyAlignment="1">
      <alignment horizontal="center"/>
    </xf>
    <xf numFmtId="165" fontId="2" fillId="2" borderId="14" xfId="15" applyNumberFormat="1" applyFont="1" applyFill="1" applyBorder="1" applyAlignment="1">
      <alignment horizontal="center"/>
    </xf>
    <xf numFmtId="9" fontId="2" fillId="2" borderId="14" xfId="21" applyFont="1" applyFill="1" applyBorder="1" applyAlignment="1">
      <alignment horizontal="center"/>
    </xf>
    <xf numFmtId="165" fontId="2" fillId="2" borderId="2" xfId="15" applyNumberFormat="1" applyFont="1" applyFill="1" applyBorder="1" applyAlignment="1">
      <alignment horizontal="center"/>
    </xf>
    <xf numFmtId="43" fontId="2" fillId="2" borderId="2" xfId="15" applyFont="1" applyFill="1" applyBorder="1" applyAlignment="1">
      <alignment horizontal="center"/>
    </xf>
    <xf numFmtId="43" fontId="2" fillId="2" borderId="15" xfId="15" applyFont="1" applyFill="1" applyBorder="1" applyAlignment="1">
      <alignment horizontal="center"/>
    </xf>
    <xf numFmtId="0" fontId="1" fillId="2" borderId="16" xfId="0" applyFont="1" applyFill="1" applyBorder="1" applyAlignment="1">
      <alignment horizontal="center"/>
    </xf>
    <xf numFmtId="165" fontId="1" fillId="2" borderId="17" xfId="15" applyNumberFormat="1" applyFont="1" applyFill="1" applyBorder="1" applyAlignment="1">
      <alignment horizontal="center"/>
    </xf>
    <xf numFmtId="165" fontId="1" fillId="2" borderId="18" xfId="15" applyNumberFormat="1" applyFont="1" applyFill="1" applyBorder="1" applyAlignment="1">
      <alignment horizontal="center"/>
    </xf>
    <xf numFmtId="9" fontId="1" fillId="2" borderId="18" xfId="21" applyFont="1" applyFill="1" applyBorder="1" applyAlignment="1">
      <alignment horizontal="center"/>
    </xf>
    <xf numFmtId="165" fontId="1" fillId="2" borderId="3" xfId="15" applyNumberFormat="1" applyFont="1" applyFill="1" applyBorder="1" applyAlignment="1">
      <alignment horizontal="center"/>
    </xf>
    <xf numFmtId="43" fontId="1" fillId="2" borderId="3" xfId="15" applyFont="1" applyFill="1" applyBorder="1" applyAlignment="1">
      <alignment horizontal="center"/>
    </xf>
    <xf numFmtId="43" fontId="1" fillId="2" borderId="19" xfId="15" applyFont="1" applyFill="1" applyBorder="1" applyAlignment="1">
      <alignment horizontal="center"/>
    </xf>
    <xf numFmtId="167" fontId="2" fillId="2" borderId="4" xfId="0" applyNumberFormat="1" applyFont="1" applyFill="1" applyBorder="1" applyAlignment="1">
      <alignment horizontal="center"/>
    </xf>
    <xf numFmtId="167" fontId="1" fillId="2" borderId="2" xfId="0" applyNumberFormat="1" applyFont="1" applyFill="1" applyBorder="1" applyAlignment="1">
      <alignment horizontal="center"/>
    </xf>
    <xf numFmtId="167" fontId="2" fillId="2" borderId="2" xfId="0" applyNumberFormat="1" applyFont="1" applyFill="1" applyBorder="1" applyAlignment="1">
      <alignment horizontal="center"/>
    </xf>
    <xf numFmtId="167" fontId="1" fillId="2" borderId="3" xfId="0" applyNumberFormat="1" applyFont="1" applyFill="1" applyBorder="1" applyAlignment="1">
      <alignment horizontal="center"/>
    </xf>
    <xf numFmtId="0" fontId="13" fillId="0" borderId="0" xfId="0" applyFont="1" applyAlignment="1" applyProtection="1">
      <alignment vertical="center"/>
      <protection locked="0"/>
    </xf>
    <xf numFmtId="0" fontId="14" fillId="0" borderId="0" xfId="0" applyFont="1" applyFill="1" applyBorder="1" applyAlignment="1" applyProtection="1">
      <alignment vertical="center"/>
      <protection locked="0"/>
    </xf>
    <xf numFmtId="0" fontId="12"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17" fillId="0" borderId="0" xfId="0" applyFont="1" applyAlignment="1" applyProtection="1">
      <alignment vertical="center"/>
      <protection locked="0"/>
    </xf>
    <xf numFmtId="0" fontId="18" fillId="0" borderId="0" xfId="0" applyFont="1" applyAlignment="1" applyProtection="1">
      <alignment vertical="center"/>
      <protection/>
    </xf>
    <xf numFmtId="0" fontId="13" fillId="0" borderId="0" xfId="0" applyFont="1" applyAlignment="1" applyProtection="1">
      <alignment vertical="center"/>
      <protection/>
    </xf>
    <xf numFmtId="0" fontId="17" fillId="0" borderId="0" xfId="0" applyFont="1" applyAlignment="1" applyProtection="1">
      <alignment vertical="center"/>
      <protection/>
    </xf>
    <xf numFmtId="0" fontId="12" fillId="0" borderId="0" xfId="0" applyFont="1" applyAlignment="1" applyProtection="1">
      <alignment horizontal="center" vertical="center"/>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5" fillId="0" borderId="20" xfId="0" applyFont="1" applyBorder="1" applyAlignment="1" applyProtection="1">
      <alignment horizontal="center" vertical="center"/>
      <protection/>
    </xf>
    <xf numFmtId="0" fontId="15" fillId="0" borderId="21"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wrapText="1"/>
      <protection/>
    </xf>
    <xf numFmtId="0" fontId="15" fillId="0" borderId="21"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22" xfId="0" applyFont="1" applyFill="1" applyBorder="1" applyAlignment="1" applyProtection="1">
      <alignment horizontal="center" vertical="center" wrapText="1"/>
      <protection/>
    </xf>
    <xf numFmtId="0" fontId="15" fillId="0" borderId="23" xfId="0" applyFont="1" applyBorder="1" applyAlignment="1" applyProtection="1">
      <alignment horizontal="center" vertical="center"/>
      <protection/>
    </xf>
    <xf numFmtId="0" fontId="16" fillId="0" borderId="24" xfId="0" applyFont="1" applyFill="1" applyBorder="1" applyAlignment="1" applyProtection="1">
      <alignment vertical="center"/>
      <protection locked="0"/>
    </xf>
    <xf numFmtId="174" fontId="16" fillId="0" borderId="24" xfId="0" applyNumberFormat="1" applyFont="1" applyFill="1" applyBorder="1" applyAlignment="1" applyProtection="1">
      <alignment horizontal="center" vertical="center"/>
      <protection locked="0"/>
    </xf>
    <xf numFmtId="0" fontId="16" fillId="0" borderId="24" xfId="0" applyFont="1" applyFill="1" applyBorder="1" applyAlignment="1" applyProtection="1">
      <alignment horizontal="left" vertical="center"/>
      <protection locked="0"/>
    </xf>
    <xf numFmtId="172" fontId="16" fillId="0" borderId="24" xfId="15" applyNumberFormat="1" applyFont="1" applyFill="1" applyBorder="1" applyAlignment="1" applyProtection="1">
      <alignment vertical="center"/>
      <protection locked="0"/>
    </xf>
    <xf numFmtId="172" fontId="16" fillId="0" borderId="24" xfId="21" applyNumberFormat="1" applyFont="1" applyFill="1" applyBorder="1" applyAlignment="1" applyProtection="1">
      <alignment horizontal="right" vertical="center"/>
      <protection/>
    </xf>
    <xf numFmtId="172" fontId="16" fillId="0" borderId="24" xfId="15" applyNumberFormat="1" applyFont="1" applyFill="1" applyBorder="1" applyAlignment="1" applyProtection="1">
      <alignment horizontal="right" vertical="center"/>
      <protection/>
    </xf>
    <xf numFmtId="174" fontId="16" fillId="0" borderId="24" xfId="0" applyNumberFormat="1" applyFont="1" applyFill="1" applyBorder="1" applyAlignment="1">
      <alignment horizontal="center"/>
    </xf>
    <xf numFmtId="0" fontId="16" fillId="0" borderId="24" xfId="0" applyFont="1" applyFill="1" applyBorder="1" applyAlignment="1">
      <alignment horizontal="left"/>
    </xf>
    <xf numFmtId="172" fontId="16" fillId="0" borderId="24" xfId="15" applyNumberFormat="1" applyFont="1" applyFill="1" applyBorder="1" applyAlignment="1">
      <alignment horizontal="right"/>
    </xf>
    <xf numFmtId="172" fontId="16" fillId="0" borderId="24" xfId="0" applyNumberFormat="1" applyFont="1" applyFill="1" applyBorder="1" applyAlignment="1">
      <alignment vertical="center"/>
    </xf>
    <xf numFmtId="0" fontId="16" fillId="0" borderId="24" xfId="0" applyFont="1" applyFill="1" applyBorder="1" applyAlignment="1">
      <alignment horizontal="left" vertical="center" wrapText="1"/>
    </xf>
    <xf numFmtId="172" fontId="16" fillId="0" borderId="24" xfId="0" applyNumberFormat="1" applyFont="1" applyFill="1" applyBorder="1" applyAlignment="1" applyProtection="1">
      <alignment horizontal="right" vertical="center"/>
      <protection locked="0"/>
    </xf>
    <xf numFmtId="172" fontId="16" fillId="0" borderId="24" xfId="0" applyNumberFormat="1" applyFont="1" applyFill="1" applyBorder="1" applyAlignment="1" applyProtection="1">
      <alignment vertical="center"/>
      <protection locked="0"/>
    </xf>
    <xf numFmtId="0" fontId="16" fillId="0" borderId="24" xfId="0" applyFont="1" applyFill="1" applyBorder="1" applyAlignment="1">
      <alignment horizontal="left" vertical="center"/>
    </xf>
    <xf numFmtId="174" fontId="16" fillId="0" borderId="24" xfId="0" applyNumberFormat="1" applyFont="1" applyFill="1" applyBorder="1" applyAlignment="1">
      <alignment horizontal="center" vertical="center"/>
    </xf>
    <xf numFmtId="172" fontId="16" fillId="0" borderId="24" xfId="0" applyNumberFormat="1" applyFont="1" applyFill="1" applyBorder="1" applyAlignment="1">
      <alignment horizontal="right" vertical="center"/>
    </xf>
    <xf numFmtId="0" fontId="16" fillId="0" borderId="25" xfId="0" applyFont="1" applyFill="1" applyBorder="1" applyAlignment="1" applyProtection="1">
      <alignment vertical="center"/>
      <protection locked="0"/>
    </xf>
    <xf numFmtId="172" fontId="16" fillId="0" borderId="25" xfId="15" applyNumberFormat="1" applyFont="1" applyFill="1" applyBorder="1" applyAlignment="1" applyProtection="1">
      <alignment vertical="center"/>
      <protection locked="0"/>
    </xf>
    <xf numFmtId="175" fontId="17" fillId="0" borderId="0" xfId="0" applyNumberFormat="1" applyFont="1" applyAlignment="1" applyProtection="1">
      <alignment vertical="center"/>
      <protection locked="0"/>
    </xf>
    <xf numFmtId="0" fontId="27" fillId="0" borderId="0" xfId="0" applyFont="1" applyFill="1" applyAlignment="1" applyProtection="1">
      <alignment vertical="center"/>
      <protection locked="0"/>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16" fillId="0" borderId="26"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27" xfId="0" applyFont="1" applyFill="1" applyBorder="1" applyAlignment="1">
      <alignment horizontal="center"/>
    </xf>
    <xf numFmtId="0" fontId="16" fillId="0" borderId="27" xfId="0" applyFont="1" applyFill="1" applyBorder="1" applyAlignment="1">
      <alignment horizontal="center" vertical="center"/>
    </xf>
    <xf numFmtId="175" fontId="16" fillId="0" borderId="28" xfId="15" applyNumberFormat="1" applyFont="1" applyFill="1" applyBorder="1" applyAlignment="1" applyProtection="1">
      <alignment vertical="center"/>
      <protection locked="0"/>
    </xf>
    <xf numFmtId="175" fontId="16" fillId="0" borderId="29" xfId="15" applyNumberFormat="1" applyFont="1" applyFill="1" applyBorder="1" applyAlignment="1" applyProtection="1">
      <alignment horizontal="right" vertical="center"/>
      <protection locked="0"/>
    </xf>
    <xf numFmtId="175" fontId="16" fillId="0" borderId="29" xfId="15" applyNumberFormat="1" applyFont="1" applyFill="1" applyBorder="1" applyAlignment="1">
      <alignment horizontal="right"/>
    </xf>
    <xf numFmtId="175" fontId="16" fillId="0" borderId="29" xfId="0" applyNumberFormat="1" applyFont="1" applyFill="1" applyBorder="1" applyAlignment="1">
      <alignment horizontal="right" vertical="center"/>
    </xf>
    <xf numFmtId="175" fontId="16" fillId="0" borderId="29" xfId="15" applyNumberFormat="1" applyFont="1" applyFill="1" applyBorder="1" applyAlignment="1" applyProtection="1">
      <alignment vertical="center"/>
      <protection locked="0"/>
    </xf>
    <xf numFmtId="175" fontId="16" fillId="0" borderId="29" xfId="0" applyNumberFormat="1" applyFont="1" applyFill="1" applyBorder="1" applyAlignment="1" applyProtection="1">
      <alignment vertical="center"/>
      <protection locked="0"/>
    </xf>
    <xf numFmtId="175" fontId="16" fillId="0" borderId="29" xfId="0" applyNumberFormat="1" applyFont="1" applyFill="1" applyBorder="1" applyAlignment="1">
      <alignment vertical="center"/>
    </xf>
    <xf numFmtId="172" fontId="16" fillId="0" borderId="26" xfId="15" applyNumberFormat="1" applyFont="1" applyFill="1" applyBorder="1" applyAlignment="1" applyProtection="1">
      <alignment vertical="center"/>
      <protection locked="0"/>
    </xf>
    <xf numFmtId="172" fontId="16" fillId="0" borderId="27" xfId="15" applyNumberFormat="1" applyFont="1" applyFill="1" applyBorder="1" applyAlignment="1" applyProtection="1">
      <alignment horizontal="right" vertical="center"/>
      <protection locked="0"/>
    </xf>
    <xf numFmtId="172" fontId="16" fillId="0" borderId="27" xfId="15" applyNumberFormat="1" applyFont="1" applyFill="1" applyBorder="1" applyAlignment="1">
      <alignment horizontal="right"/>
    </xf>
    <xf numFmtId="172" fontId="16" fillId="0" borderId="27" xfId="0" applyNumberFormat="1" applyFont="1" applyFill="1" applyBorder="1" applyAlignment="1" applyProtection="1">
      <alignment horizontal="right" vertical="center"/>
      <protection locked="0"/>
    </xf>
    <xf numFmtId="172" fontId="16" fillId="0" borderId="27" xfId="0" applyNumberFormat="1" applyFont="1" applyFill="1" applyBorder="1" applyAlignment="1">
      <alignment horizontal="right" vertical="center"/>
    </xf>
    <xf numFmtId="176" fontId="16" fillId="0" borderId="26" xfId="21" applyNumberFormat="1" applyFont="1" applyFill="1" applyBorder="1" applyAlignment="1" applyProtection="1">
      <alignment vertical="center"/>
      <protection/>
    </xf>
    <xf numFmtId="176" fontId="16" fillId="0" borderId="27" xfId="21" applyNumberFormat="1" applyFont="1" applyFill="1" applyBorder="1" applyAlignment="1" applyProtection="1">
      <alignment vertical="center"/>
      <protection/>
    </xf>
    <xf numFmtId="0" fontId="16" fillId="0" borderId="30" xfId="0" applyFont="1" applyFill="1" applyBorder="1" applyAlignment="1" applyProtection="1">
      <alignment vertical="center"/>
      <protection locked="0"/>
    </xf>
    <xf numFmtId="174" fontId="16" fillId="0" borderId="30" xfId="0" applyNumberFormat="1" applyFont="1" applyFill="1" applyBorder="1" applyAlignment="1" applyProtection="1">
      <alignment horizontal="center" vertical="center"/>
      <protection locked="0"/>
    </xf>
    <xf numFmtId="0" fontId="16" fillId="0" borderId="30" xfId="0" applyFont="1" applyFill="1" applyBorder="1" applyAlignment="1" applyProtection="1">
      <alignment horizontal="left" vertical="center"/>
      <protection locked="0"/>
    </xf>
    <xf numFmtId="0" fontId="16" fillId="0" borderId="31" xfId="0" applyFont="1" applyFill="1" applyBorder="1" applyAlignment="1" applyProtection="1">
      <alignment horizontal="center" vertical="center"/>
      <protection locked="0"/>
    </xf>
    <xf numFmtId="175" fontId="16" fillId="0" borderId="32" xfId="15" applyNumberFormat="1" applyFont="1" applyFill="1" applyBorder="1" applyAlignment="1" applyProtection="1">
      <alignment horizontal="right" vertical="center"/>
      <protection locked="0"/>
    </xf>
    <xf numFmtId="172" fontId="16" fillId="0" borderId="31" xfId="15" applyNumberFormat="1" applyFont="1" applyFill="1" applyBorder="1" applyAlignment="1" applyProtection="1">
      <alignment horizontal="right" vertical="center"/>
      <protection locked="0"/>
    </xf>
    <xf numFmtId="175" fontId="16" fillId="0" borderId="32" xfId="15" applyNumberFormat="1" applyFont="1" applyFill="1" applyBorder="1" applyAlignment="1" applyProtection="1">
      <alignment vertical="center"/>
      <protection locked="0"/>
    </xf>
    <xf numFmtId="172" fontId="16" fillId="0" borderId="30" xfId="15" applyNumberFormat="1" applyFont="1" applyFill="1" applyBorder="1" applyAlignment="1" applyProtection="1">
      <alignment horizontal="right" vertical="center"/>
      <protection/>
    </xf>
    <xf numFmtId="172" fontId="16" fillId="0" borderId="30" xfId="21" applyNumberFormat="1" applyFont="1" applyFill="1" applyBorder="1" applyAlignment="1" applyProtection="1">
      <alignment horizontal="right" vertical="center"/>
      <protection/>
    </xf>
    <xf numFmtId="176" fontId="16" fillId="0" borderId="31" xfId="21" applyNumberFormat="1" applyFont="1" applyFill="1" applyBorder="1" applyAlignment="1" applyProtection="1">
      <alignment vertical="center"/>
      <protection/>
    </xf>
    <xf numFmtId="172" fontId="16" fillId="0" borderId="30" xfId="15" applyNumberFormat="1" applyFont="1" applyFill="1" applyBorder="1" applyAlignment="1" applyProtection="1">
      <alignment vertical="center"/>
      <protection locked="0"/>
    </xf>
    <xf numFmtId="0" fontId="27" fillId="0" borderId="0" xfId="0" applyFont="1" applyAlignment="1" applyProtection="1">
      <alignment horizontal="right" vertical="center"/>
      <protection locked="0"/>
    </xf>
    <xf numFmtId="174" fontId="16" fillId="0" borderId="30" xfId="0" applyNumberFormat="1" applyFont="1" applyFill="1" applyBorder="1" applyAlignment="1">
      <alignment horizontal="center" vertical="center"/>
    </xf>
    <xf numFmtId="0" fontId="16" fillId="0" borderId="31" xfId="0" applyFont="1" applyFill="1" applyBorder="1" applyAlignment="1">
      <alignment horizontal="center" vertical="center"/>
    </xf>
    <xf numFmtId="172" fontId="16" fillId="0" borderId="30" xfId="0" applyNumberFormat="1" applyFont="1" applyFill="1" applyBorder="1" applyAlignment="1">
      <alignment horizontal="right" vertical="center"/>
    </xf>
    <xf numFmtId="172" fontId="16" fillId="0" borderId="27" xfId="15" applyNumberFormat="1" applyFont="1" applyFill="1" applyBorder="1" applyAlignment="1" applyProtection="1">
      <alignment vertical="center"/>
      <protection locked="0"/>
    </xf>
    <xf numFmtId="169" fontId="16" fillId="0" borderId="27" xfId="21" applyNumberFormat="1" applyFont="1" applyFill="1" applyBorder="1" applyAlignment="1" applyProtection="1">
      <alignment vertical="center"/>
      <protection/>
    </xf>
    <xf numFmtId="176" fontId="16" fillId="0" borderId="27" xfId="21" applyNumberFormat="1" applyFont="1" applyFill="1" applyBorder="1" applyAlignment="1" applyProtection="1">
      <alignment horizontal="right" vertical="center"/>
      <protection/>
    </xf>
    <xf numFmtId="172" fontId="16" fillId="0" borderId="24" xfId="15" applyNumberFormat="1" applyFont="1" applyFill="1" applyBorder="1" applyAlignment="1" applyProtection="1">
      <alignment horizontal="right" vertical="center"/>
      <protection locked="0"/>
    </xf>
    <xf numFmtId="175" fontId="16" fillId="0" borderId="29" xfId="15" applyNumberFormat="1" applyFont="1" applyFill="1" applyBorder="1" applyAlignment="1" applyProtection="1">
      <alignment horizontal="right" vertical="center"/>
      <protection/>
    </xf>
    <xf numFmtId="0" fontId="16" fillId="2" borderId="27" xfId="0" applyFont="1" applyFill="1" applyBorder="1" applyAlignment="1">
      <alignment horizontal="center" vertical="center"/>
    </xf>
    <xf numFmtId="0" fontId="16" fillId="2" borderId="31" xfId="0" applyFont="1" applyFill="1" applyBorder="1" applyAlignment="1">
      <alignment horizontal="center" vertical="center"/>
    </xf>
    <xf numFmtId="176" fontId="16" fillId="0" borderId="31" xfId="21" applyNumberFormat="1" applyFont="1" applyFill="1" applyBorder="1" applyAlignment="1" applyProtection="1">
      <alignment horizontal="right" vertical="center"/>
      <protection/>
    </xf>
    <xf numFmtId="175" fontId="16" fillId="0" borderId="32" xfId="15" applyNumberFormat="1" applyFont="1" applyFill="1" applyBorder="1" applyAlignment="1" applyProtection="1">
      <alignment horizontal="right" vertical="center"/>
      <protection/>
    </xf>
    <xf numFmtId="172" fontId="16" fillId="0" borderId="30" xfId="15"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protection locked="0"/>
    </xf>
    <xf numFmtId="0" fontId="24" fillId="0" borderId="24" xfId="0" applyFont="1" applyBorder="1" applyAlignment="1" applyProtection="1">
      <alignment horizontal="right" vertical="center"/>
      <protection/>
    </xf>
    <xf numFmtId="0" fontId="30" fillId="0" borderId="33" xfId="0" applyFont="1" applyBorder="1" applyAlignment="1" applyProtection="1">
      <alignment horizontal="center" vertical="center"/>
      <protection/>
    </xf>
    <xf numFmtId="175" fontId="15" fillId="0" borderId="21" xfId="0" applyNumberFormat="1" applyFont="1" applyBorder="1" applyAlignment="1" applyProtection="1">
      <alignment horizontal="center" vertical="center"/>
      <protection/>
    </xf>
    <xf numFmtId="0" fontId="31" fillId="0" borderId="33" xfId="0" applyFont="1" applyBorder="1" applyAlignment="1" applyProtection="1">
      <alignment horizontal="right" vertical="center"/>
      <protection/>
    </xf>
    <xf numFmtId="0" fontId="20" fillId="4" borderId="34" xfId="0" applyFont="1" applyFill="1" applyBorder="1" applyAlignment="1" applyProtection="1">
      <alignment horizontal="center" vertical="center"/>
      <protection/>
    </xf>
    <xf numFmtId="3" fontId="20" fillId="4" borderId="34" xfId="0" applyNumberFormat="1" applyFont="1" applyFill="1" applyBorder="1" applyAlignment="1" applyProtection="1">
      <alignment horizontal="center" vertical="center"/>
      <protection/>
    </xf>
    <xf numFmtId="175" fontId="20" fillId="4" borderId="34" xfId="0" applyNumberFormat="1" applyFont="1" applyFill="1" applyBorder="1" applyAlignment="1" applyProtection="1">
      <alignment vertical="center"/>
      <protection/>
    </xf>
    <xf numFmtId="172" fontId="20" fillId="4" borderId="34" xfId="0" applyNumberFormat="1" applyFont="1" applyFill="1" applyBorder="1" applyAlignment="1" applyProtection="1">
      <alignment vertical="center"/>
      <protection/>
    </xf>
    <xf numFmtId="172" fontId="20" fillId="4" borderId="34" xfId="0" applyNumberFormat="1" applyFont="1" applyFill="1" applyBorder="1" applyAlignment="1" applyProtection="1">
      <alignment horizontal="right" vertical="center"/>
      <protection/>
    </xf>
    <xf numFmtId="169" fontId="20" fillId="4" borderId="34" xfId="0" applyNumberFormat="1" applyFont="1" applyFill="1" applyBorder="1" applyAlignment="1" applyProtection="1">
      <alignment vertical="center"/>
      <protection/>
    </xf>
    <xf numFmtId="176" fontId="20" fillId="4" borderId="34" xfId="21" applyNumberFormat="1" applyFont="1" applyFill="1" applyBorder="1" applyAlignment="1" applyProtection="1">
      <alignment vertical="center"/>
      <protection/>
    </xf>
    <xf numFmtId="1" fontId="20" fillId="4" borderId="34" xfId="0" applyNumberFormat="1" applyFont="1" applyFill="1" applyBorder="1" applyAlignment="1" applyProtection="1">
      <alignment horizontal="center" vertical="center"/>
      <protection/>
    </xf>
    <xf numFmtId="170" fontId="20" fillId="4" borderId="35" xfId="0" applyNumberFormat="1" applyFont="1" applyFill="1" applyBorder="1" applyAlignment="1" applyProtection="1">
      <alignment vertical="center"/>
      <protection/>
    </xf>
    <xf numFmtId="0" fontId="16" fillId="0" borderId="24" xfId="0" applyFont="1" applyFill="1" applyBorder="1" applyAlignment="1">
      <alignment horizontal="center" vertical="center"/>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6" fillId="0" borderId="24" xfId="0" applyFont="1" applyFill="1" applyBorder="1" applyAlignment="1">
      <alignment horizontal="center"/>
    </xf>
    <xf numFmtId="172" fontId="16" fillId="0" borderId="24" xfId="15" applyNumberFormat="1" applyFont="1" applyFill="1" applyBorder="1" applyAlignment="1">
      <alignment horizontal="right" vertical="center"/>
    </xf>
    <xf numFmtId="0" fontId="16"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175" fontId="20" fillId="4" borderId="34" xfId="0" applyNumberFormat="1" applyFont="1" applyFill="1" applyBorder="1" applyAlignment="1" applyProtection="1">
      <alignment horizontal="right" vertical="center"/>
      <protection/>
    </xf>
    <xf numFmtId="0" fontId="15" fillId="0" borderId="33" xfId="0" applyFont="1" applyFill="1" applyBorder="1" applyAlignment="1" applyProtection="1">
      <alignment horizontal="right" vertical="center"/>
      <protection/>
    </xf>
    <xf numFmtId="0" fontId="12" fillId="0" borderId="36" xfId="0" applyFont="1" applyBorder="1" applyAlignment="1" applyProtection="1">
      <alignment horizontal="center" vertical="center"/>
      <protection/>
    </xf>
    <xf numFmtId="0" fontId="19" fillId="0" borderId="36" xfId="0" applyFont="1" applyBorder="1" applyAlignment="1" applyProtection="1">
      <alignment vertical="center"/>
      <protection/>
    </xf>
    <xf numFmtId="174" fontId="19" fillId="0" borderId="36" xfId="0" applyNumberFormat="1" applyFont="1" applyBorder="1" applyAlignment="1" applyProtection="1">
      <alignment horizontal="center" vertical="center"/>
      <protection/>
    </xf>
    <xf numFmtId="0" fontId="19" fillId="0" borderId="36" xfId="0" applyFont="1" applyBorder="1" applyAlignment="1" applyProtection="1">
      <alignment horizontal="left" vertical="center"/>
      <protection/>
    </xf>
    <xf numFmtId="0" fontId="19" fillId="0" borderId="36" xfId="0" applyFont="1" applyBorder="1" applyAlignment="1" applyProtection="1">
      <alignment horizontal="center" vertical="center"/>
      <protection/>
    </xf>
    <xf numFmtId="175" fontId="19" fillId="0" borderId="36" xfId="15" applyNumberFormat="1" applyFont="1" applyBorder="1" applyAlignment="1" applyProtection="1">
      <alignment vertical="center"/>
      <protection/>
    </xf>
    <xf numFmtId="172" fontId="19" fillId="0" borderId="36" xfId="15" applyNumberFormat="1" applyFont="1" applyBorder="1" applyAlignment="1" applyProtection="1">
      <alignment vertical="center"/>
      <protection/>
    </xf>
    <xf numFmtId="175" fontId="26" fillId="0" borderId="36" xfId="15" applyNumberFormat="1" applyFont="1" applyFill="1" applyBorder="1" applyAlignment="1" applyProtection="1">
      <alignment vertical="center"/>
      <protection/>
    </xf>
    <xf numFmtId="172" fontId="19" fillId="0" borderId="36" xfId="15" applyNumberFormat="1" applyFont="1" applyFill="1" applyBorder="1" applyAlignment="1" applyProtection="1">
      <alignment vertical="center"/>
      <protection/>
    </xf>
    <xf numFmtId="172" fontId="19" fillId="0" borderId="36" xfId="15" applyNumberFormat="1" applyFont="1" applyBorder="1" applyAlignment="1" applyProtection="1">
      <alignment horizontal="right" vertical="center"/>
      <protection/>
    </xf>
    <xf numFmtId="169" fontId="19" fillId="0" borderId="36" xfId="15" applyNumberFormat="1" applyFont="1" applyBorder="1" applyAlignment="1" applyProtection="1">
      <alignment vertical="center"/>
      <protection/>
    </xf>
    <xf numFmtId="170" fontId="19" fillId="0" borderId="36" xfId="15" applyNumberFormat="1" applyFont="1" applyBorder="1" applyAlignment="1" applyProtection="1">
      <alignment vertical="center"/>
      <protection/>
    </xf>
    <xf numFmtId="0" fontId="16" fillId="0" borderId="25" xfId="0" applyFont="1" applyFill="1" applyBorder="1" applyAlignment="1">
      <alignment horizontal="left"/>
    </xf>
    <xf numFmtId="174" fontId="16" fillId="0" borderId="25" xfId="0" applyNumberFormat="1" applyFont="1" applyFill="1" applyBorder="1" applyAlignment="1">
      <alignment horizontal="center"/>
    </xf>
    <xf numFmtId="0" fontId="16" fillId="0" borderId="25" xfId="0" applyFont="1" applyFill="1" applyBorder="1" applyAlignment="1">
      <alignment horizontal="center"/>
    </xf>
    <xf numFmtId="172" fontId="16" fillId="0" borderId="25" xfId="15" applyNumberFormat="1" applyFont="1" applyFill="1" applyBorder="1" applyAlignment="1">
      <alignment horizontal="right"/>
    </xf>
    <xf numFmtId="0" fontId="15" fillId="0" borderId="37"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172" fontId="16" fillId="5" borderId="24" xfId="0" applyNumberFormat="1" applyFont="1" applyFill="1" applyBorder="1" applyAlignment="1">
      <alignment horizontal="right" vertical="center"/>
    </xf>
    <xf numFmtId="172" fontId="16" fillId="5" borderId="24" xfId="15" applyNumberFormat="1" applyFont="1" applyFill="1" applyBorder="1" applyAlignment="1" applyProtection="1">
      <alignment horizontal="right" vertical="center"/>
      <protection/>
    </xf>
    <xf numFmtId="175" fontId="16" fillId="0" borderId="28" xfId="15" applyNumberFormat="1" applyFont="1" applyFill="1" applyBorder="1" applyAlignment="1">
      <alignment horizontal="right"/>
    </xf>
    <xf numFmtId="0" fontId="16" fillId="0" borderId="26" xfId="0" applyFont="1" applyFill="1" applyBorder="1" applyAlignment="1">
      <alignment horizontal="center"/>
    </xf>
    <xf numFmtId="172" fontId="16" fillId="0" borderId="26" xfId="15" applyNumberFormat="1" applyFont="1" applyFill="1" applyBorder="1" applyAlignment="1">
      <alignment horizontal="right"/>
    </xf>
    <xf numFmtId="172" fontId="16" fillId="0" borderId="27" xfId="15" applyNumberFormat="1" applyFont="1" applyFill="1" applyBorder="1" applyAlignment="1">
      <alignment horizontal="right" vertical="center"/>
    </xf>
    <xf numFmtId="172" fontId="16" fillId="0" borderId="31" xfId="15" applyNumberFormat="1" applyFont="1" applyFill="1" applyBorder="1" applyAlignment="1" applyProtection="1">
      <alignment vertical="center"/>
      <protection locked="0"/>
    </xf>
    <xf numFmtId="176" fontId="16" fillId="0" borderId="26" xfId="21" applyNumberFormat="1" applyFont="1" applyFill="1" applyBorder="1" applyAlignment="1" applyProtection="1">
      <alignment horizontal="right" vertical="center"/>
      <protection/>
    </xf>
    <xf numFmtId="0" fontId="13" fillId="0" borderId="0" xfId="0" applyFont="1" applyFill="1" applyBorder="1" applyAlignment="1" applyProtection="1">
      <alignment vertical="center" wrapText="1"/>
      <protection locked="0"/>
    </xf>
    <xf numFmtId="167" fontId="16" fillId="0" borderId="24" xfId="0" applyNumberFormat="1" applyFont="1" applyFill="1" applyBorder="1" applyAlignment="1">
      <alignment/>
    </xf>
    <xf numFmtId="0" fontId="16" fillId="0" borderId="24" xfId="0" applyFont="1" applyFill="1" applyBorder="1" applyAlignment="1">
      <alignment/>
    </xf>
    <xf numFmtId="175" fontId="16" fillId="0" borderId="24" xfId="15" applyNumberFormat="1" applyFont="1" applyFill="1" applyBorder="1" applyAlignment="1">
      <alignment horizontal="right"/>
    </xf>
    <xf numFmtId="175" fontId="16" fillId="0" borderId="24" xfId="0" applyNumberFormat="1" applyFont="1" applyFill="1" applyBorder="1" applyAlignment="1">
      <alignment horizontal="right" vertical="center"/>
    </xf>
    <xf numFmtId="176" fontId="16" fillId="0" borderId="24" xfId="21" applyNumberFormat="1" applyFont="1" applyFill="1" applyBorder="1" applyAlignment="1" applyProtection="1">
      <alignment horizontal="right" vertical="center"/>
      <protection/>
    </xf>
    <xf numFmtId="174" fontId="16" fillId="0" borderId="24" xfId="0" applyNumberFormat="1" applyFont="1" applyFill="1" applyBorder="1" applyAlignment="1" applyProtection="1">
      <alignment vertical="center"/>
      <protection locked="0"/>
    </xf>
    <xf numFmtId="175" fontId="16" fillId="0" borderId="24" xfId="15" applyNumberFormat="1" applyFont="1" applyFill="1" applyBorder="1" applyAlignment="1" applyProtection="1">
      <alignment horizontal="right" vertical="center"/>
      <protection locked="0"/>
    </xf>
    <xf numFmtId="178" fontId="16" fillId="0" borderId="24" xfId="0" applyNumberFormat="1" applyFont="1" applyFill="1" applyBorder="1" applyAlignment="1">
      <alignment vertical="center"/>
    </xf>
    <xf numFmtId="0" fontId="16" fillId="0" borderId="24" xfId="0" applyFont="1" applyFill="1" applyBorder="1" applyAlignment="1">
      <alignment vertical="center"/>
    </xf>
    <xf numFmtId="175" fontId="16" fillId="0" borderId="24" xfId="0" applyNumberFormat="1" applyFont="1" applyFill="1" applyBorder="1" applyAlignment="1">
      <alignment horizontal="right"/>
    </xf>
    <xf numFmtId="172" fontId="16" fillId="0" borderId="24" xfId="0" applyNumberFormat="1" applyFont="1" applyFill="1" applyBorder="1" applyAlignment="1">
      <alignment horizontal="right"/>
    </xf>
    <xf numFmtId="167" fontId="16" fillId="0" borderId="25" xfId="0" applyNumberFormat="1" applyFont="1" applyFill="1" applyBorder="1" applyAlignment="1">
      <alignment/>
    </xf>
    <xf numFmtId="0" fontId="16" fillId="0" borderId="25" xfId="0" applyFont="1" applyFill="1" applyBorder="1" applyAlignment="1">
      <alignment/>
    </xf>
    <xf numFmtId="175" fontId="16" fillId="0" borderId="25" xfId="15" applyNumberFormat="1" applyFont="1" applyFill="1" applyBorder="1" applyAlignment="1">
      <alignment horizontal="right"/>
    </xf>
    <xf numFmtId="172" fontId="16" fillId="0" borderId="25" xfId="0" applyNumberFormat="1" applyFont="1" applyFill="1" applyBorder="1" applyAlignment="1">
      <alignment horizontal="right" vertical="center"/>
    </xf>
    <xf numFmtId="176" fontId="16" fillId="0" borderId="25" xfId="21" applyNumberFormat="1" applyFont="1" applyFill="1" applyBorder="1" applyAlignment="1" applyProtection="1">
      <alignment horizontal="right" vertical="center"/>
      <protection/>
    </xf>
    <xf numFmtId="169" fontId="16" fillId="0" borderId="39" xfId="0" applyNumberFormat="1" applyFont="1" applyFill="1" applyBorder="1" applyAlignment="1">
      <alignment vertical="center"/>
    </xf>
    <xf numFmtId="169" fontId="16" fillId="0" borderId="40" xfId="21" applyNumberFormat="1" applyFont="1" applyFill="1" applyBorder="1" applyAlignment="1" applyProtection="1">
      <alignment vertical="center"/>
      <protection/>
    </xf>
    <xf numFmtId="169" fontId="16" fillId="0" borderId="40" xfId="0" applyNumberFormat="1" applyFont="1" applyFill="1" applyBorder="1" applyAlignment="1">
      <alignment vertical="center"/>
    </xf>
    <xf numFmtId="169" fontId="16" fillId="0" borderId="40" xfId="15" applyNumberFormat="1" applyFont="1" applyFill="1" applyBorder="1" applyAlignment="1">
      <alignment/>
    </xf>
    <xf numFmtId="175" fontId="16" fillId="0" borderId="30" xfId="15" applyNumberFormat="1" applyFont="1" applyFill="1" applyBorder="1" applyAlignment="1" applyProtection="1">
      <alignment horizontal="right" vertical="center"/>
      <protection locked="0"/>
    </xf>
    <xf numFmtId="176" fontId="16" fillId="0" borderId="30" xfId="21" applyNumberFormat="1" applyFont="1" applyFill="1" applyBorder="1" applyAlignment="1" applyProtection="1">
      <alignment horizontal="right" vertical="center"/>
      <protection/>
    </xf>
    <xf numFmtId="169" fontId="16" fillId="0" borderId="41" xfId="21" applyNumberFormat="1" applyFont="1" applyFill="1" applyBorder="1" applyAlignment="1" applyProtection="1">
      <alignment vertical="center"/>
      <protection/>
    </xf>
    <xf numFmtId="0" fontId="24" fillId="0" borderId="42" xfId="0" applyFont="1" applyBorder="1" applyAlignment="1" applyProtection="1">
      <alignment horizontal="center" vertical="center"/>
      <protection/>
    </xf>
    <xf numFmtId="0" fontId="15" fillId="0" borderId="43" xfId="0" applyFont="1" applyFill="1" applyBorder="1" applyAlignment="1" applyProtection="1">
      <alignment horizontal="center" vertical="center"/>
      <protection/>
    </xf>
    <xf numFmtId="0" fontId="0" fillId="0" borderId="44" xfId="0" applyBorder="1" applyAlignment="1">
      <alignment vertical="center" wrapText="1"/>
    </xf>
    <xf numFmtId="0" fontId="0" fillId="0" borderId="0" xfId="0" applyBorder="1" applyAlignment="1">
      <alignment vertical="center" wrapText="1"/>
    </xf>
    <xf numFmtId="0" fontId="40" fillId="0" borderId="0" xfId="0" applyFont="1" applyFill="1" applyBorder="1" applyAlignment="1">
      <alignment horizontal="center" vertical="center"/>
    </xf>
    <xf numFmtId="0" fontId="39" fillId="0" borderId="0" xfId="0" applyFont="1" applyFill="1" applyBorder="1" applyAlignment="1">
      <alignment horizontal="center" vertical="center"/>
    </xf>
    <xf numFmtId="0" fontId="42" fillId="0" borderId="0" xfId="0" applyFont="1" applyBorder="1" applyAlignment="1">
      <alignment horizontal="center" vertical="center" wrapText="1"/>
    </xf>
    <xf numFmtId="175" fontId="16" fillId="0" borderId="29" xfId="0" applyNumberFormat="1" applyFont="1" applyFill="1" applyBorder="1" applyAlignment="1">
      <alignment horizontal="right"/>
    </xf>
    <xf numFmtId="172" fontId="16" fillId="0" borderId="27" xfId="0" applyNumberFormat="1" applyFont="1" applyFill="1" applyBorder="1" applyAlignment="1">
      <alignment horizontal="right"/>
    </xf>
    <xf numFmtId="175" fontId="16" fillId="0" borderId="28" xfId="0" applyNumberFormat="1" applyFont="1" applyFill="1" applyBorder="1" applyAlignment="1">
      <alignment horizontal="right" vertical="center"/>
    </xf>
    <xf numFmtId="169" fontId="16" fillId="0" borderId="26" xfId="0" applyNumberFormat="1" applyFont="1" applyFill="1" applyBorder="1" applyAlignment="1">
      <alignment vertical="center"/>
    </xf>
    <xf numFmtId="169" fontId="16" fillId="0" borderId="27" xfId="0" applyNumberFormat="1" applyFont="1" applyFill="1" applyBorder="1" applyAlignment="1">
      <alignment vertical="center"/>
    </xf>
    <xf numFmtId="169" fontId="16" fillId="0" borderId="31" xfId="0" applyNumberFormat="1" applyFont="1" applyFill="1" applyBorder="1" applyAlignment="1">
      <alignment vertical="center"/>
    </xf>
    <xf numFmtId="0" fontId="15" fillId="0" borderId="21" xfId="0" applyFont="1" applyFill="1" applyBorder="1" applyAlignment="1" applyProtection="1">
      <alignment horizontal="center" vertical="center" wrapText="1"/>
      <protection/>
    </xf>
    <xf numFmtId="175" fontId="25" fillId="5" borderId="28" xfId="15" applyNumberFormat="1" applyFont="1" applyFill="1" applyBorder="1" applyAlignment="1">
      <alignment horizontal="right"/>
    </xf>
    <xf numFmtId="175" fontId="25" fillId="5" borderId="29" xfId="15" applyNumberFormat="1" applyFont="1" applyFill="1" applyBorder="1" applyAlignment="1" applyProtection="1">
      <alignment horizontal="right" vertical="center"/>
      <protection/>
    </xf>
    <xf numFmtId="175" fontId="25" fillId="5" borderId="29" xfId="15" applyNumberFormat="1" applyFont="1" applyFill="1" applyBorder="1" applyAlignment="1">
      <alignment horizontal="right"/>
    </xf>
    <xf numFmtId="175" fontId="25" fillId="5" borderId="29" xfId="0" applyNumberFormat="1" applyFont="1" applyFill="1" applyBorder="1" applyAlignment="1">
      <alignment horizontal="right" vertical="center"/>
    </xf>
    <xf numFmtId="175" fontId="25" fillId="5" borderId="29" xfId="0" applyNumberFormat="1" applyFont="1" applyFill="1" applyBorder="1" applyAlignment="1">
      <alignment horizontal="right"/>
    </xf>
    <xf numFmtId="175" fontId="25" fillId="5" borderId="32" xfId="15" applyNumberFormat="1" applyFont="1" applyFill="1" applyBorder="1" applyAlignment="1" applyProtection="1">
      <alignment horizontal="right" vertical="center"/>
      <protection/>
    </xf>
    <xf numFmtId="175" fontId="25" fillId="5" borderId="25" xfId="15" applyNumberFormat="1" applyFont="1" applyFill="1" applyBorder="1" applyAlignment="1">
      <alignment horizontal="right"/>
    </xf>
    <xf numFmtId="175" fontId="25" fillId="5" borderId="24" xfId="15" applyNumberFormat="1" applyFont="1" applyFill="1" applyBorder="1" applyAlignment="1" applyProtection="1">
      <alignment horizontal="right" vertical="center"/>
      <protection/>
    </xf>
    <xf numFmtId="175" fontId="25" fillId="5" borderId="24" xfId="15" applyNumberFormat="1" applyFont="1" applyFill="1" applyBorder="1" applyAlignment="1">
      <alignment horizontal="right"/>
    </xf>
    <xf numFmtId="175" fontId="25" fillId="5" borderId="30" xfId="15" applyNumberFormat="1" applyFont="1" applyFill="1" applyBorder="1" applyAlignment="1" applyProtection="1">
      <alignment horizontal="right" vertical="center"/>
      <protection/>
    </xf>
    <xf numFmtId="0" fontId="42" fillId="0" borderId="45" xfId="0" applyFont="1" applyBorder="1" applyAlignment="1">
      <alignment horizontal="center" vertical="center" wrapText="1"/>
    </xf>
    <xf numFmtId="167" fontId="16" fillId="0" borderId="24" xfId="0" applyNumberFormat="1" applyFont="1" applyFill="1" applyBorder="1" applyAlignment="1">
      <alignment vertical="center"/>
    </xf>
    <xf numFmtId="4" fontId="16" fillId="0" borderId="24" xfId="15" applyNumberFormat="1" applyFont="1" applyFill="1" applyBorder="1" applyAlignment="1">
      <alignment vertical="center"/>
    </xf>
    <xf numFmtId="4" fontId="16" fillId="0" borderId="24" xfId="15" applyNumberFormat="1" applyFont="1" applyFill="1" applyBorder="1" applyAlignment="1" applyProtection="1">
      <alignment vertical="center"/>
      <protection locked="0"/>
    </xf>
    <xf numFmtId="4" fontId="16" fillId="0" borderId="24" xfId="0" applyNumberFormat="1" applyFont="1" applyFill="1" applyBorder="1" applyAlignment="1">
      <alignment vertical="center"/>
    </xf>
    <xf numFmtId="4" fontId="16" fillId="0" borderId="24" xfId="0" applyNumberFormat="1" applyFont="1" applyFill="1" applyBorder="1" applyAlignment="1" applyProtection="1">
      <alignment vertical="center"/>
      <protection locked="0"/>
    </xf>
    <xf numFmtId="0" fontId="16" fillId="0" borderId="25" xfId="0" applyFont="1" applyFill="1" applyBorder="1" applyAlignment="1">
      <alignment vertical="center"/>
    </xf>
    <xf numFmtId="174" fontId="16" fillId="0" borderId="25" xfId="0" applyNumberFormat="1" applyFont="1" applyFill="1" applyBorder="1" applyAlignment="1">
      <alignment horizontal="center" vertical="center"/>
    </xf>
    <xf numFmtId="167" fontId="16" fillId="0" borderId="25" xfId="0" applyNumberFormat="1" applyFont="1" applyFill="1" applyBorder="1" applyAlignment="1">
      <alignment vertical="center"/>
    </xf>
    <xf numFmtId="0" fontId="16" fillId="0" borderId="25" xfId="0" applyFont="1" applyFill="1" applyBorder="1" applyAlignment="1">
      <alignment horizontal="center" vertical="center"/>
    </xf>
    <xf numFmtId="4" fontId="16" fillId="0" borderId="25" xfId="15" applyNumberFormat="1" applyFont="1" applyFill="1" applyBorder="1" applyAlignment="1">
      <alignment vertical="center"/>
    </xf>
    <xf numFmtId="172" fontId="16" fillId="0" borderId="25" xfId="15" applyNumberFormat="1" applyFont="1" applyFill="1" applyBorder="1" applyAlignment="1">
      <alignment horizontal="right" vertical="center"/>
    </xf>
    <xf numFmtId="169" fontId="16" fillId="0" borderId="40" xfId="15" applyNumberFormat="1" applyFont="1" applyFill="1" applyBorder="1" applyAlignment="1">
      <alignment vertical="center"/>
    </xf>
    <xf numFmtId="174" fontId="16" fillId="0" borderId="30" xfId="0" applyNumberFormat="1" applyFont="1" applyFill="1" applyBorder="1" applyAlignment="1" applyProtection="1">
      <alignment vertical="center"/>
      <protection locked="0"/>
    </xf>
    <xf numFmtId="4" fontId="16" fillId="0" borderId="30" xfId="15" applyNumberFormat="1" applyFont="1" applyFill="1" applyBorder="1" applyAlignment="1" applyProtection="1">
      <alignment vertical="center"/>
      <protection locked="0"/>
    </xf>
    <xf numFmtId="172" fontId="16" fillId="5" borderId="25" xfId="15" applyNumberFormat="1" applyFont="1" applyFill="1" applyBorder="1" applyAlignment="1">
      <alignment horizontal="right" vertical="center"/>
    </xf>
    <xf numFmtId="172" fontId="16" fillId="5" borderId="24" xfId="15" applyNumberFormat="1" applyFont="1" applyFill="1" applyBorder="1" applyAlignment="1">
      <alignment horizontal="right" vertical="center"/>
    </xf>
    <xf numFmtId="172" fontId="16" fillId="5" borderId="24" xfId="0" applyNumberFormat="1" applyFont="1" applyFill="1" applyBorder="1" applyAlignment="1" applyProtection="1">
      <alignment horizontal="right" vertical="center"/>
      <protection locked="0"/>
    </xf>
    <xf numFmtId="172" fontId="16" fillId="5" borderId="30" xfId="15" applyNumberFormat="1" applyFont="1" applyFill="1" applyBorder="1" applyAlignment="1" applyProtection="1">
      <alignment horizontal="right" vertical="center"/>
      <protection/>
    </xf>
    <xf numFmtId="4" fontId="16" fillId="0" borderId="28" xfId="15" applyNumberFormat="1" applyFont="1" applyFill="1" applyBorder="1" applyAlignment="1">
      <alignment vertical="center"/>
    </xf>
    <xf numFmtId="4" fontId="16" fillId="0" borderId="29" xfId="15" applyNumberFormat="1" applyFont="1" applyFill="1" applyBorder="1" applyAlignment="1" applyProtection="1">
      <alignment vertical="center"/>
      <protection locked="0"/>
    </xf>
    <xf numFmtId="4" fontId="16" fillId="0" borderId="29" xfId="15" applyNumberFormat="1" applyFont="1" applyFill="1" applyBorder="1" applyAlignment="1">
      <alignment vertical="center"/>
    </xf>
    <xf numFmtId="4" fontId="16" fillId="0" borderId="29" xfId="0" applyNumberFormat="1" applyFont="1" applyFill="1" applyBorder="1" applyAlignment="1">
      <alignment vertical="center"/>
    </xf>
    <xf numFmtId="4" fontId="16" fillId="0" borderId="29" xfId="0" applyNumberFormat="1" applyFont="1" applyFill="1" applyBorder="1" applyAlignment="1" applyProtection="1">
      <alignment vertical="center"/>
      <protection locked="0"/>
    </xf>
    <xf numFmtId="4" fontId="16" fillId="0" borderId="32" xfId="15" applyNumberFormat="1" applyFont="1" applyFill="1" applyBorder="1" applyAlignment="1" applyProtection="1">
      <alignment vertical="center"/>
      <protection locked="0"/>
    </xf>
    <xf numFmtId="0" fontId="16" fillId="0" borderId="26" xfId="0" applyFont="1" applyFill="1" applyBorder="1" applyAlignment="1">
      <alignment horizontal="center" vertical="center"/>
    </xf>
    <xf numFmtId="4" fontId="25" fillId="5" borderId="28" xfId="15" applyNumberFormat="1" applyFont="1" applyFill="1" applyBorder="1" applyAlignment="1">
      <alignment vertical="center"/>
    </xf>
    <xf numFmtId="4" fontId="25" fillId="5" borderId="29" xfId="15" applyNumberFormat="1" applyFont="1" applyFill="1" applyBorder="1" applyAlignment="1" applyProtection="1">
      <alignment vertical="center"/>
      <protection/>
    </xf>
    <xf numFmtId="4" fontId="25" fillId="5" borderId="29" xfId="15" applyNumberFormat="1" applyFont="1" applyFill="1" applyBorder="1" applyAlignment="1">
      <alignment vertical="center"/>
    </xf>
    <xf numFmtId="4" fontId="25" fillId="5" borderId="29" xfId="0" applyNumberFormat="1" applyFont="1" applyFill="1" applyBorder="1" applyAlignment="1">
      <alignment vertical="center"/>
    </xf>
    <xf numFmtId="4" fontId="25" fillId="5" borderId="29" xfId="0" applyNumberFormat="1" applyFont="1" applyFill="1" applyBorder="1" applyAlignment="1" applyProtection="1">
      <alignment vertical="center"/>
      <protection locked="0"/>
    </xf>
    <xf numFmtId="4" fontId="25" fillId="5" borderId="32" xfId="15" applyNumberFormat="1" applyFont="1" applyFill="1" applyBorder="1" applyAlignment="1" applyProtection="1">
      <alignment vertical="center"/>
      <protection/>
    </xf>
    <xf numFmtId="172" fontId="16" fillId="0" borderId="26" xfId="15" applyNumberFormat="1" applyFont="1" applyFill="1" applyBorder="1" applyAlignment="1">
      <alignment horizontal="right" vertical="center"/>
    </xf>
    <xf numFmtId="4" fontId="16" fillId="0" borderId="29" xfId="15" applyNumberFormat="1" applyFont="1" applyFill="1" applyBorder="1" applyAlignment="1" applyProtection="1">
      <alignment vertical="center"/>
      <protection/>
    </xf>
    <xf numFmtId="4" fontId="16" fillId="0" borderId="29" xfId="21" applyNumberFormat="1" applyFont="1" applyFill="1" applyBorder="1" applyAlignment="1" applyProtection="1">
      <alignment vertical="center"/>
      <protection/>
    </xf>
    <xf numFmtId="169" fontId="16" fillId="0" borderId="27" xfId="15" applyNumberFormat="1" applyFont="1" applyFill="1" applyBorder="1" applyAlignment="1">
      <alignment vertical="center"/>
    </xf>
    <xf numFmtId="169" fontId="16" fillId="0" borderId="27" xfId="0" applyNumberFormat="1" applyFont="1" applyFill="1" applyBorder="1" applyAlignment="1" applyProtection="1">
      <alignment vertical="center"/>
      <protection locked="0"/>
    </xf>
    <xf numFmtId="169" fontId="16" fillId="0" borderId="31" xfId="21" applyNumberFormat="1" applyFont="1" applyFill="1" applyBorder="1" applyAlignment="1" applyProtection="1">
      <alignment vertical="center"/>
      <protection/>
    </xf>
    <xf numFmtId="0" fontId="16" fillId="0" borderId="30" xfId="0" applyFont="1" applyFill="1" applyBorder="1" applyAlignment="1">
      <alignment vertical="center"/>
    </xf>
    <xf numFmtId="167" fontId="16" fillId="0" borderId="30" xfId="0" applyNumberFormat="1" applyFont="1" applyFill="1" applyBorder="1" applyAlignment="1">
      <alignment vertical="center"/>
    </xf>
    <xf numFmtId="0" fontId="16" fillId="0" borderId="30" xfId="0" applyFont="1" applyFill="1" applyBorder="1" applyAlignment="1">
      <alignment horizontal="center" vertical="center"/>
    </xf>
    <xf numFmtId="4" fontId="16" fillId="0" borderId="32" xfId="15" applyNumberFormat="1" applyFont="1" applyFill="1" applyBorder="1" applyAlignment="1">
      <alignment vertical="center"/>
    </xf>
    <xf numFmtId="172" fontId="16" fillId="0" borderId="30" xfId="15" applyNumberFormat="1" applyFont="1" applyFill="1" applyBorder="1" applyAlignment="1">
      <alignment horizontal="right" vertical="center"/>
    </xf>
    <xf numFmtId="4" fontId="16" fillId="0" borderId="30" xfId="15" applyNumberFormat="1" applyFont="1" applyFill="1" applyBorder="1" applyAlignment="1">
      <alignment vertical="center"/>
    </xf>
    <xf numFmtId="172" fontId="16" fillId="0" borderId="31" xfId="15" applyNumberFormat="1" applyFont="1" applyFill="1" applyBorder="1" applyAlignment="1">
      <alignment horizontal="right" vertical="center"/>
    </xf>
    <xf numFmtId="4" fontId="25" fillId="5" borderId="32" xfId="15" applyNumberFormat="1" applyFont="1" applyFill="1" applyBorder="1" applyAlignment="1">
      <alignment vertical="center"/>
    </xf>
    <xf numFmtId="172" fontId="16" fillId="5" borderId="30" xfId="15" applyNumberFormat="1" applyFont="1" applyFill="1" applyBorder="1" applyAlignment="1">
      <alignment horizontal="right" vertical="center"/>
    </xf>
    <xf numFmtId="169" fontId="16" fillId="0" borderId="41" xfId="0" applyNumberFormat="1" applyFont="1" applyFill="1" applyBorder="1" applyAlignment="1">
      <alignment vertical="center"/>
    </xf>
    <xf numFmtId="0" fontId="44" fillId="0" borderId="42" xfId="0" applyFont="1" applyBorder="1" applyAlignment="1" applyProtection="1">
      <alignment horizontal="center" vertical="center"/>
      <protection/>
    </xf>
    <xf numFmtId="0" fontId="4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31" fillId="0" borderId="33" xfId="0" applyFont="1" applyBorder="1" applyAlignment="1" applyProtection="1">
      <alignment horizontal="center" vertical="center"/>
      <protection/>
    </xf>
    <xf numFmtId="0" fontId="15" fillId="0" borderId="22" xfId="0" applyFont="1" applyFill="1" applyBorder="1" applyAlignment="1" applyProtection="1">
      <alignment horizontal="center" vertical="center" wrapText="1"/>
      <protection/>
    </xf>
    <xf numFmtId="174" fontId="16" fillId="2" borderId="24" xfId="0" applyNumberFormat="1" applyFont="1" applyFill="1" applyBorder="1" applyAlignment="1">
      <alignment vertical="center"/>
    </xf>
    <xf numFmtId="0" fontId="16" fillId="2" borderId="24" xfId="0" applyFont="1" applyFill="1" applyBorder="1" applyAlignment="1">
      <alignment vertical="center"/>
    </xf>
    <xf numFmtId="174" fontId="16" fillId="0" borderId="24" xfId="0" applyNumberFormat="1" applyFont="1" applyFill="1" applyBorder="1" applyAlignment="1">
      <alignment vertical="center"/>
    </xf>
    <xf numFmtId="175" fontId="16" fillId="0" borderId="24" xfId="15" applyNumberFormat="1" applyFont="1" applyFill="1" applyBorder="1" applyAlignment="1" applyProtection="1">
      <alignment vertical="center"/>
      <protection locked="0"/>
    </xf>
    <xf numFmtId="0" fontId="16" fillId="2" borderId="24" xfId="0" applyFont="1" applyFill="1" applyBorder="1" applyAlignment="1">
      <alignment horizontal="center" vertical="center"/>
    </xf>
    <xf numFmtId="175" fontId="16" fillId="2" borderId="24" xfId="15" applyNumberFormat="1" applyFont="1" applyFill="1" applyBorder="1" applyAlignment="1">
      <alignment vertical="center"/>
    </xf>
    <xf numFmtId="172" fontId="16" fillId="2" borderId="24" xfId="15" applyNumberFormat="1" applyFont="1" applyFill="1" applyBorder="1" applyAlignment="1">
      <alignment vertical="center"/>
    </xf>
    <xf numFmtId="175" fontId="16" fillId="0" borderId="24" xfId="0" applyNumberFormat="1" applyFont="1" applyFill="1" applyBorder="1" applyAlignment="1">
      <alignment vertical="center"/>
    </xf>
    <xf numFmtId="175" fontId="16" fillId="0" borderId="24" xfId="0" applyNumberFormat="1" applyFont="1" applyFill="1" applyBorder="1" applyAlignment="1" applyProtection="1">
      <alignment vertical="center"/>
      <protection locked="0"/>
    </xf>
    <xf numFmtId="175" fontId="16" fillId="0" borderId="24" xfId="15" applyNumberFormat="1" applyFont="1" applyFill="1" applyBorder="1" applyAlignment="1" applyProtection="1">
      <alignment vertical="center"/>
      <protection/>
    </xf>
    <xf numFmtId="175" fontId="16" fillId="0" borderId="24" xfId="21" applyNumberFormat="1" applyFont="1" applyFill="1" applyBorder="1" applyAlignment="1" applyProtection="1">
      <alignment vertical="center"/>
      <protection/>
    </xf>
    <xf numFmtId="175" fontId="16" fillId="2" borderId="24" xfId="0" applyNumberFormat="1" applyFont="1" applyFill="1" applyBorder="1" applyAlignment="1">
      <alignment vertical="center"/>
    </xf>
    <xf numFmtId="172" fontId="16" fillId="2" borderId="24" xfId="0" applyNumberFormat="1" applyFont="1" applyFill="1" applyBorder="1" applyAlignment="1">
      <alignment vertical="center"/>
    </xf>
    <xf numFmtId="174" fontId="16" fillId="0" borderId="25" xfId="0" applyNumberFormat="1" applyFont="1" applyFill="1" applyBorder="1" applyAlignment="1" applyProtection="1">
      <alignment vertical="center"/>
      <protection locked="0"/>
    </xf>
    <xf numFmtId="0" fontId="16" fillId="0" borderId="25" xfId="0" applyFont="1" applyFill="1" applyBorder="1" applyAlignment="1" applyProtection="1">
      <alignment horizontal="center" vertical="center"/>
      <protection locked="0"/>
    </xf>
    <xf numFmtId="175" fontId="16" fillId="0" borderId="25" xfId="15" applyNumberFormat="1" applyFont="1" applyFill="1" applyBorder="1" applyAlignment="1" applyProtection="1">
      <alignment vertical="center"/>
      <protection locked="0"/>
    </xf>
    <xf numFmtId="175" fontId="16" fillId="0" borderId="25" xfId="15" applyNumberFormat="1" applyFont="1" applyFill="1" applyBorder="1" applyAlignment="1" applyProtection="1">
      <alignment vertical="center"/>
      <protection/>
    </xf>
    <xf numFmtId="175" fontId="16" fillId="0" borderId="30" xfId="15" applyNumberFormat="1" applyFont="1" applyFill="1" applyBorder="1" applyAlignment="1" applyProtection="1">
      <alignment vertical="center"/>
      <protection locked="0"/>
    </xf>
    <xf numFmtId="175" fontId="16" fillId="2" borderId="29" xfId="15" applyNumberFormat="1" applyFont="1" applyFill="1" applyBorder="1" applyAlignment="1">
      <alignment vertical="center"/>
    </xf>
    <xf numFmtId="172" fontId="16" fillId="2" borderId="27" xfId="15" applyNumberFormat="1" applyFont="1" applyFill="1" applyBorder="1" applyAlignment="1">
      <alignment vertical="center"/>
    </xf>
    <xf numFmtId="172" fontId="16" fillId="0" borderId="27" xfId="0" applyNumberFormat="1" applyFont="1" applyFill="1" applyBorder="1" applyAlignment="1">
      <alignment vertical="center"/>
    </xf>
    <xf numFmtId="172" fontId="16" fillId="0" borderId="27" xfId="0" applyNumberFormat="1" applyFont="1" applyFill="1" applyBorder="1" applyAlignment="1" applyProtection="1">
      <alignment vertical="center"/>
      <protection locked="0"/>
    </xf>
    <xf numFmtId="174" fontId="16" fillId="2" borderId="30" xfId="0" applyNumberFormat="1" applyFont="1" applyFill="1" applyBorder="1" applyAlignment="1">
      <alignment vertical="center"/>
    </xf>
    <xf numFmtId="0" fontId="16" fillId="2" borderId="30" xfId="0" applyFont="1" applyFill="1" applyBorder="1" applyAlignment="1">
      <alignment vertical="center"/>
    </xf>
    <xf numFmtId="0" fontId="16" fillId="2" borderId="30" xfId="0" applyFont="1" applyFill="1" applyBorder="1" applyAlignment="1">
      <alignment horizontal="center" vertical="center"/>
    </xf>
    <xf numFmtId="175" fontId="16" fillId="2" borderId="32" xfId="15" applyNumberFormat="1" applyFont="1" applyFill="1" applyBorder="1" applyAlignment="1">
      <alignment vertical="center"/>
    </xf>
    <xf numFmtId="172" fontId="16" fillId="2" borderId="31" xfId="15" applyNumberFormat="1" applyFont="1" applyFill="1" applyBorder="1" applyAlignment="1">
      <alignment vertical="center"/>
    </xf>
    <xf numFmtId="175" fontId="16" fillId="2" borderId="30" xfId="15" applyNumberFormat="1" applyFont="1" applyFill="1" applyBorder="1" applyAlignment="1">
      <alignment vertical="center"/>
    </xf>
    <xf numFmtId="175" fontId="16" fillId="2" borderId="30" xfId="0" applyNumberFormat="1" applyFont="1" applyFill="1" applyBorder="1" applyAlignment="1">
      <alignment vertical="center"/>
    </xf>
    <xf numFmtId="172" fontId="16" fillId="2" borderId="30" xfId="0" applyNumberFormat="1" applyFont="1" applyFill="1" applyBorder="1" applyAlignment="1">
      <alignment vertical="center"/>
    </xf>
    <xf numFmtId="0" fontId="34" fillId="0" borderId="46" xfId="0" applyFont="1" applyBorder="1" applyAlignment="1">
      <alignment horizontal="center" vertical="center" wrapText="1"/>
    </xf>
    <xf numFmtId="0" fontId="33" fillId="6" borderId="47" xfId="0" applyFont="1" applyFill="1" applyBorder="1" applyAlignment="1" applyProtection="1">
      <alignment horizontal="center" vertical="center" wrapText="1"/>
      <protection locked="0"/>
    </xf>
    <xf numFmtId="0" fontId="34" fillId="0" borderId="48" xfId="0" applyFont="1" applyBorder="1" applyAlignment="1">
      <alignment horizontal="center" vertical="center" wrapText="1"/>
    </xf>
    <xf numFmtId="174" fontId="16" fillId="2" borderId="24" xfId="0" applyNumberFormat="1" applyFont="1" applyFill="1" applyBorder="1" applyAlignment="1">
      <alignment horizontal="center" vertical="center"/>
    </xf>
    <xf numFmtId="0" fontId="9" fillId="0" borderId="49"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20" fillId="4" borderId="50" xfId="0" applyFont="1" applyFill="1" applyBorder="1" applyAlignment="1" applyProtection="1">
      <alignment horizontal="center" vertical="center"/>
      <protection/>
    </xf>
    <xf numFmtId="0" fontId="20" fillId="4" borderId="34" xfId="0" applyFont="1" applyFill="1" applyBorder="1" applyAlignment="1" applyProtection="1">
      <alignment horizontal="center" vertical="center"/>
      <protection/>
    </xf>
    <xf numFmtId="0" fontId="15" fillId="0" borderId="49" xfId="0" applyFont="1" applyFill="1" applyBorder="1" applyAlignment="1" applyProtection="1">
      <alignment horizontal="center" vertical="center"/>
      <protection/>
    </xf>
    <xf numFmtId="0" fontId="32" fillId="6" borderId="51" xfId="0" applyFont="1" applyFill="1" applyBorder="1" applyAlignment="1" applyProtection="1">
      <alignment horizontal="center" vertical="center" wrapText="1"/>
      <protection locked="0"/>
    </xf>
    <xf numFmtId="0" fontId="32" fillId="6" borderId="52" xfId="0" applyFont="1" applyFill="1" applyBorder="1" applyAlignment="1">
      <alignment horizontal="center" vertical="center" wrapText="1"/>
    </xf>
    <xf numFmtId="0" fontId="32" fillId="6" borderId="53" xfId="0" applyFont="1" applyFill="1" applyBorder="1" applyAlignment="1">
      <alignment horizontal="center" vertical="center" wrapText="1"/>
    </xf>
    <xf numFmtId="0" fontId="38" fillId="7" borderId="45" xfId="0" applyFont="1" applyFill="1" applyBorder="1" applyAlignment="1">
      <alignment horizontal="center" vertical="center" wrapText="1"/>
    </xf>
    <xf numFmtId="0" fontId="38" fillId="7" borderId="54" xfId="0" applyFont="1" applyFill="1" applyBorder="1" applyAlignment="1">
      <alignment horizontal="center" vertical="center" wrapText="1"/>
    </xf>
    <xf numFmtId="0" fontId="35" fillId="8" borderId="20" xfId="0" applyFont="1" applyFill="1" applyBorder="1" applyAlignment="1" applyProtection="1">
      <alignment horizontal="center" vertical="center"/>
      <protection/>
    </xf>
    <xf numFmtId="0" fontId="35" fillId="8" borderId="21" xfId="0" applyFont="1" applyFill="1" applyBorder="1" applyAlignment="1">
      <alignment horizontal="center" vertical="center"/>
    </xf>
    <xf numFmtId="0" fontId="36" fillId="8" borderId="21" xfId="0" applyFont="1" applyFill="1" applyBorder="1" applyAlignment="1">
      <alignment horizontal="center" vertical="center"/>
    </xf>
    <xf numFmtId="0" fontId="36" fillId="8" borderId="22" xfId="0" applyFont="1" applyFill="1" applyBorder="1" applyAlignment="1">
      <alignment horizontal="center" vertical="center"/>
    </xf>
    <xf numFmtId="0" fontId="15" fillId="0" borderId="49" xfId="0" applyFont="1" applyFill="1" applyBorder="1" applyAlignment="1" applyProtection="1">
      <alignment horizontal="center" vertical="center" wrapText="1"/>
      <protection/>
    </xf>
    <xf numFmtId="0" fontId="15" fillId="0" borderId="21" xfId="0" applyFont="1" applyFill="1" applyBorder="1" applyAlignment="1" applyProtection="1">
      <alignment horizontal="center" vertical="center"/>
      <protection/>
    </xf>
    <xf numFmtId="0" fontId="21" fillId="0" borderId="0" xfId="0" applyFont="1" applyBorder="1" applyAlignment="1" applyProtection="1">
      <alignment vertical="center" wrapText="1"/>
      <protection locked="0"/>
    </xf>
    <xf numFmtId="0" fontId="21" fillId="0" borderId="0" xfId="0" applyFont="1" applyAlignment="1" applyProtection="1">
      <alignment vertical="center" wrapText="1"/>
      <protection locked="0"/>
    </xf>
    <xf numFmtId="0" fontId="22" fillId="0" borderId="0" xfId="0" applyFont="1" applyAlignment="1" applyProtection="1">
      <alignment horizontal="left" vertical="center" wrapText="1"/>
      <protection locked="0"/>
    </xf>
    <xf numFmtId="0" fontId="22" fillId="0" borderId="0" xfId="0" applyFont="1" applyAlignment="1">
      <alignment horizontal="left" vertical="center" wrapText="1"/>
    </xf>
    <xf numFmtId="0" fontId="15" fillId="0" borderId="55" xfId="0" applyFont="1" applyFill="1" applyBorder="1" applyAlignment="1" applyProtection="1">
      <alignment horizontal="center" vertical="center"/>
      <protection/>
    </xf>
    <xf numFmtId="43" fontId="15" fillId="0" borderId="49" xfId="15" applyFont="1" applyFill="1" applyBorder="1" applyAlignment="1" applyProtection="1">
      <alignment horizontal="center" vertical="center"/>
      <protection/>
    </xf>
    <xf numFmtId="43" fontId="15" fillId="0" borderId="21" xfId="15" applyFont="1" applyFill="1" applyBorder="1" applyAlignment="1" applyProtection="1">
      <alignment horizontal="center" vertical="center"/>
      <protection/>
    </xf>
    <xf numFmtId="0" fontId="15" fillId="0" borderId="21" xfId="0" applyFont="1" applyFill="1" applyBorder="1" applyAlignment="1" applyProtection="1">
      <alignment horizontal="center" vertical="center" wrapText="1"/>
      <protection/>
    </xf>
    <xf numFmtId="0" fontId="40" fillId="0" borderId="0" xfId="0" applyFont="1" applyFill="1" applyBorder="1" applyAlignment="1">
      <alignment horizontal="center" vertical="center" wrapText="1"/>
    </xf>
    <xf numFmtId="0" fontId="35" fillId="6" borderId="56" xfId="0" applyFont="1" applyFill="1" applyBorder="1" applyAlignment="1" applyProtection="1">
      <alignment horizontal="center" vertical="center" wrapText="1"/>
      <protection locked="0"/>
    </xf>
    <xf numFmtId="0" fontId="35" fillId="6" borderId="57" xfId="0" applyFont="1" applyFill="1" applyBorder="1" applyAlignment="1">
      <alignment horizontal="center" vertical="center" wrapText="1"/>
    </xf>
    <xf numFmtId="0" fontId="35" fillId="6" borderId="58" xfId="0" applyFont="1" applyFill="1" applyBorder="1" applyAlignment="1">
      <alignment horizontal="center" vertical="center" wrapText="1"/>
    </xf>
    <xf numFmtId="0" fontId="37" fillId="6" borderId="44" xfId="0" applyFont="1" applyFill="1" applyBorder="1" applyAlignment="1" applyProtection="1">
      <alignment horizontal="center" vertical="center" wrapText="1"/>
      <protection locked="0"/>
    </xf>
    <xf numFmtId="0" fontId="43" fillId="0" borderId="0" xfId="0" applyFont="1" applyBorder="1" applyAlignment="1">
      <alignment horizontal="center" vertical="center" wrapText="1"/>
    </xf>
    <xf numFmtId="0" fontId="43" fillId="0" borderId="59" xfId="0" applyFont="1" applyBorder="1" applyAlignment="1">
      <alignment horizontal="center" vertical="center" wrapText="1"/>
    </xf>
    <xf numFmtId="0" fontId="41" fillId="7" borderId="0" xfId="0" applyFont="1" applyFill="1" applyBorder="1" applyAlignment="1">
      <alignment horizontal="center" vertical="center" wrapText="1"/>
    </xf>
    <xf numFmtId="0" fontId="41" fillId="7" borderId="59" xfId="0" applyFont="1" applyFill="1" applyBorder="1" applyAlignment="1">
      <alignment horizontal="center" vertical="center" wrapText="1"/>
    </xf>
    <xf numFmtId="0" fontId="35" fillId="8" borderId="60" xfId="0" applyFont="1" applyFill="1" applyBorder="1" applyAlignment="1" applyProtection="1">
      <alignment horizontal="center" vertical="center"/>
      <protection/>
    </xf>
    <xf numFmtId="0" fontId="35" fillId="8" borderId="61" xfId="0" applyFont="1" applyFill="1" applyBorder="1" applyAlignment="1">
      <alignment horizontal="center" vertical="center"/>
    </xf>
    <xf numFmtId="0" fontId="36" fillId="8" borderId="61" xfId="0" applyFont="1" applyFill="1" applyBorder="1" applyAlignment="1">
      <alignment horizontal="center" vertical="center"/>
    </xf>
    <xf numFmtId="0" fontId="36" fillId="8" borderId="62" xfId="0" applyFont="1" applyFill="1" applyBorder="1" applyAlignment="1">
      <alignment horizontal="center" vertical="center"/>
    </xf>
    <xf numFmtId="0" fontId="1" fillId="2" borderId="63" xfId="0" applyFont="1" applyFill="1" applyBorder="1" applyAlignment="1">
      <alignment horizontal="center" vertical="center" wrapText="1"/>
    </xf>
    <xf numFmtId="0" fontId="0" fillId="0" borderId="45" xfId="0" applyBorder="1" applyAlignment="1">
      <alignment horizontal="center" vertical="center"/>
    </xf>
    <xf numFmtId="0" fontId="0" fillId="0" borderId="49" xfId="0" applyBorder="1" applyAlignment="1">
      <alignment horizontal="center" vertical="center"/>
    </xf>
    <xf numFmtId="0" fontId="5" fillId="9" borderId="0" xfId="0" applyFont="1" applyFill="1" applyAlignment="1">
      <alignment horizontal="center"/>
    </xf>
    <xf numFmtId="0" fontId="5" fillId="10" borderId="0" xfId="0" applyFont="1" applyFill="1" applyAlignment="1">
      <alignment horizontal="center"/>
    </xf>
    <xf numFmtId="0" fontId="8" fillId="11" borderId="0" xfId="0" applyFont="1" applyFill="1" applyAlignment="1">
      <alignment horizontal="center"/>
    </xf>
    <xf numFmtId="0" fontId="5" fillId="11" borderId="0" xfId="0" applyFont="1" applyFill="1" applyAlignment="1">
      <alignment horizontal="center"/>
    </xf>
    <xf numFmtId="0" fontId="1" fillId="2" borderId="63" xfId="0" applyFont="1" applyFill="1" applyBorder="1" applyAlignment="1">
      <alignment horizontal="center" vertical="center"/>
    </xf>
    <xf numFmtId="0" fontId="0" fillId="0" borderId="45" xfId="0" applyBorder="1" applyAlignment="1">
      <alignment horizontal="center" vertical="center" wrapText="1"/>
    </xf>
    <xf numFmtId="0" fontId="0" fillId="0" borderId="49" xfId="0" applyBorder="1" applyAlignment="1">
      <alignment horizontal="center" vertical="center" wrapText="1"/>
    </xf>
    <xf numFmtId="167" fontId="1" fillId="2" borderId="63" xfId="0" applyNumberFormat="1" applyFont="1" applyFill="1" applyBorder="1" applyAlignment="1">
      <alignment horizontal="center" vertical="center" wrapText="1"/>
    </xf>
    <xf numFmtId="167" fontId="0" fillId="0" borderId="45" xfId="0" applyNumberFormat="1" applyBorder="1" applyAlignment="1">
      <alignment horizontal="center" vertical="center"/>
    </xf>
    <xf numFmtId="167" fontId="0" fillId="0" borderId="49" xfId="0" applyNumberFormat="1" applyBorder="1" applyAlignment="1">
      <alignment horizontal="center" vertical="center"/>
    </xf>
    <xf numFmtId="43" fontId="1" fillId="2" borderId="64" xfId="15" applyFont="1" applyFill="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65" fontId="1" fillId="2" borderId="65" xfId="15" applyNumberFormat="1" applyFont="1" applyFill="1" applyBorder="1" applyAlignment="1">
      <alignment horizontal="center"/>
    </xf>
    <xf numFmtId="165" fontId="1" fillId="2" borderId="66" xfId="15" applyNumberFormat="1" applyFont="1" applyFill="1" applyBorder="1" applyAlignment="1">
      <alignment horizontal="center"/>
    </xf>
    <xf numFmtId="165" fontId="1" fillId="2" borderId="67" xfId="15" applyNumberFormat="1" applyFont="1" applyFill="1" applyBorder="1" applyAlignment="1">
      <alignment horizontal="center" vertical="center" wrapText="1"/>
    </xf>
    <xf numFmtId="165" fontId="1" fillId="2" borderId="1" xfId="15" applyNumberFormat="1" applyFont="1" applyFill="1" applyBorder="1" applyAlignment="1">
      <alignment horizontal="center" vertical="center" wrapText="1"/>
    </xf>
    <xf numFmtId="165" fontId="1" fillId="2" borderId="68" xfId="15" applyNumberFormat="1" applyFont="1" applyFill="1" applyBorder="1" applyAlignment="1">
      <alignment horizontal="center"/>
    </xf>
    <xf numFmtId="165" fontId="1" fillId="2" borderId="69" xfId="15" applyNumberFormat="1" applyFont="1" applyFill="1" applyBorder="1" applyAlignment="1">
      <alignment horizontal="center"/>
    </xf>
    <xf numFmtId="165" fontId="1" fillId="2" borderId="70" xfId="15"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81737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447675</xdr:colOff>
      <xdr:row>0</xdr:row>
      <xdr:rowOff>0</xdr:rowOff>
    </xdr:to>
    <xdr:sp fLocksText="0">
      <xdr:nvSpPr>
        <xdr:cNvPr id="2" name="TextBox 2"/>
        <xdr:cNvSpPr txBox="1">
          <a:spLocks noChangeArrowheads="1"/>
        </xdr:cNvSpPr>
      </xdr:nvSpPr>
      <xdr:spPr>
        <a:xfrm>
          <a:off x="15363825" y="0"/>
          <a:ext cx="28098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05727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Box 2"/>
        <xdr:cNvSpPr txBox="1">
          <a:spLocks noChangeArrowheads="1"/>
        </xdr:cNvSpPr>
      </xdr:nvSpPr>
      <xdr:spPr>
        <a:xfrm>
          <a:off x="8201025" y="0"/>
          <a:ext cx="2371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73259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409575</xdr:colOff>
      <xdr:row>0</xdr:row>
      <xdr:rowOff>0</xdr:rowOff>
    </xdr:to>
    <xdr:sp fLocksText="0">
      <xdr:nvSpPr>
        <xdr:cNvPr id="2" name="TextBox 2"/>
        <xdr:cNvSpPr txBox="1">
          <a:spLocks noChangeArrowheads="1"/>
        </xdr:cNvSpPr>
      </xdr:nvSpPr>
      <xdr:spPr>
        <a:xfrm>
          <a:off x="14678025" y="0"/>
          <a:ext cx="26479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05251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485775</xdr:colOff>
      <xdr:row>0</xdr:row>
      <xdr:rowOff>0</xdr:rowOff>
    </xdr:to>
    <xdr:sp fLocksText="0">
      <xdr:nvSpPr>
        <xdr:cNvPr id="2" name="TextBox 2"/>
        <xdr:cNvSpPr txBox="1">
          <a:spLocks noChangeArrowheads="1"/>
        </xdr:cNvSpPr>
      </xdr:nvSpPr>
      <xdr:spPr>
        <a:xfrm>
          <a:off x="8105775" y="0"/>
          <a:ext cx="2371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79355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485775</xdr:colOff>
      <xdr:row>0</xdr:row>
      <xdr:rowOff>0</xdr:rowOff>
    </xdr:to>
    <xdr:sp fLocksText="0">
      <xdr:nvSpPr>
        <xdr:cNvPr id="2" name="TextBox 2"/>
        <xdr:cNvSpPr txBox="1">
          <a:spLocks noChangeArrowheads="1"/>
        </xdr:cNvSpPr>
      </xdr:nvSpPr>
      <xdr:spPr>
        <a:xfrm>
          <a:off x="15135225" y="0"/>
          <a:ext cx="28003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04394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447675</xdr:colOff>
      <xdr:row>0</xdr:row>
      <xdr:rowOff>0</xdr:rowOff>
    </xdr:to>
    <xdr:sp fLocksText="0">
      <xdr:nvSpPr>
        <xdr:cNvPr id="2" name="TextBox 2"/>
        <xdr:cNvSpPr txBox="1">
          <a:spLocks noChangeArrowheads="1"/>
        </xdr:cNvSpPr>
      </xdr:nvSpPr>
      <xdr:spPr>
        <a:xfrm>
          <a:off x="8010525" y="0"/>
          <a:ext cx="24288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D94"/>
  <sheetViews>
    <sheetView zoomScale="45" zoomScaleNormal="45" workbookViewId="0" topLeftCell="A1">
      <selection activeCell="D34" sqref="D34"/>
    </sheetView>
  </sheetViews>
  <sheetFormatPr defaultColWidth="9.140625" defaultRowHeight="12.75"/>
  <cols>
    <col min="1" max="1" width="3.7109375" style="122" customWidth="1"/>
    <col min="2" max="2" width="1.7109375" style="61" customWidth="1"/>
    <col min="3" max="3" width="37.00390625" style="57" bestFit="1" customWidth="1"/>
    <col min="4" max="4" width="9.8515625" style="57" bestFit="1" customWidth="1"/>
    <col min="5" max="5" width="13.28125" style="57" bestFit="1" customWidth="1"/>
    <col min="6" max="6" width="14.8515625" style="62" bestFit="1" customWidth="1"/>
    <col min="7" max="7" width="6.421875" style="63" bestFit="1" customWidth="1"/>
    <col min="8" max="8" width="7.8515625" style="63" bestFit="1" customWidth="1"/>
    <col min="9" max="9" width="9.28125" style="57" customWidth="1"/>
    <col min="10" max="10" width="13.57421875" style="57" bestFit="1" customWidth="1"/>
    <col min="11" max="11" width="8.57421875" style="57" bestFit="1" customWidth="1"/>
    <col min="12" max="12" width="13.57421875" style="57" bestFit="1" customWidth="1"/>
    <col min="13" max="13" width="8.57421875" style="57" bestFit="1" customWidth="1"/>
    <col min="14" max="14" width="13.57421875" style="57" bestFit="1" customWidth="1"/>
    <col min="15" max="15" width="8.57421875" style="57" bestFit="1" customWidth="1"/>
    <col min="16" max="16" width="15.8515625" style="90" bestFit="1" customWidth="1"/>
    <col min="17" max="17" width="9.57421875" style="57" bestFit="1" customWidth="1"/>
    <col min="18" max="18" width="8.8515625" style="57" bestFit="1" customWidth="1"/>
    <col min="19" max="19" width="6.7109375" style="57" bestFit="1" customWidth="1"/>
    <col min="20" max="20" width="17.00390625" style="89" bestFit="1" customWidth="1"/>
    <col min="21" max="21" width="8.57421875" style="57" bestFit="1" customWidth="1"/>
    <col min="22" max="22" width="17.00390625" style="89" bestFit="1" customWidth="1"/>
    <col min="23" max="23" width="11.8515625" style="57" bestFit="1" customWidth="1"/>
    <col min="24" max="24" width="6.7109375" style="57" bestFit="1" customWidth="1"/>
    <col min="25" max="25" width="38.57421875" style="57" customWidth="1"/>
    <col min="26" max="26" width="38.57421875" style="53" customWidth="1"/>
    <col min="27" max="29" width="38.57421875" style="57" customWidth="1"/>
    <col min="30" max="30" width="2.28125" style="57" bestFit="1" customWidth="1"/>
    <col min="31" max="16384" width="38.57421875" style="57" customWidth="1"/>
  </cols>
  <sheetData>
    <row r="1" spans="1:24" ht="38.25">
      <c r="A1" s="331" t="s">
        <v>234</v>
      </c>
      <c r="B1" s="332"/>
      <c r="C1" s="332"/>
      <c r="D1" s="332"/>
      <c r="E1" s="332"/>
      <c r="F1" s="332"/>
      <c r="G1" s="332"/>
      <c r="H1" s="332"/>
      <c r="I1" s="332"/>
      <c r="J1" s="332"/>
      <c r="K1" s="332"/>
      <c r="L1" s="332"/>
      <c r="M1" s="332"/>
      <c r="N1" s="332"/>
      <c r="O1" s="332"/>
      <c r="P1" s="332"/>
      <c r="Q1" s="332"/>
      <c r="R1" s="332"/>
      <c r="S1" s="332"/>
      <c r="T1" s="332"/>
      <c r="U1" s="332"/>
      <c r="V1" s="332"/>
      <c r="W1" s="332"/>
      <c r="X1" s="333"/>
    </row>
    <row r="2" spans="1:24" ht="56.25" customHeight="1">
      <c r="A2" s="323" t="s">
        <v>235</v>
      </c>
      <c r="B2" s="324"/>
      <c r="C2" s="324"/>
      <c r="D2" s="324"/>
      <c r="E2" s="324"/>
      <c r="F2" s="324"/>
      <c r="G2" s="324"/>
      <c r="H2" s="324"/>
      <c r="I2" s="324"/>
      <c r="J2" s="324"/>
      <c r="K2" s="324"/>
      <c r="L2" s="324"/>
      <c r="M2" s="324"/>
      <c r="N2" s="324"/>
      <c r="O2" s="324"/>
      <c r="P2" s="324"/>
      <c r="Q2" s="324"/>
      <c r="R2" s="324"/>
      <c r="S2" s="324"/>
      <c r="T2" s="324"/>
      <c r="U2" s="324"/>
      <c r="V2" s="324"/>
      <c r="W2" s="324"/>
      <c r="X2" s="322"/>
    </row>
    <row r="3" spans="1:24" ht="42.75" customHeight="1">
      <c r="A3" s="217"/>
      <c r="B3" s="218"/>
      <c r="C3" s="239" t="s">
        <v>239</v>
      </c>
      <c r="D3" s="218"/>
      <c r="E3" s="218"/>
      <c r="F3" s="218"/>
      <c r="G3" s="218"/>
      <c r="H3" s="218"/>
      <c r="I3" s="218"/>
      <c r="J3" s="218"/>
      <c r="K3" s="218"/>
      <c r="L3" s="218"/>
      <c r="M3" s="218"/>
      <c r="N3" s="218"/>
      <c r="O3" s="334" t="s">
        <v>236</v>
      </c>
      <c r="P3" s="334"/>
      <c r="Q3" s="334"/>
      <c r="R3" s="334"/>
      <c r="S3" s="334"/>
      <c r="T3" s="334"/>
      <c r="U3" s="334"/>
      <c r="V3" s="334"/>
      <c r="W3" s="334"/>
      <c r="X3" s="335"/>
    </row>
    <row r="4" spans="1:24" s="54" customFormat="1" ht="27.75" thickBot="1">
      <c r="A4" s="336" t="s">
        <v>202</v>
      </c>
      <c r="B4" s="337"/>
      <c r="C4" s="337"/>
      <c r="D4" s="337"/>
      <c r="E4" s="337"/>
      <c r="F4" s="337"/>
      <c r="G4" s="337"/>
      <c r="H4" s="337"/>
      <c r="I4" s="337"/>
      <c r="J4" s="337"/>
      <c r="K4" s="337"/>
      <c r="L4" s="337"/>
      <c r="M4" s="337"/>
      <c r="N4" s="337"/>
      <c r="O4" s="337"/>
      <c r="P4" s="337"/>
      <c r="Q4" s="338"/>
      <c r="R4" s="338"/>
      <c r="S4" s="338"/>
      <c r="T4" s="338"/>
      <c r="U4" s="338"/>
      <c r="V4" s="338"/>
      <c r="W4" s="338"/>
      <c r="X4" s="339"/>
    </row>
    <row r="5" spans="1:26" s="55" customFormat="1" ht="18">
      <c r="A5" s="215"/>
      <c r="B5" s="216"/>
      <c r="C5" s="347" t="s">
        <v>0</v>
      </c>
      <c r="D5" s="340" t="s">
        <v>96</v>
      </c>
      <c r="E5" s="340" t="s">
        <v>2</v>
      </c>
      <c r="F5" s="340" t="s">
        <v>188</v>
      </c>
      <c r="G5" s="326" t="s">
        <v>97</v>
      </c>
      <c r="H5" s="326" t="s">
        <v>98</v>
      </c>
      <c r="I5" s="326" t="s">
        <v>99</v>
      </c>
      <c r="J5" s="330" t="s">
        <v>4</v>
      </c>
      <c r="K5" s="330"/>
      <c r="L5" s="330" t="s">
        <v>7</v>
      </c>
      <c r="M5" s="330"/>
      <c r="N5" s="330" t="s">
        <v>8</v>
      </c>
      <c r="O5" s="330"/>
      <c r="P5" s="330" t="s">
        <v>100</v>
      </c>
      <c r="Q5" s="330"/>
      <c r="R5" s="330"/>
      <c r="S5" s="330"/>
      <c r="T5" s="330" t="s">
        <v>101</v>
      </c>
      <c r="U5" s="330"/>
      <c r="V5" s="330" t="s">
        <v>102</v>
      </c>
      <c r="W5" s="330"/>
      <c r="X5" s="346"/>
      <c r="Z5" s="56"/>
    </row>
    <row r="6" spans="1:26" s="55" customFormat="1" ht="27.75" thickBot="1">
      <c r="A6" s="138"/>
      <c r="B6" s="64"/>
      <c r="C6" s="348"/>
      <c r="D6" s="349"/>
      <c r="E6" s="341"/>
      <c r="F6" s="341"/>
      <c r="G6" s="327"/>
      <c r="H6" s="327"/>
      <c r="I6" s="327"/>
      <c r="J6" s="67" t="s">
        <v>82</v>
      </c>
      <c r="K6" s="67" t="s">
        <v>16</v>
      </c>
      <c r="L6" s="67" t="s">
        <v>82</v>
      </c>
      <c r="M6" s="67" t="s">
        <v>16</v>
      </c>
      <c r="N6" s="67" t="s">
        <v>82</v>
      </c>
      <c r="O6" s="67" t="s">
        <v>16</v>
      </c>
      <c r="P6" s="65" t="s">
        <v>82</v>
      </c>
      <c r="Q6" s="65" t="s">
        <v>16</v>
      </c>
      <c r="R6" s="66" t="s">
        <v>103</v>
      </c>
      <c r="S6" s="66" t="s">
        <v>104</v>
      </c>
      <c r="T6" s="139" t="s">
        <v>82</v>
      </c>
      <c r="U6" s="68" t="s">
        <v>11</v>
      </c>
      <c r="V6" s="139" t="s">
        <v>82</v>
      </c>
      <c r="W6" s="67" t="s">
        <v>16</v>
      </c>
      <c r="X6" s="69" t="s">
        <v>104</v>
      </c>
      <c r="Z6" s="56"/>
    </row>
    <row r="7" spans="1:26" s="55" customFormat="1" ht="20.25" customHeight="1">
      <c r="A7" s="161">
        <v>1</v>
      </c>
      <c r="B7" s="70"/>
      <c r="C7" s="174" t="s">
        <v>201</v>
      </c>
      <c r="D7" s="175">
        <v>38821</v>
      </c>
      <c r="E7" s="203" t="s">
        <v>147</v>
      </c>
      <c r="F7" s="204" t="s">
        <v>148</v>
      </c>
      <c r="G7" s="176">
        <v>118</v>
      </c>
      <c r="H7" s="176">
        <v>118</v>
      </c>
      <c r="I7" s="186">
        <v>2</v>
      </c>
      <c r="J7" s="185">
        <v>169084</v>
      </c>
      <c r="K7" s="177">
        <v>23928</v>
      </c>
      <c r="L7" s="205">
        <v>349744.5</v>
      </c>
      <c r="M7" s="177">
        <v>48092</v>
      </c>
      <c r="N7" s="205">
        <v>499225</v>
      </c>
      <c r="O7" s="187">
        <v>66520</v>
      </c>
      <c r="P7" s="229">
        <f>SUM(J7+L7+N7)</f>
        <v>1018053.5</v>
      </c>
      <c r="Q7" s="177">
        <f>SUM(K7+M7+O7)</f>
        <v>138540</v>
      </c>
      <c r="R7" s="206">
        <f>Q7/H7</f>
        <v>1174.0677966101696</v>
      </c>
      <c r="S7" s="225">
        <f>P7/Q7</f>
        <v>7.348444492565324</v>
      </c>
      <c r="T7" s="224">
        <v>1310665.5</v>
      </c>
      <c r="U7" s="190">
        <f aca="true" t="shared" si="0" ref="U7:U38">IF(T7&lt;&gt;0,-(T7-P7)/T7,"")</f>
        <v>-0.22325452222554115</v>
      </c>
      <c r="V7" s="185">
        <v>2926914.5</v>
      </c>
      <c r="W7" s="177">
        <v>406377</v>
      </c>
      <c r="X7" s="208">
        <f aca="true" t="shared" si="1" ref="X7:X15">V7/W7</f>
        <v>7.202461015264151</v>
      </c>
      <c r="Z7" s="56"/>
    </row>
    <row r="8" spans="1:26" s="151" customFormat="1" ht="20.25" customHeight="1">
      <c r="A8" s="161">
        <v>2</v>
      </c>
      <c r="B8" s="178"/>
      <c r="C8" s="73" t="s">
        <v>203</v>
      </c>
      <c r="D8" s="72">
        <v>38828</v>
      </c>
      <c r="E8" s="197" t="s">
        <v>76</v>
      </c>
      <c r="F8" s="71" t="s">
        <v>171</v>
      </c>
      <c r="G8" s="136">
        <v>59</v>
      </c>
      <c r="H8" s="136">
        <v>61</v>
      </c>
      <c r="I8" s="94">
        <v>1</v>
      </c>
      <c r="J8" s="98">
        <v>53110.5</v>
      </c>
      <c r="K8" s="129">
        <v>6177</v>
      </c>
      <c r="L8" s="198">
        <v>64118</v>
      </c>
      <c r="M8" s="129">
        <v>7380</v>
      </c>
      <c r="N8" s="198">
        <v>116706</v>
      </c>
      <c r="O8" s="105">
        <v>13312</v>
      </c>
      <c r="P8" s="230">
        <f>+J8+L8+N8</f>
        <v>233934.5</v>
      </c>
      <c r="Q8" s="76">
        <f>+K8+M8+O8</f>
        <v>26869</v>
      </c>
      <c r="R8" s="75">
        <f>IF(P8&lt;&gt;0,Q8/H8,"")</f>
        <v>440.4754098360656</v>
      </c>
      <c r="S8" s="127">
        <f>IF(P8&lt;&gt;0,P8/Q8,"")</f>
        <v>8.7064833079013</v>
      </c>
      <c r="T8" s="98"/>
      <c r="U8" s="128">
        <f t="shared" si="0"/>
      </c>
      <c r="V8" s="98">
        <v>233934.5</v>
      </c>
      <c r="W8" s="129">
        <v>26869</v>
      </c>
      <c r="X8" s="209">
        <f t="shared" si="1"/>
        <v>8.7064833079013</v>
      </c>
      <c r="Z8" s="152"/>
    </row>
    <row r="9" spans="1:26" s="151" customFormat="1" ht="20.25" customHeight="1">
      <c r="A9" s="161">
        <v>3</v>
      </c>
      <c r="B9" s="178"/>
      <c r="C9" s="73" t="s">
        <v>190</v>
      </c>
      <c r="D9" s="72">
        <v>38815</v>
      </c>
      <c r="E9" s="71" t="s">
        <v>80</v>
      </c>
      <c r="F9" s="71" t="s">
        <v>152</v>
      </c>
      <c r="G9" s="136">
        <v>94</v>
      </c>
      <c r="H9" s="136">
        <v>96</v>
      </c>
      <c r="I9" s="94">
        <v>2</v>
      </c>
      <c r="J9" s="98">
        <v>18223</v>
      </c>
      <c r="K9" s="129">
        <v>2571</v>
      </c>
      <c r="L9" s="198">
        <v>60219</v>
      </c>
      <c r="M9" s="129">
        <v>8194</v>
      </c>
      <c r="N9" s="198">
        <v>90536</v>
      </c>
      <c r="O9" s="105">
        <v>11806</v>
      </c>
      <c r="P9" s="230">
        <f>+J9+L9+N9</f>
        <v>168978</v>
      </c>
      <c r="Q9" s="76">
        <f>+K9+M9+O9</f>
        <v>22571</v>
      </c>
      <c r="R9" s="86">
        <f>Q9/H9</f>
        <v>235.11458333333334</v>
      </c>
      <c r="S9" s="226">
        <f>P9/Q9</f>
        <v>7.4865092375171685</v>
      </c>
      <c r="T9" s="130">
        <f>+N9+P9+R9</f>
        <v>259749.11458333334</v>
      </c>
      <c r="U9" s="128">
        <f t="shared" si="0"/>
        <v>-0.34945687776045115</v>
      </c>
      <c r="V9" s="98">
        <v>597865</v>
      </c>
      <c r="W9" s="129">
        <v>80773</v>
      </c>
      <c r="X9" s="209">
        <f t="shared" si="1"/>
        <v>7.401792678246443</v>
      </c>
      <c r="Z9" s="152"/>
    </row>
    <row r="10" spans="1:27" s="154" customFormat="1" ht="20.25" customHeight="1">
      <c r="A10" s="161">
        <v>4</v>
      </c>
      <c r="B10" s="179"/>
      <c r="C10" s="78" t="s">
        <v>204</v>
      </c>
      <c r="D10" s="77">
        <v>38828</v>
      </c>
      <c r="E10" s="192" t="s">
        <v>147</v>
      </c>
      <c r="F10" s="193" t="s">
        <v>205</v>
      </c>
      <c r="G10" s="156">
        <v>43</v>
      </c>
      <c r="H10" s="156">
        <v>43</v>
      </c>
      <c r="I10" s="95">
        <v>1</v>
      </c>
      <c r="J10" s="99">
        <v>27453.5</v>
      </c>
      <c r="K10" s="79">
        <v>3802</v>
      </c>
      <c r="L10" s="194">
        <v>38397.5</v>
      </c>
      <c r="M10" s="79">
        <v>5110</v>
      </c>
      <c r="N10" s="194">
        <v>68128</v>
      </c>
      <c r="O10" s="106">
        <v>8861</v>
      </c>
      <c r="P10" s="231">
        <f>SUM(J10+L10+N10)</f>
        <v>133979</v>
      </c>
      <c r="Q10" s="79">
        <f>SUM(K10+M10+O10)</f>
        <v>17773</v>
      </c>
      <c r="R10" s="86">
        <f>Q10/H10</f>
        <v>413.3255813953488</v>
      </c>
      <c r="S10" s="226">
        <f>P10/Q10</f>
        <v>7.538344680132786</v>
      </c>
      <c r="T10" s="100"/>
      <c r="U10" s="128">
        <f t="shared" si="0"/>
      </c>
      <c r="V10" s="99">
        <v>133979</v>
      </c>
      <c r="W10" s="79">
        <v>17773</v>
      </c>
      <c r="X10" s="210">
        <f t="shared" si="1"/>
        <v>7.538344680132786</v>
      </c>
      <c r="Y10" s="153"/>
      <c r="AA10" s="153"/>
    </row>
    <row r="11" spans="1:26" s="155" customFormat="1" ht="20.25" customHeight="1">
      <c r="A11" s="161">
        <v>5</v>
      </c>
      <c r="B11" s="179"/>
      <c r="C11" s="73" t="s">
        <v>145</v>
      </c>
      <c r="D11" s="72">
        <v>38814</v>
      </c>
      <c r="E11" s="197" t="s">
        <v>76</v>
      </c>
      <c r="F11" s="71" t="s">
        <v>146</v>
      </c>
      <c r="G11" s="136">
        <v>124</v>
      </c>
      <c r="H11" s="136">
        <v>109</v>
      </c>
      <c r="I11" s="94">
        <v>3</v>
      </c>
      <c r="J11" s="98">
        <v>22095.5</v>
      </c>
      <c r="K11" s="129">
        <v>3070</v>
      </c>
      <c r="L11" s="198">
        <v>28533</v>
      </c>
      <c r="M11" s="129">
        <v>4486</v>
      </c>
      <c r="N11" s="198">
        <v>42939</v>
      </c>
      <c r="O11" s="105">
        <v>6626</v>
      </c>
      <c r="P11" s="230">
        <f aca="true" t="shared" si="2" ref="P11:Q16">+J11+L11+N11</f>
        <v>93567.5</v>
      </c>
      <c r="Q11" s="76">
        <f t="shared" si="2"/>
        <v>14182</v>
      </c>
      <c r="R11" s="75">
        <f>IF(P11&lt;&gt;0,Q11/H11,"")</f>
        <v>130.11009174311926</v>
      </c>
      <c r="S11" s="127">
        <f>IF(P11&lt;&gt;0,P11/Q11,"")</f>
        <v>6.597623748413482</v>
      </c>
      <c r="T11" s="98">
        <v>167760.5</v>
      </c>
      <c r="U11" s="128">
        <f t="shared" si="0"/>
        <v>-0.44225547730246395</v>
      </c>
      <c r="V11" s="98">
        <v>807238</v>
      </c>
      <c r="W11" s="129">
        <v>122485</v>
      </c>
      <c r="X11" s="209">
        <f t="shared" si="1"/>
        <v>6.590504959790994</v>
      </c>
      <c r="Y11" s="153"/>
      <c r="Z11" s="153"/>
    </row>
    <row r="12" spans="1:26" s="155" customFormat="1" ht="20.25" customHeight="1">
      <c r="A12" s="161">
        <v>6</v>
      </c>
      <c r="B12" s="179"/>
      <c r="C12" s="73" t="s">
        <v>132</v>
      </c>
      <c r="D12" s="72">
        <v>38807</v>
      </c>
      <c r="E12" s="71" t="s">
        <v>143</v>
      </c>
      <c r="F12" s="71" t="s">
        <v>144</v>
      </c>
      <c r="G12" s="136">
        <v>115</v>
      </c>
      <c r="H12" s="136">
        <v>115</v>
      </c>
      <c r="I12" s="94">
        <v>4</v>
      </c>
      <c r="J12" s="98">
        <v>18118</v>
      </c>
      <c r="K12" s="129">
        <v>2734</v>
      </c>
      <c r="L12" s="198">
        <v>28128</v>
      </c>
      <c r="M12" s="129">
        <v>4249</v>
      </c>
      <c r="N12" s="198">
        <v>44673</v>
      </c>
      <c r="O12" s="105">
        <v>6662</v>
      </c>
      <c r="P12" s="230">
        <f t="shared" si="2"/>
        <v>90919</v>
      </c>
      <c r="Q12" s="76">
        <f t="shared" si="2"/>
        <v>13645</v>
      </c>
      <c r="R12" s="86">
        <f>Q12/H12</f>
        <v>118.65217391304348</v>
      </c>
      <c r="S12" s="226">
        <f>P12/Q12</f>
        <v>6.663173323561744</v>
      </c>
      <c r="T12" s="130">
        <v>190050</v>
      </c>
      <c r="U12" s="128">
        <f t="shared" si="0"/>
        <v>-0.5216048408313602</v>
      </c>
      <c r="V12" s="98">
        <v>1895403</v>
      </c>
      <c r="W12" s="129">
        <v>253971</v>
      </c>
      <c r="X12" s="209">
        <f t="shared" si="1"/>
        <v>7.463068618070567</v>
      </c>
      <c r="Y12" s="191"/>
      <c r="Z12" s="191"/>
    </row>
    <row r="13" spans="1:26" s="155" customFormat="1" ht="20.25" customHeight="1">
      <c r="A13" s="161">
        <v>7</v>
      </c>
      <c r="B13" s="179"/>
      <c r="C13" s="73" t="s">
        <v>206</v>
      </c>
      <c r="D13" s="72">
        <v>38828</v>
      </c>
      <c r="E13" s="71" t="s">
        <v>80</v>
      </c>
      <c r="F13" s="71" t="s">
        <v>152</v>
      </c>
      <c r="G13" s="136">
        <v>46</v>
      </c>
      <c r="H13" s="136">
        <v>48</v>
      </c>
      <c r="I13" s="94">
        <v>1</v>
      </c>
      <c r="J13" s="98">
        <v>15089</v>
      </c>
      <c r="K13" s="129">
        <v>1641</v>
      </c>
      <c r="L13" s="198">
        <v>22928</v>
      </c>
      <c r="M13" s="129">
        <v>2537</v>
      </c>
      <c r="N13" s="198">
        <v>48420</v>
      </c>
      <c r="O13" s="105">
        <v>5174</v>
      </c>
      <c r="P13" s="230">
        <f t="shared" si="2"/>
        <v>86437</v>
      </c>
      <c r="Q13" s="76">
        <f t="shared" si="2"/>
        <v>9352</v>
      </c>
      <c r="R13" s="86">
        <f>Q13/H13</f>
        <v>194.83333333333334</v>
      </c>
      <c r="S13" s="226">
        <f>P13/Q13</f>
        <v>9.242621899059024</v>
      </c>
      <c r="T13" s="98"/>
      <c r="U13" s="128">
        <f t="shared" si="0"/>
      </c>
      <c r="V13" s="98">
        <v>86437</v>
      </c>
      <c r="W13" s="129">
        <v>9352</v>
      </c>
      <c r="X13" s="209">
        <f t="shared" si="1"/>
        <v>9.242621899059024</v>
      </c>
      <c r="Y13" s="153"/>
      <c r="Z13" s="153"/>
    </row>
    <row r="14" spans="1:26" s="155" customFormat="1" ht="20.25" customHeight="1">
      <c r="A14" s="161">
        <v>8</v>
      </c>
      <c r="B14" s="179"/>
      <c r="C14" s="73" t="s">
        <v>207</v>
      </c>
      <c r="D14" s="72">
        <v>38821</v>
      </c>
      <c r="E14" s="197" t="s">
        <v>76</v>
      </c>
      <c r="F14" s="71" t="s">
        <v>161</v>
      </c>
      <c r="G14" s="136">
        <v>54</v>
      </c>
      <c r="H14" s="136">
        <v>54</v>
      </c>
      <c r="I14" s="94">
        <v>2</v>
      </c>
      <c r="J14" s="98">
        <v>10123</v>
      </c>
      <c r="K14" s="129">
        <v>1332</v>
      </c>
      <c r="L14" s="198">
        <v>14059.5</v>
      </c>
      <c r="M14" s="129">
        <v>1912</v>
      </c>
      <c r="N14" s="198">
        <v>28760</v>
      </c>
      <c r="O14" s="105">
        <v>3680</v>
      </c>
      <c r="P14" s="230">
        <f t="shared" si="2"/>
        <v>52942.5</v>
      </c>
      <c r="Q14" s="76">
        <f t="shared" si="2"/>
        <v>6924</v>
      </c>
      <c r="R14" s="75">
        <f>IF(P14&lt;&gt;0,Q14/H14,"")</f>
        <v>128.22222222222223</v>
      </c>
      <c r="S14" s="127">
        <f>IF(P14&lt;&gt;0,P14/Q14,"")</f>
        <v>7.6462305025996535</v>
      </c>
      <c r="T14" s="98">
        <v>98266.5</v>
      </c>
      <c r="U14" s="128">
        <f t="shared" si="0"/>
        <v>-0.4612355176993177</v>
      </c>
      <c r="V14" s="98">
        <v>208458.5</v>
      </c>
      <c r="W14" s="129">
        <v>28033</v>
      </c>
      <c r="X14" s="209">
        <f t="shared" si="1"/>
        <v>7.436182356508401</v>
      </c>
      <c r="Y14" s="153"/>
      <c r="Z14" s="153"/>
    </row>
    <row r="15" spans="1:26" s="155" customFormat="1" ht="20.25" customHeight="1">
      <c r="A15" s="161">
        <v>9</v>
      </c>
      <c r="B15" s="179"/>
      <c r="C15" s="73" t="s">
        <v>192</v>
      </c>
      <c r="D15" s="72">
        <v>38821</v>
      </c>
      <c r="E15" s="197" t="s">
        <v>76</v>
      </c>
      <c r="F15" s="71" t="s">
        <v>177</v>
      </c>
      <c r="G15" s="136">
        <v>32</v>
      </c>
      <c r="H15" s="136">
        <v>32</v>
      </c>
      <c r="I15" s="94">
        <v>2</v>
      </c>
      <c r="J15" s="98">
        <v>13128</v>
      </c>
      <c r="K15" s="129">
        <v>1347</v>
      </c>
      <c r="L15" s="198">
        <v>14899</v>
      </c>
      <c r="M15" s="129">
        <v>1602</v>
      </c>
      <c r="N15" s="198">
        <v>24232</v>
      </c>
      <c r="O15" s="105">
        <v>2557</v>
      </c>
      <c r="P15" s="230">
        <f t="shared" si="2"/>
        <v>52259</v>
      </c>
      <c r="Q15" s="76">
        <f t="shared" si="2"/>
        <v>5506</v>
      </c>
      <c r="R15" s="75">
        <f>IF(P15&lt;&gt;0,Q15/H15,"")</f>
        <v>172.0625</v>
      </c>
      <c r="S15" s="127">
        <f>IF(P15&lt;&gt;0,P15/Q15,"")</f>
        <v>9.491282237559027</v>
      </c>
      <c r="T15" s="98">
        <v>81322</v>
      </c>
      <c r="U15" s="128">
        <f t="shared" si="0"/>
        <v>-0.35738176631169916</v>
      </c>
      <c r="V15" s="98">
        <v>175186</v>
      </c>
      <c r="W15" s="129">
        <v>18596</v>
      </c>
      <c r="X15" s="209">
        <f t="shared" si="1"/>
        <v>9.42062809206281</v>
      </c>
      <c r="Y15" s="153"/>
      <c r="Z15" s="153"/>
    </row>
    <row r="16" spans="1:26" s="155" customFormat="1" ht="20.25" customHeight="1">
      <c r="A16" s="161">
        <v>10</v>
      </c>
      <c r="B16" s="179"/>
      <c r="C16" s="73" t="s">
        <v>208</v>
      </c>
      <c r="D16" s="72">
        <v>38828</v>
      </c>
      <c r="E16" s="71" t="s">
        <v>143</v>
      </c>
      <c r="F16" s="71" t="s">
        <v>169</v>
      </c>
      <c r="G16" s="136">
        <v>46</v>
      </c>
      <c r="H16" s="136">
        <v>46</v>
      </c>
      <c r="I16" s="94">
        <v>1</v>
      </c>
      <c r="J16" s="98">
        <v>9342</v>
      </c>
      <c r="K16" s="129">
        <v>1148</v>
      </c>
      <c r="L16" s="198">
        <v>14847</v>
      </c>
      <c r="M16" s="129">
        <v>1970</v>
      </c>
      <c r="N16" s="198">
        <v>22588</v>
      </c>
      <c r="O16" s="105">
        <v>2801</v>
      </c>
      <c r="P16" s="230">
        <f t="shared" si="2"/>
        <v>46777</v>
      </c>
      <c r="Q16" s="76">
        <f t="shared" si="2"/>
        <v>5919</v>
      </c>
      <c r="R16" s="86">
        <f>Q16/H16</f>
        <v>128.67391304347825</v>
      </c>
      <c r="S16" s="226">
        <f>P16/Q16</f>
        <v>7.902855212029059</v>
      </c>
      <c r="T16" s="130"/>
      <c r="U16" s="128">
        <f t="shared" si="0"/>
      </c>
      <c r="V16" s="98">
        <f>+P16</f>
        <v>46777</v>
      </c>
      <c r="W16" s="129">
        <f>+Q16</f>
        <v>5919</v>
      </c>
      <c r="X16" s="209">
        <f>+S16</f>
        <v>7.902855212029059</v>
      </c>
      <c r="Y16" s="153"/>
      <c r="Z16" s="153"/>
    </row>
    <row r="17" spans="1:26" s="155" customFormat="1" ht="20.25" customHeight="1">
      <c r="A17" s="161">
        <v>11</v>
      </c>
      <c r="B17" s="179"/>
      <c r="C17" s="78" t="s">
        <v>191</v>
      </c>
      <c r="D17" s="77">
        <v>38814</v>
      </c>
      <c r="E17" s="192" t="s">
        <v>147</v>
      </c>
      <c r="F17" s="193" t="s">
        <v>209</v>
      </c>
      <c r="G17" s="156">
        <v>50</v>
      </c>
      <c r="H17" s="156">
        <v>46</v>
      </c>
      <c r="I17" s="95">
        <v>3</v>
      </c>
      <c r="J17" s="99">
        <v>7726</v>
      </c>
      <c r="K17" s="79">
        <v>952</v>
      </c>
      <c r="L17" s="194">
        <v>11528</v>
      </c>
      <c r="M17" s="79">
        <v>1416</v>
      </c>
      <c r="N17" s="194">
        <v>14590</v>
      </c>
      <c r="O17" s="106">
        <v>1817</v>
      </c>
      <c r="P17" s="231">
        <f>SUM(J17+L17+N17)</f>
        <v>33844</v>
      </c>
      <c r="Q17" s="79">
        <f>SUM(K17+M17+O17)</f>
        <v>4185</v>
      </c>
      <c r="R17" s="86">
        <f>Q17/H17</f>
        <v>90.97826086956522</v>
      </c>
      <c r="S17" s="226">
        <f>P17/Q17</f>
        <v>8.086977299880525</v>
      </c>
      <c r="T17" s="100">
        <v>75763.5</v>
      </c>
      <c r="U17" s="128">
        <f t="shared" si="0"/>
        <v>-0.5532941323988464</v>
      </c>
      <c r="V17" s="99">
        <v>310051.5</v>
      </c>
      <c r="W17" s="79">
        <v>37922</v>
      </c>
      <c r="X17" s="210">
        <f>V17/W17</f>
        <v>8.17603238225832</v>
      </c>
      <c r="Y17" s="153"/>
      <c r="Z17" s="153"/>
    </row>
    <row r="18" spans="1:26" s="155" customFormat="1" ht="20.25" customHeight="1">
      <c r="A18" s="161">
        <v>12</v>
      </c>
      <c r="B18" s="179"/>
      <c r="C18" s="78" t="s">
        <v>128</v>
      </c>
      <c r="D18" s="77">
        <v>38800</v>
      </c>
      <c r="E18" s="192" t="s">
        <v>147</v>
      </c>
      <c r="F18" s="193" t="s">
        <v>148</v>
      </c>
      <c r="G18" s="156">
        <v>92</v>
      </c>
      <c r="H18" s="156">
        <v>54</v>
      </c>
      <c r="I18" s="95">
        <v>5</v>
      </c>
      <c r="J18" s="99">
        <v>4738.5</v>
      </c>
      <c r="K18" s="79">
        <v>1283</v>
      </c>
      <c r="L18" s="194">
        <v>8526</v>
      </c>
      <c r="M18" s="79">
        <v>2057</v>
      </c>
      <c r="N18" s="194">
        <v>11709</v>
      </c>
      <c r="O18" s="106">
        <v>2677</v>
      </c>
      <c r="P18" s="231">
        <f>J18+L18+N18</f>
        <v>24973.5</v>
      </c>
      <c r="Q18" s="79">
        <f>K18+M18+O18</f>
        <v>6017</v>
      </c>
      <c r="R18" s="86">
        <f>Q18/H18</f>
        <v>111.42592592592592</v>
      </c>
      <c r="S18" s="226">
        <f>P18/Q18</f>
        <v>4.15049027754695</v>
      </c>
      <c r="T18" s="100">
        <v>38204.5</v>
      </c>
      <c r="U18" s="128">
        <f t="shared" si="0"/>
        <v>-0.34632045963171876</v>
      </c>
      <c r="V18" s="99">
        <v>1110217</v>
      </c>
      <c r="W18" s="79">
        <v>155804</v>
      </c>
      <c r="X18" s="210">
        <f>V18/W18</f>
        <v>7.125728479371518</v>
      </c>
      <c r="Y18" s="153"/>
      <c r="Z18" s="153"/>
    </row>
    <row r="19" spans="1:26" s="155" customFormat="1" ht="20.25" customHeight="1">
      <c r="A19" s="161">
        <v>13</v>
      </c>
      <c r="B19" s="179"/>
      <c r="C19" s="73" t="s">
        <v>133</v>
      </c>
      <c r="D19" s="72">
        <v>38807</v>
      </c>
      <c r="E19" s="197" t="s">
        <v>76</v>
      </c>
      <c r="F19" s="71" t="s">
        <v>79</v>
      </c>
      <c r="G19" s="136">
        <v>77</v>
      </c>
      <c r="H19" s="136">
        <v>35</v>
      </c>
      <c r="I19" s="94">
        <v>4</v>
      </c>
      <c r="J19" s="98">
        <v>5020</v>
      </c>
      <c r="K19" s="129">
        <v>780</v>
      </c>
      <c r="L19" s="198">
        <v>8619</v>
      </c>
      <c r="M19" s="129">
        <v>1267</v>
      </c>
      <c r="N19" s="198">
        <v>11000</v>
      </c>
      <c r="O19" s="105">
        <v>1647</v>
      </c>
      <c r="P19" s="230">
        <f aca="true" t="shared" si="3" ref="P19:Q23">+J19+L19+N19</f>
        <v>24639</v>
      </c>
      <c r="Q19" s="76">
        <f t="shared" si="3"/>
        <v>3694</v>
      </c>
      <c r="R19" s="75">
        <f>IF(P19&lt;&gt;0,Q19/H19,"")</f>
        <v>105.54285714285714</v>
      </c>
      <c r="S19" s="127">
        <f>IF(P19&lt;&gt;0,P19/Q19,"")</f>
        <v>6.670005414185165</v>
      </c>
      <c r="T19" s="98">
        <v>93686.5</v>
      </c>
      <c r="U19" s="128">
        <f t="shared" si="0"/>
        <v>-0.7370058653061007</v>
      </c>
      <c r="V19" s="98">
        <v>813825.5</v>
      </c>
      <c r="W19" s="129">
        <v>106444</v>
      </c>
      <c r="X19" s="209">
        <f>V19/W19</f>
        <v>7.64557419863966</v>
      </c>
      <c r="Y19" s="153"/>
      <c r="Z19" s="153"/>
    </row>
    <row r="20" spans="1:26" s="155" customFormat="1" ht="20.25" customHeight="1">
      <c r="A20" s="161">
        <v>14</v>
      </c>
      <c r="B20" s="179"/>
      <c r="C20" s="73" t="s">
        <v>129</v>
      </c>
      <c r="D20" s="72">
        <v>38800</v>
      </c>
      <c r="E20" s="71" t="s">
        <v>150</v>
      </c>
      <c r="F20" s="71" t="s">
        <v>151</v>
      </c>
      <c r="G20" s="136">
        <v>58</v>
      </c>
      <c r="H20" s="136">
        <v>58</v>
      </c>
      <c r="I20" s="94">
        <v>5</v>
      </c>
      <c r="J20" s="98">
        <v>2962</v>
      </c>
      <c r="K20" s="129">
        <v>715</v>
      </c>
      <c r="L20" s="198">
        <v>7961</v>
      </c>
      <c r="M20" s="129">
        <v>1699</v>
      </c>
      <c r="N20" s="198">
        <v>9623</v>
      </c>
      <c r="O20" s="105">
        <v>1979</v>
      </c>
      <c r="P20" s="230">
        <f t="shared" si="3"/>
        <v>20546</v>
      </c>
      <c r="Q20" s="76">
        <f t="shared" si="3"/>
        <v>4393</v>
      </c>
      <c r="R20" s="86">
        <f>Q20/H20</f>
        <v>75.74137931034483</v>
      </c>
      <c r="S20" s="226">
        <f>P20/Q20</f>
        <v>4.676986114272706</v>
      </c>
      <c r="T20" s="98">
        <v>27145.5</v>
      </c>
      <c r="U20" s="128">
        <f t="shared" si="0"/>
        <v>-0.2431158018824483</v>
      </c>
      <c r="V20" s="130">
        <f>350945.5+222517.5+139156.5+40897.5+20546</f>
        <v>774063</v>
      </c>
      <c r="W20" s="86">
        <f>46256+31606+20219+8293+4393</f>
        <v>110767</v>
      </c>
      <c r="X20" s="209">
        <f>IF(V20&lt;&gt;0,V20/W20,"")</f>
        <v>6.988209484774346</v>
      </c>
      <c r="Y20" s="153"/>
      <c r="Z20" s="153"/>
    </row>
    <row r="21" spans="1:26" s="155" customFormat="1" ht="20.25" customHeight="1">
      <c r="A21" s="161">
        <v>15</v>
      </c>
      <c r="B21" s="179"/>
      <c r="C21" s="73" t="s">
        <v>149</v>
      </c>
      <c r="D21" s="72">
        <v>38814</v>
      </c>
      <c r="E21" s="71" t="s">
        <v>150</v>
      </c>
      <c r="F21" s="71" t="s">
        <v>151</v>
      </c>
      <c r="G21" s="136">
        <v>56</v>
      </c>
      <c r="H21" s="136">
        <v>40</v>
      </c>
      <c r="I21" s="94">
        <v>3</v>
      </c>
      <c r="J21" s="98">
        <v>3990.5</v>
      </c>
      <c r="K21" s="129">
        <v>711</v>
      </c>
      <c r="L21" s="198">
        <v>6435</v>
      </c>
      <c r="M21" s="129">
        <v>1073</v>
      </c>
      <c r="N21" s="198">
        <v>10075</v>
      </c>
      <c r="O21" s="105">
        <v>1612</v>
      </c>
      <c r="P21" s="230">
        <f t="shared" si="3"/>
        <v>20500.5</v>
      </c>
      <c r="Q21" s="76">
        <f t="shared" si="3"/>
        <v>3396</v>
      </c>
      <c r="R21" s="86">
        <f>Q21/H21</f>
        <v>84.9</v>
      </c>
      <c r="S21" s="226">
        <f>P21/Q21</f>
        <v>6.036660777385159</v>
      </c>
      <c r="T21" s="98">
        <v>64282.5</v>
      </c>
      <c r="U21" s="128">
        <f t="shared" si="0"/>
        <v>-0.6810873877027185</v>
      </c>
      <c r="V21" s="130">
        <f>217941.5+99459+20500.5</f>
        <v>337901</v>
      </c>
      <c r="W21" s="86">
        <f>30137+15034+3396</f>
        <v>48567</v>
      </c>
      <c r="X21" s="209">
        <f>IF(V21&lt;&gt;0,V21/W21,"")</f>
        <v>6.9574196470854694</v>
      </c>
      <c r="Y21" s="153"/>
      <c r="Z21" s="153"/>
    </row>
    <row r="22" spans="1:26" s="155" customFormat="1" ht="20.25" customHeight="1">
      <c r="A22" s="161">
        <v>16</v>
      </c>
      <c r="B22" s="179"/>
      <c r="C22" s="73" t="s">
        <v>105</v>
      </c>
      <c r="D22" s="72">
        <v>38793</v>
      </c>
      <c r="E22" s="71" t="s">
        <v>80</v>
      </c>
      <c r="F22" s="71" t="s">
        <v>154</v>
      </c>
      <c r="G22" s="136">
        <v>129</v>
      </c>
      <c r="H22" s="136">
        <v>47</v>
      </c>
      <c r="I22" s="94">
        <v>6</v>
      </c>
      <c r="J22" s="98">
        <v>4482</v>
      </c>
      <c r="K22" s="129">
        <v>1047</v>
      </c>
      <c r="L22" s="198">
        <v>6024</v>
      </c>
      <c r="M22" s="129">
        <v>1411</v>
      </c>
      <c r="N22" s="198">
        <v>8488</v>
      </c>
      <c r="O22" s="105">
        <v>1859</v>
      </c>
      <c r="P22" s="230">
        <f t="shared" si="3"/>
        <v>18994</v>
      </c>
      <c r="Q22" s="76">
        <f t="shared" si="3"/>
        <v>4317</v>
      </c>
      <c r="R22" s="86">
        <f>Q22/H22</f>
        <v>91.85106382978724</v>
      </c>
      <c r="S22" s="226">
        <f>P22/Q22</f>
        <v>4.399814686124624</v>
      </c>
      <c r="T22" s="130">
        <v>46595</v>
      </c>
      <c r="U22" s="128">
        <f t="shared" si="0"/>
        <v>-0.5923596952462711</v>
      </c>
      <c r="V22" s="98">
        <v>1755580</v>
      </c>
      <c r="W22" s="129">
        <v>264795</v>
      </c>
      <c r="X22" s="209">
        <f aca="true" t="shared" si="4" ref="X22:X29">V22/W22</f>
        <v>6.62995902490606</v>
      </c>
      <c r="Y22" s="153"/>
      <c r="Z22" s="153"/>
    </row>
    <row r="23" spans="1:26" s="155" customFormat="1" ht="20.25" customHeight="1">
      <c r="A23" s="161">
        <v>17</v>
      </c>
      <c r="B23" s="179"/>
      <c r="C23" s="73" t="s">
        <v>134</v>
      </c>
      <c r="D23" s="72">
        <v>38807</v>
      </c>
      <c r="E23" s="71" t="s">
        <v>80</v>
      </c>
      <c r="F23" s="71" t="s">
        <v>152</v>
      </c>
      <c r="G23" s="136">
        <v>62</v>
      </c>
      <c r="H23" s="136">
        <v>28</v>
      </c>
      <c r="I23" s="94">
        <v>4</v>
      </c>
      <c r="J23" s="98">
        <v>2443</v>
      </c>
      <c r="K23" s="129">
        <v>429</v>
      </c>
      <c r="L23" s="198">
        <v>3706</v>
      </c>
      <c r="M23" s="129">
        <v>665</v>
      </c>
      <c r="N23" s="198">
        <v>5052</v>
      </c>
      <c r="O23" s="105">
        <v>885</v>
      </c>
      <c r="P23" s="230">
        <f t="shared" si="3"/>
        <v>11201</v>
      </c>
      <c r="Q23" s="76">
        <f t="shared" si="3"/>
        <v>1979</v>
      </c>
      <c r="R23" s="86">
        <f>Q23/H23</f>
        <v>70.67857142857143</v>
      </c>
      <c r="S23" s="226">
        <f>P23/Q23</f>
        <v>5.659929257200607</v>
      </c>
      <c r="T23" s="130">
        <v>59013</v>
      </c>
      <c r="U23" s="128">
        <f t="shared" si="0"/>
        <v>-0.8101943639537051</v>
      </c>
      <c r="V23" s="98">
        <v>516952</v>
      </c>
      <c r="W23" s="129">
        <v>65209</v>
      </c>
      <c r="X23" s="209">
        <f t="shared" si="4"/>
        <v>7.927617353432808</v>
      </c>
      <c r="Y23" s="153"/>
      <c r="Z23" s="153"/>
    </row>
    <row r="24" spans="1:26" s="155" customFormat="1" ht="20.25" customHeight="1">
      <c r="A24" s="161">
        <v>18</v>
      </c>
      <c r="B24" s="179"/>
      <c r="C24" s="78" t="s">
        <v>64</v>
      </c>
      <c r="D24" s="77">
        <v>38758</v>
      </c>
      <c r="E24" s="192" t="s">
        <v>147</v>
      </c>
      <c r="F24" s="193" t="s">
        <v>159</v>
      </c>
      <c r="G24" s="156">
        <v>58</v>
      </c>
      <c r="H24" s="156">
        <v>8</v>
      </c>
      <c r="I24" s="95">
        <v>11</v>
      </c>
      <c r="J24" s="99">
        <v>2209.5</v>
      </c>
      <c r="K24" s="79">
        <v>717</v>
      </c>
      <c r="L24" s="194">
        <v>3605.5</v>
      </c>
      <c r="M24" s="79">
        <v>975</v>
      </c>
      <c r="N24" s="194">
        <v>4031.5</v>
      </c>
      <c r="O24" s="106">
        <v>1032</v>
      </c>
      <c r="P24" s="231">
        <f>J24+L24+N24</f>
        <v>9846.5</v>
      </c>
      <c r="Q24" s="79">
        <f>K24+M24+O24</f>
        <v>2724</v>
      </c>
      <c r="R24" s="86">
        <f>Q24/H24</f>
        <v>340.5</v>
      </c>
      <c r="S24" s="226">
        <f>P24/Q24</f>
        <v>3.6147209985315714</v>
      </c>
      <c r="T24" s="100">
        <v>20460</v>
      </c>
      <c r="U24" s="128">
        <f t="shared" si="0"/>
        <v>-0.5187438905180841</v>
      </c>
      <c r="V24" s="99">
        <v>3259379</v>
      </c>
      <c r="W24" s="79">
        <v>527196</v>
      </c>
      <c r="X24" s="210">
        <f t="shared" si="4"/>
        <v>6.182480519579056</v>
      </c>
      <c r="Y24" s="153"/>
      <c r="Z24" s="153"/>
    </row>
    <row r="25" spans="1:26" s="155" customFormat="1" ht="20.25" customHeight="1">
      <c r="A25" s="161">
        <v>19</v>
      </c>
      <c r="B25" s="179"/>
      <c r="C25" s="78" t="s">
        <v>210</v>
      </c>
      <c r="D25" s="72">
        <v>38828</v>
      </c>
      <c r="E25" s="193" t="s">
        <v>81</v>
      </c>
      <c r="F25" s="193" t="s">
        <v>211</v>
      </c>
      <c r="G25" s="156">
        <v>5</v>
      </c>
      <c r="H25" s="156">
        <v>5</v>
      </c>
      <c r="I25" s="95">
        <v>1</v>
      </c>
      <c r="J25" s="98">
        <v>1801</v>
      </c>
      <c r="K25" s="129">
        <v>203</v>
      </c>
      <c r="L25" s="198">
        <v>2970</v>
      </c>
      <c r="M25" s="129">
        <v>326</v>
      </c>
      <c r="N25" s="198">
        <v>4752</v>
      </c>
      <c r="O25" s="105">
        <v>529</v>
      </c>
      <c r="P25" s="230">
        <f>+J25+L25+N25</f>
        <v>9523</v>
      </c>
      <c r="Q25" s="76">
        <f>+K25+M25+O25</f>
        <v>1058</v>
      </c>
      <c r="R25" s="75">
        <f>IF(P25&lt;&gt;0,Q25/H25,"")</f>
        <v>211.6</v>
      </c>
      <c r="S25" s="127">
        <f>IF(P25&lt;&gt;0,P25/Q25,"")</f>
        <v>9.000945179584122</v>
      </c>
      <c r="T25" s="98"/>
      <c r="U25" s="128">
        <f t="shared" si="0"/>
      </c>
      <c r="V25" s="98">
        <v>9523</v>
      </c>
      <c r="W25" s="129">
        <v>1058</v>
      </c>
      <c r="X25" s="209">
        <f t="shared" si="4"/>
        <v>9.000945179584122</v>
      </c>
      <c r="Y25" s="153"/>
      <c r="Z25" s="153"/>
    </row>
    <row r="26" spans="1:26" s="155" customFormat="1" ht="20.25" customHeight="1">
      <c r="A26" s="161">
        <v>20</v>
      </c>
      <c r="B26" s="179"/>
      <c r="C26" s="81" t="s">
        <v>137</v>
      </c>
      <c r="D26" s="77">
        <v>38793</v>
      </c>
      <c r="E26" s="192" t="s">
        <v>147</v>
      </c>
      <c r="F26" s="193" t="s">
        <v>162</v>
      </c>
      <c r="G26" s="156">
        <v>50</v>
      </c>
      <c r="H26" s="156">
        <v>16</v>
      </c>
      <c r="I26" s="95">
        <v>6</v>
      </c>
      <c r="J26" s="99">
        <v>2329.5</v>
      </c>
      <c r="K26" s="79">
        <v>927</v>
      </c>
      <c r="L26" s="194">
        <v>2389.5</v>
      </c>
      <c r="M26" s="79">
        <v>957</v>
      </c>
      <c r="N26" s="194">
        <v>3144.5</v>
      </c>
      <c r="O26" s="106">
        <v>1068</v>
      </c>
      <c r="P26" s="231">
        <f aca="true" t="shared" si="5" ref="P26:Q28">J26+L26+N26</f>
        <v>7863.5</v>
      </c>
      <c r="Q26" s="79">
        <f t="shared" si="5"/>
        <v>2952</v>
      </c>
      <c r="R26" s="86">
        <f>Q26/H26</f>
        <v>184.5</v>
      </c>
      <c r="S26" s="226">
        <f>P26/Q26</f>
        <v>2.6637872628726287</v>
      </c>
      <c r="T26" s="100">
        <v>10689.5</v>
      </c>
      <c r="U26" s="128">
        <f t="shared" si="0"/>
        <v>-0.2643715795874456</v>
      </c>
      <c r="V26" s="100">
        <v>412558.5</v>
      </c>
      <c r="W26" s="86">
        <v>58296</v>
      </c>
      <c r="X26" s="210">
        <f t="shared" si="4"/>
        <v>7.07696068340881</v>
      </c>
      <c r="Y26" s="153"/>
      <c r="Z26" s="153"/>
    </row>
    <row r="27" spans="1:26" s="155" customFormat="1" ht="20.25" customHeight="1">
      <c r="A27" s="161">
        <v>21</v>
      </c>
      <c r="B27" s="179"/>
      <c r="C27" s="84" t="s">
        <v>138</v>
      </c>
      <c r="D27" s="85">
        <v>38744</v>
      </c>
      <c r="E27" s="199" t="s">
        <v>94</v>
      </c>
      <c r="F27" s="200" t="s">
        <v>230</v>
      </c>
      <c r="G27" s="150">
        <v>7</v>
      </c>
      <c r="H27" s="150">
        <v>7</v>
      </c>
      <c r="I27" s="96">
        <v>11</v>
      </c>
      <c r="J27" s="100">
        <v>1191.5</v>
      </c>
      <c r="K27" s="86">
        <v>160</v>
      </c>
      <c r="L27" s="195">
        <v>2483.5</v>
      </c>
      <c r="M27" s="86">
        <v>342</v>
      </c>
      <c r="N27" s="195">
        <v>3638.5</v>
      </c>
      <c r="O27" s="108">
        <v>485</v>
      </c>
      <c r="P27" s="232">
        <f t="shared" si="5"/>
        <v>7313.5</v>
      </c>
      <c r="Q27" s="86">
        <f t="shared" si="5"/>
        <v>987</v>
      </c>
      <c r="R27" s="86">
        <f>Q27/H27</f>
        <v>141</v>
      </c>
      <c r="S27" s="226">
        <f>P27/Q27</f>
        <v>7.409827760891591</v>
      </c>
      <c r="T27" s="100">
        <v>2032</v>
      </c>
      <c r="U27" s="128">
        <f t="shared" si="0"/>
        <v>2.5991633858267718</v>
      </c>
      <c r="V27" s="100">
        <v>56413.5</v>
      </c>
      <c r="W27" s="86">
        <v>8498</v>
      </c>
      <c r="X27" s="210">
        <f t="shared" si="4"/>
        <v>6.6384443398446695</v>
      </c>
      <c r="Y27" s="153"/>
      <c r="Z27" s="153"/>
    </row>
    <row r="28" spans="1:26" s="155" customFormat="1" ht="20.25" customHeight="1">
      <c r="A28" s="161">
        <v>22</v>
      </c>
      <c r="B28" s="179"/>
      <c r="C28" s="78" t="s">
        <v>63</v>
      </c>
      <c r="D28" s="77">
        <v>38674</v>
      </c>
      <c r="E28" s="192" t="s">
        <v>147</v>
      </c>
      <c r="F28" s="193" t="s">
        <v>158</v>
      </c>
      <c r="G28" s="156">
        <v>72</v>
      </c>
      <c r="H28" s="156">
        <v>9</v>
      </c>
      <c r="I28" s="95">
        <v>23</v>
      </c>
      <c r="J28" s="99">
        <v>2213</v>
      </c>
      <c r="K28" s="79">
        <v>853</v>
      </c>
      <c r="L28" s="194">
        <v>2609.5</v>
      </c>
      <c r="M28" s="79">
        <v>942</v>
      </c>
      <c r="N28" s="194">
        <v>2323</v>
      </c>
      <c r="O28" s="106">
        <v>685</v>
      </c>
      <c r="P28" s="231">
        <f t="shared" si="5"/>
        <v>7145.5</v>
      </c>
      <c r="Q28" s="79">
        <f t="shared" si="5"/>
        <v>2480</v>
      </c>
      <c r="R28" s="86">
        <f>Q28/H28</f>
        <v>275.55555555555554</v>
      </c>
      <c r="S28" s="226">
        <f>P28/Q28</f>
        <v>2.88125</v>
      </c>
      <c r="T28" s="100">
        <v>14672</v>
      </c>
      <c r="U28" s="128">
        <f t="shared" si="0"/>
        <v>-0.5129839149400218</v>
      </c>
      <c r="V28" s="99">
        <v>25018397.5</v>
      </c>
      <c r="W28" s="79">
        <v>3712881</v>
      </c>
      <c r="X28" s="210">
        <f t="shared" si="4"/>
        <v>6.73827076601701</v>
      </c>
      <c r="Y28" s="153"/>
      <c r="Z28" s="153"/>
    </row>
    <row r="29" spans="1:24" s="158" customFormat="1" ht="20.25" customHeight="1">
      <c r="A29" s="161">
        <v>23</v>
      </c>
      <c r="B29" s="180"/>
      <c r="C29" s="73" t="s">
        <v>66</v>
      </c>
      <c r="D29" s="72">
        <v>38779</v>
      </c>
      <c r="E29" s="71" t="s">
        <v>80</v>
      </c>
      <c r="F29" s="71" t="s">
        <v>152</v>
      </c>
      <c r="G29" s="136">
        <v>72</v>
      </c>
      <c r="H29" s="136">
        <v>22</v>
      </c>
      <c r="I29" s="94">
        <v>8</v>
      </c>
      <c r="J29" s="98">
        <v>1502</v>
      </c>
      <c r="K29" s="129">
        <v>380</v>
      </c>
      <c r="L29" s="198">
        <v>2325</v>
      </c>
      <c r="M29" s="129">
        <v>508</v>
      </c>
      <c r="N29" s="198">
        <v>3066</v>
      </c>
      <c r="O29" s="105">
        <v>680</v>
      </c>
      <c r="P29" s="230">
        <f>+J29+L29+N29</f>
        <v>6893</v>
      </c>
      <c r="Q29" s="76">
        <f>+K29+M29+O29</f>
        <v>1568</v>
      </c>
      <c r="R29" s="86">
        <f>Q29/H29</f>
        <v>71.27272727272727</v>
      </c>
      <c r="S29" s="226">
        <f>P29/Q29</f>
        <v>4.396045918367347</v>
      </c>
      <c r="T29" s="130">
        <v>2821</v>
      </c>
      <c r="U29" s="128">
        <f t="shared" si="0"/>
        <v>1.4434597660404112</v>
      </c>
      <c r="V29" s="98">
        <v>945184</v>
      </c>
      <c r="W29" s="129">
        <v>137540</v>
      </c>
      <c r="X29" s="209">
        <f t="shared" si="4"/>
        <v>6.872066307983133</v>
      </c>
    </row>
    <row r="30" spans="1:24" s="158" customFormat="1" ht="20.25" customHeight="1">
      <c r="A30" s="161">
        <v>24</v>
      </c>
      <c r="B30" s="180"/>
      <c r="C30" s="78" t="s">
        <v>61</v>
      </c>
      <c r="D30" s="77">
        <v>38751</v>
      </c>
      <c r="E30" s="193" t="s">
        <v>77</v>
      </c>
      <c r="F30" s="193" t="s">
        <v>160</v>
      </c>
      <c r="G30" s="156">
        <v>277</v>
      </c>
      <c r="H30" s="156">
        <v>13</v>
      </c>
      <c r="I30" s="95">
        <v>12</v>
      </c>
      <c r="J30" s="99">
        <v>1573</v>
      </c>
      <c r="K30" s="79">
        <v>964</v>
      </c>
      <c r="L30" s="194">
        <v>1823</v>
      </c>
      <c r="M30" s="79">
        <v>1041</v>
      </c>
      <c r="N30" s="194">
        <v>2914</v>
      </c>
      <c r="O30" s="106">
        <v>1382</v>
      </c>
      <c r="P30" s="231">
        <f>+N30+L30+J30</f>
        <v>6310</v>
      </c>
      <c r="Q30" s="79">
        <f>+O30+M30+K30</f>
        <v>3387</v>
      </c>
      <c r="R30" s="86">
        <f>Q30/H30</f>
        <v>260.53846153846155</v>
      </c>
      <c r="S30" s="226">
        <f>P30/Q30</f>
        <v>1.8630056096840861</v>
      </c>
      <c r="T30" s="99">
        <v>6927</v>
      </c>
      <c r="U30" s="128">
        <f t="shared" si="0"/>
        <v>-0.08907174823155767</v>
      </c>
      <c r="V30" s="99">
        <v>27392708</v>
      </c>
      <c r="W30" s="79">
        <v>4231681.666666667</v>
      </c>
      <c r="X30" s="211">
        <f>+V30/W30</f>
        <v>6.473244009769165</v>
      </c>
    </row>
    <row r="31" spans="1:24" s="158" customFormat="1" ht="20.25" customHeight="1">
      <c r="A31" s="161">
        <v>25</v>
      </c>
      <c r="B31" s="180"/>
      <c r="C31" s="73" t="s">
        <v>106</v>
      </c>
      <c r="D31" s="72">
        <v>38793</v>
      </c>
      <c r="E31" s="197" t="s">
        <v>76</v>
      </c>
      <c r="F31" s="71" t="s">
        <v>79</v>
      </c>
      <c r="G31" s="136">
        <v>20</v>
      </c>
      <c r="H31" s="136">
        <v>12</v>
      </c>
      <c r="I31" s="94">
        <v>6</v>
      </c>
      <c r="J31" s="98">
        <v>1372.5</v>
      </c>
      <c r="K31" s="129">
        <v>355</v>
      </c>
      <c r="L31" s="198">
        <v>1676</v>
      </c>
      <c r="M31" s="129">
        <v>421</v>
      </c>
      <c r="N31" s="198">
        <v>2568</v>
      </c>
      <c r="O31" s="105">
        <v>574</v>
      </c>
      <c r="P31" s="230">
        <f>+J31+L31+N31</f>
        <v>5616.5</v>
      </c>
      <c r="Q31" s="76">
        <f>+K31+M31+O31</f>
        <v>1350</v>
      </c>
      <c r="R31" s="75">
        <f>IF(P31&lt;&gt;0,Q31/H31,"")</f>
        <v>112.5</v>
      </c>
      <c r="S31" s="127">
        <f>IF(P31&lt;&gt;0,P31/Q31,"")</f>
        <v>4.16037037037037</v>
      </c>
      <c r="T31" s="98">
        <v>8905.5</v>
      </c>
      <c r="U31" s="128">
        <f t="shared" si="0"/>
        <v>-0.3693223288978721</v>
      </c>
      <c r="V31" s="98">
        <v>720666.75</v>
      </c>
      <c r="W31" s="129">
        <v>89439</v>
      </c>
      <c r="X31" s="209">
        <f aca="true" t="shared" si="6" ref="X31:X36">V31/W31</f>
        <v>8.057634253513568</v>
      </c>
    </row>
    <row r="32" spans="1:24" s="158" customFormat="1" ht="20.25" customHeight="1">
      <c r="A32" s="161">
        <v>26</v>
      </c>
      <c r="B32" s="180"/>
      <c r="C32" s="84" t="s">
        <v>212</v>
      </c>
      <c r="D32" s="85">
        <v>38828</v>
      </c>
      <c r="E32" s="199" t="s">
        <v>94</v>
      </c>
      <c r="F32" s="200" t="s">
        <v>213</v>
      </c>
      <c r="G32" s="150">
        <v>6</v>
      </c>
      <c r="H32" s="150">
        <v>6</v>
      </c>
      <c r="I32" s="96">
        <v>1</v>
      </c>
      <c r="J32" s="100">
        <v>1266.5</v>
      </c>
      <c r="K32" s="86">
        <v>145</v>
      </c>
      <c r="L32" s="195">
        <v>1753</v>
      </c>
      <c r="M32" s="86">
        <v>199</v>
      </c>
      <c r="N32" s="195">
        <v>2553</v>
      </c>
      <c r="O32" s="108">
        <v>281</v>
      </c>
      <c r="P32" s="232">
        <f>J32+L32+N32</f>
        <v>5572.5</v>
      </c>
      <c r="Q32" s="86">
        <f>K32+M32+O32</f>
        <v>625</v>
      </c>
      <c r="R32" s="86">
        <f>Q32/H32</f>
        <v>104.16666666666667</v>
      </c>
      <c r="S32" s="226">
        <f>P32/Q32</f>
        <v>8.916</v>
      </c>
      <c r="T32" s="100"/>
      <c r="U32" s="128">
        <f t="shared" si="0"/>
      </c>
      <c r="V32" s="100">
        <v>5572.5</v>
      </c>
      <c r="W32" s="86">
        <v>625</v>
      </c>
      <c r="X32" s="210">
        <f t="shared" si="6"/>
        <v>8.916</v>
      </c>
    </row>
    <row r="33" spans="1:26" s="155" customFormat="1" ht="20.25" customHeight="1">
      <c r="A33" s="161">
        <v>27</v>
      </c>
      <c r="B33" s="179"/>
      <c r="C33" s="78" t="s">
        <v>135</v>
      </c>
      <c r="D33" s="77">
        <v>38807</v>
      </c>
      <c r="E33" s="192" t="s">
        <v>147</v>
      </c>
      <c r="F33" s="193" t="s">
        <v>148</v>
      </c>
      <c r="G33" s="156">
        <v>20</v>
      </c>
      <c r="H33" s="156">
        <v>20</v>
      </c>
      <c r="I33" s="95">
        <v>4</v>
      </c>
      <c r="J33" s="99">
        <v>1341</v>
      </c>
      <c r="K33" s="79">
        <v>251</v>
      </c>
      <c r="L33" s="194">
        <v>1698</v>
      </c>
      <c r="M33" s="79">
        <v>340</v>
      </c>
      <c r="N33" s="194">
        <v>2366</v>
      </c>
      <c r="O33" s="106">
        <v>449</v>
      </c>
      <c r="P33" s="231">
        <f>J33+L33+N33</f>
        <v>5405</v>
      </c>
      <c r="Q33" s="79">
        <f>K33+M33+O33</f>
        <v>1040</v>
      </c>
      <c r="R33" s="86">
        <f>Q33/H33</f>
        <v>52</v>
      </c>
      <c r="S33" s="226">
        <f>P33/Q33</f>
        <v>5.197115384615385</v>
      </c>
      <c r="T33" s="100">
        <v>11307</v>
      </c>
      <c r="U33" s="128">
        <f t="shared" si="0"/>
        <v>-0.5219775360396215</v>
      </c>
      <c r="V33" s="99">
        <v>159450</v>
      </c>
      <c r="W33" s="79">
        <v>19729</v>
      </c>
      <c r="X33" s="210">
        <f t="shared" si="6"/>
        <v>8.082011252470982</v>
      </c>
      <c r="Y33" s="153"/>
      <c r="Z33" s="153"/>
    </row>
    <row r="34" spans="1:26" s="155" customFormat="1" ht="20.25" customHeight="1">
      <c r="A34" s="161">
        <v>28</v>
      </c>
      <c r="B34" s="179"/>
      <c r="C34" s="73" t="s">
        <v>67</v>
      </c>
      <c r="D34" s="72">
        <v>38772</v>
      </c>
      <c r="E34" s="71" t="s">
        <v>80</v>
      </c>
      <c r="F34" s="71" t="s">
        <v>169</v>
      </c>
      <c r="G34" s="136">
        <v>62</v>
      </c>
      <c r="H34" s="136">
        <v>6</v>
      </c>
      <c r="I34" s="94">
        <v>9</v>
      </c>
      <c r="J34" s="98">
        <v>426</v>
      </c>
      <c r="K34" s="129">
        <v>83</v>
      </c>
      <c r="L34" s="198">
        <v>1385</v>
      </c>
      <c r="M34" s="129">
        <v>271</v>
      </c>
      <c r="N34" s="198">
        <v>2560</v>
      </c>
      <c r="O34" s="105">
        <v>489</v>
      </c>
      <c r="P34" s="230">
        <f>+J34+L34+N34</f>
        <v>4371</v>
      </c>
      <c r="Q34" s="76">
        <f>+K34+M34+O34</f>
        <v>843</v>
      </c>
      <c r="R34" s="86">
        <f>Q34/H34</f>
        <v>140.5</v>
      </c>
      <c r="S34" s="226">
        <f>P34/Q34</f>
        <v>5.185053380782918</v>
      </c>
      <c r="T34" s="98">
        <v>1279</v>
      </c>
      <c r="U34" s="128">
        <f t="shared" si="0"/>
        <v>2.4175136825645036</v>
      </c>
      <c r="V34" s="98">
        <v>812783</v>
      </c>
      <c r="W34" s="129">
        <v>105984</v>
      </c>
      <c r="X34" s="209">
        <f t="shared" si="6"/>
        <v>7.668921724033816</v>
      </c>
      <c r="Y34" s="153"/>
      <c r="Z34" s="153"/>
    </row>
    <row r="35" spans="1:26" s="155" customFormat="1" ht="20.25" customHeight="1">
      <c r="A35" s="161">
        <v>29</v>
      </c>
      <c r="B35" s="179"/>
      <c r="C35" s="73" t="s">
        <v>60</v>
      </c>
      <c r="D35" s="72">
        <v>38786</v>
      </c>
      <c r="E35" s="197" t="s">
        <v>76</v>
      </c>
      <c r="F35" s="71" t="s">
        <v>161</v>
      </c>
      <c r="G35" s="136">
        <v>36</v>
      </c>
      <c r="H35" s="136">
        <v>9</v>
      </c>
      <c r="I35" s="94">
        <v>7</v>
      </c>
      <c r="J35" s="98">
        <v>822</v>
      </c>
      <c r="K35" s="129">
        <v>184</v>
      </c>
      <c r="L35" s="198">
        <v>1334.5</v>
      </c>
      <c r="M35" s="129">
        <v>305</v>
      </c>
      <c r="N35" s="198">
        <v>2009.5</v>
      </c>
      <c r="O35" s="105">
        <v>436</v>
      </c>
      <c r="P35" s="230">
        <f>+J35+L35+N35</f>
        <v>4166</v>
      </c>
      <c r="Q35" s="76">
        <f>+K35+M35+O35</f>
        <v>925</v>
      </c>
      <c r="R35" s="75">
        <f>IF(P35&lt;&gt;0,Q35/H35,"")</f>
        <v>102.77777777777777</v>
      </c>
      <c r="S35" s="127">
        <f>IF(P35&lt;&gt;0,P35/Q35,"")</f>
        <v>4.503783783783784</v>
      </c>
      <c r="T35" s="98">
        <v>9886</v>
      </c>
      <c r="U35" s="128">
        <f t="shared" si="0"/>
        <v>-0.5785959943354239</v>
      </c>
      <c r="V35" s="98">
        <v>1594414.5</v>
      </c>
      <c r="W35" s="129">
        <v>227847</v>
      </c>
      <c r="X35" s="209">
        <f t="shared" si="6"/>
        <v>6.9977419057525445</v>
      </c>
      <c r="Y35" s="153"/>
      <c r="Z35" s="153"/>
    </row>
    <row r="36" spans="1:26" s="155" customFormat="1" ht="20.25" customHeight="1">
      <c r="A36" s="161">
        <v>30</v>
      </c>
      <c r="B36" s="179"/>
      <c r="C36" s="84" t="s">
        <v>156</v>
      </c>
      <c r="D36" s="85">
        <v>38814</v>
      </c>
      <c r="E36" s="199" t="s">
        <v>94</v>
      </c>
      <c r="F36" s="200" t="s">
        <v>157</v>
      </c>
      <c r="G36" s="150">
        <v>14</v>
      </c>
      <c r="H36" s="150">
        <v>10</v>
      </c>
      <c r="I36" s="96">
        <v>3</v>
      </c>
      <c r="J36" s="100">
        <v>1008.5</v>
      </c>
      <c r="K36" s="86">
        <v>178</v>
      </c>
      <c r="L36" s="195">
        <v>1105.5</v>
      </c>
      <c r="M36" s="86">
        <v>170</v>
      </c>
      <c r="N36" s="195">
        <v>1495</v>
      </c>
      <c r="O36" s="108">
        <v>233</v>
      </c>
      <c r="P36" s="232">
        <f>J36+L36+N36</f>
        <v>3609</v>
      </c>
      <c r="Q36" s="86">
        <f>K36+M36+O36</f>
        <v>581</v>
      </c>
      <c r="R36" s="86">
        <f>Q36/H36</f>
        <v>58.1</v>
      </c>
      <c r="S36" s="226">
        <f>P36/Q36</f>
        <v>6.211703958691911</v>
      </c>
      <c r="T36" s="100">
        <v>8058</v>
      </c>
      <c r="U36" s="128">
        <f t="shared" si="0"/>
        <v>-0.5521221146686522</v>
      </c>
      <c r="V36" s="100">
        <v>59998</v>
      </c>
      <c r="W36" s="86">
        <v>7022</v>
      </c>
      <c r="X36" s="210">
        <f t="shared" si="6"/>
        <v>8.544289376246084</v>
      </c>
      <c r="Y36" s="153"/>
      <c r="Z36" s="153"/>
    </row>
    <row r="37" spans="1:26" s="155" customFormat="1" ht="20.25" customHeight="1">
      <c r="A37" s="161">
        <v>31</v>
      </c>
      <c r="B37" s="179"/>
      <c r="C37" s="78" t="s">
        <v>108</v>
      </c>
      <c r="D37" s="77">
        <v>38793</v>
      </c>
      <c r="E37" s="193" t="s">
        <v>77</v>
      </c>
      <c r="F37" s="193" t="s">
        <v>164</v>
      </c>
      <c r="G37" s="156">
        <v>33</v>
      </c>
      <c r="H37" s="156">
        <v>18</v>
      </c>
      <c r="I37" s="95">
        <v>6</v>
      </c>
      <c r="J37" s="99">
        <v>752</v>
      </c>
      <c r="K37" s="79">
        <v>204</v>
      </c>
      <c r="L37" s="194">
        <v>1092</v>
      </c>
      <c r="M37" s="79">
        <v>281</v>
      </c>
      <c r="N37" s="194">
        <v>1612</v>
      </c>
      <c r="O37" s="106">
        <v>408</v>
      </c>
      <c r="P37" s="231">
        <f>+N37+L37+J37</f>
        <v>3456</v>
      </c>
      <c r="Q37" s="79">
        <f>+O37+M37+K37</f>
        <v>893</v>
      </c>
      <c r="R37" s="86">
        <f>Q37/H37</f>
        <v>49.611111111111114</v>
      </c>
      <c r="S37" s="226">
        <f>P37/Q37</f>
        <v>3.8701007838745802</v>
      </c>
      <c r="T37" s="99">
        <v>8058</v>
      </c>
      <c r="U37" s="128">
        <f t="shared" si="0"/>
        <v>-0.5711094564408041</v>
      </c>
      <c r="V37" s="99">
        <v>132060</v>
      </c>
      <c r="W37" s="79">
        <v>20246</v>
      </c>
      <c r="X37" s="211">
        <f>+V37/W37</f>
        <v>6.522769929862689</v>
      </c>
      <c r="Y37" s="153"/>
      <c r="Z37" s="153"/>
    </row>
    <row r="38" spans="1:26" s="155" customFormat="1" ht="20.25" customHeight="1">
      <c r="A38" s="161">
        <v>32</v>
      </c>
      <c r="B38" s="179"/>
      <c r="C38" s="84" t="s">
        <v>141</v>
      </c>
      <c r="D38" s="85">
        <v>38779</v>
      </c>
      <c r="E38" s="199" t="s">
        <v>94</v>
      </c>
      <c r="F38" s="200" t="s">
        <v>231</v>
      </c>
      <c r="G38" s="150">
        <v>10</v>
      </c>
      <c r="H38" s="150">
        <v>6</v>
      </c>
      <c r="I38" s="96">
        <v>8</v>
      </c>
      <c r="J38" s="100">
        <v>320</v>
      </c>
      <c r="K38" s="86">
        <v>90</v>
      </c>
      <c r="L38" s="195">
        <v>1901.5</v>
      </c>
      <c r="M38" s="86">
        <v>529</v>
      </c>
      <c r="N38" s="195">
        <v>1093</v>
      </c>
      <c r="O38" s="108">
        <v>257</v>
      </c>
      <c r="P38" s="232">
        <f>J38+L38+N38</f>
        <v>3314.5</v>
      </c>
      <c r="Q38" s="86">
        <f>K38+M38+O38</f>
        <v>876</v>
      </c>
      <c r="R38" s="86">
        <f>Q38/H38</f>
        <v>146</v>
      </c>
      <c r="S38" s="226">
        <f>P38/Q38</f>
        <v>3.7836757990867578</v>
      </c>
      <c r="T38" s="100">
        <v>486</v>
      </c>
      <c r="U38" s="128">
        <f t="shared" si="0"/>
        <v>5.8199588477366255</v>
      </c>
      <c r="V38" s="100">
        <v>38407</v>
      </c>
      <c r="W38" s="86">
        <v>6417</v>
      </c>
      <c r="X38" s="210">
        <f>V38/W38</f>
        <v>5.985195574255883</v>
      </c>
      <c r="Y38" s="153"/>
      <c r="Z38" s="153"/>
    </row>
    <row r="39" spans="1:26" s="155" customFormat="1" ht="20.25" customHeight="1">
      <c r="A39" s="161">
        <v>33</v>
      </c>
      <c r="B39" s="179"/>
      <c r="C39" s="78" t="s">
        <v>121</v>
      </c>
      <c r="D39" s="77">
        <v>38786</v>
      </c>
      <c r="E39" s="193" t="s">
        <v>214</v>
      </c>
      <c r="F39" s="193" t="s">
        <v>180</v>
      </c>
      <c r="G39" s="156">
        <v>7</v>
      </c>
      <c r="H39" s="156">
        <v>3</v>
      </c>
      <c r="I39" s="95">
        <v>7</v>
      </c>
      <c r="J39" s="222">
        <v>1947</v>
      </c>
      <c r="K39" s="202">
        <v>373</v>
      </c>
      <c r="L39" s="201">
        <v>573</v>
      </c>
      <c r="M39" s="202">
        <v>175</v>
      </c>
      <c r="N39" s="201">
        <v>637</v>
      </c>
      <c r="O39" s="223">
        <v>184</v>
      </c>
      <c r="P39" s="233">
        <v>3157</v>
      </c>
      <c r="Q39" s="202">
        <v>732</v>
      </c>
      <c r="R39" s="86">
        <f>Q39/H39</f>
        <v>244</v>
      </c>
      <c r="S39" s="226">
        <f>P39/Q39</f>
        <v>4.312841530054645</v>
      </c>
      <c r="T39" s="222">
        <v>305</v>
      </c>
      <c r="U39" s="128">
        <f aca="true" t="shared" si="7" ref="U39:U70">IF(T39&lt;&gt;0,-(T39-P39)/T39,"")</f>
        <v>9.350819672131147</v>
      </c>
      <c r="V39" s="222">
        <v>20399.5</v>
      </c>
      <c r="W39" s="202">
        <v>3365</v>
      </c>
      <c r="X39" s="209">
        <f>+S39</f>
        <v>4.312841530054645</v>
      </c>
      <c r="Y39" s="153"/>
      <c r="Z39" s="153"/>
    </row>
    <row r="40" spans="1:26" s="155" customFormat="1" ht="20.25" customHeight="1">
      <c r="A40" s="161">
        <v>34</v>
      </c>
      <c r="B40" s="179"/>
      <c r="C40" s="78" t="s">
        <v>69</v>
      </c>
      <c r="D40" s="77">
        <v>38786</v>
      </c>
      <c r="E40" s="192" t="s">
        <v>147</v>
      </c>
      <c r="F40" s="193" t="s">
        <v>165</v>
      </c>
      <c r="G40" s="156">
        <v>30</v>
      </c>
      <c r="H40" s="156">
        <v>7</v>
      </c>
      <c r="I40" s="95">
        <v>7</v>
      </c>
      <c r="J40" s="99">
        <v>695</v>
      </c>
      <c r="K40" s="79">
        <v>155</v>
      </c>
      <c r="L40" s="194">
        <v>986.5</v>
      </c>
      <c r="M40" s="79">
        <v>217</v>
      </c>
      <c r="N40" s="194">
        <v>1271.5</v>
      </c>
      <c r="O40" s="106">
        <v>281</v>
      </c>
      <c r="P40" s="231">
        <f>J40+L40+N40</f>
        <v>2953</v>
      </c>
      <c r="Q40" s="79">
        <f>K40+M40+O40</f>
        <v>653</v>
      </c>
      <c r="R40" s="86">
        <f>Q40/H40</f>
        <v>93.28571428571429</v>
      </c>
      <c r="S40" s="226">
        <f>P40/Q40</f>
        <v>4.522205206738132</v>
      </c>
      <c r="T40" s="100">
        <v>1723</v>
      </c>
      <c r="U40" s="128">
        <f t="shared" si="7"/>
        <v>0.7138711549622752</v>
      </c>
      <c r="V40" s="99">
        <v>187745.5</v>
      </c>
      <c r="W40" s="79">
        <v>28146</v>
      </c>
      <c r="X40" s="210">
        <f>V40/W40</f>
        <v>6.670414979037874</v>
      </c>
      <c r="Y40" s="153"/>
      <c r="Z40" s="153"/>
    </row>
    <row r="41" spans="1:25" s="155" customFormat="1" ht="20.25" customHeight="1">
      <c r="A41" s="161">
        <v>35</v>
      </c>
      <c r="B41" s="179"/>
      <c r="C41" s="78" t="s">
        <v>109</v>
      </c>
      <c r="D41" s="72">
        <v>38793</v>
      </c>
      <c r="E41" s="193" t="s">
        <v>166</v>
      </c>
      <c r="F41" s="193" t="s">
        <v>167</v>
      </c>
      <c r="G41" s="156">
        <v>4</v>
      </c>
      <c r="H41" s="156">
        <v>4</v>
      </c>
      <c r="I41" s="95">
        <v>6</v>
      </c>
      <c r="J41" s="98">
        <v>657.5</v>
      </c>
      <c r="K41" s="129">
        <v>95</v>
      </c>
      <c r="L41" s="198">
        <v>814</v>
      </c>
      <c r="M41" s="129">
        <v>122</v>
      </c>
      <c r="N41" s="198">
        <v>963.5</v>
      </c>
      <c r="O41" s="105">
        <v>144</v>
      </c>
      <c r="P41" s="230">
        <f>+J41+L41+N41</f>
        <v>2435</v>
      </c>
      <c r="Q41" s="76">
        <f>+K41+M41+O41</f>
        <v>361</v>
      </c>
      <c r="R41" s="75">
        <f>IF(P41&lt;&gt;0,Q41/H41,"")</f>
        <v>90.25</v>
      </c>
      <c r="S41" s="127">
        <f>IF(P41&lt;&gt;0,P41/Q41,"")</f>
        <v>6.745152354570637</v>
      </c>
      <c r="T41" s="98">
        <v>2961.5</v>
      </c>
      <c r="U41" s="128">
        <f t="shared" si="7"/>
        <v>-0.17778152963025493</v>
      </c>
      <c r="V41" s="98">
        <v>92782</v>
      </c>
      <c r="W41" s="129">
        <v>10583</v>
      </c>
      <c r="X41" s="209">
        <f>V41/W41</f>
        <v>8.767079278087499</v>
      </c>
      <c r="Y41" s="153"/>
    </row>
    <row r="42" spans="1:27" s="155" customFormat="1" ht="20.25" customHeight="1">
      <c r="A42" s="161">
        <v>36</v>
      </c>
      <c r="B42" s="179"/>
      <c r="C42" s="73" t="s">
        <v>215</v>
      </c>
      <c r="D42" s="72">
        <v>38576</v>
      </c>
      <c r="E42" s="197" t="s">
        <v>76</v>
      </c>
      <c r="F42" s="71" t="s">
        <v>79</v>
      </c>
      <c r="G42" s="136">
        <v>79</v>
      </c>
      <c r="H42" s="136">
        <v>1</v>
      </c>
      <c r="I42" s="94">
        <v>20</v>
      </c>
      <c r="J42" s="98">
        <v>0</v>
      </c>
      <c r="K42" s="129">
        <v>0</v>
      </c>
      <c r="L42" s="198">
        <v>1188</v>
      </c>
      <c r="M42" s="129">
        <v>237</v>
      </c>
      <c r="N42" s="198">
        <v>1188</v>
      </c>
      <c r="O42" s="105">
        <v>237</v>
      </c>
      <c r="P42" s="230">
        <f>+J42+L42+N42</f>
        <v>2376</v>
      </c>
      <c r="Q42" s="76">
        <f>+K42+M42+O42</f>
        <v>474</v>
      </c>
      <c r="R42" s="75">
        <f>IF(P42&lt;&gt;0,Q42/H42,"")</f>
        <v>474</v>
      </c>
      <c r="S42" s="127">
        <f>IF(P42&lt;&gt;0,P42/Q42,"")</f>
        <v>5.012658227848101</v>
      </c>
      <c r="T42" s="98"/>
      <c r="U42" s="128">
        <f t="shared" si="7"/>
      </c>
      <c r="V42" s="98">
        <f>1201365.75+2376</f>
        <v>1203741.75</v>
      </c>
      <c r="W42" s="129">
        <f>169972+474</f>
        <v>170446</v>
      </c>
      <c r="X42" s="209">
        <f>V42/W42</f>
        <v>7.0623056569236</v>
      </c>
      <c r="Y42" s="153"/>
      <c r="AA42" s="153"/>
    </row>
    <row r="43" spans="1:27" s="154" customFormat="1" ht="20.25" customHeight="1">
      <c r="A43" s="161">
        <v>37</v>
      </c>
      <c r="B43" s="179"/>
      <c r="C43" s="78" t="s">
        <v>62</v>
      </c>
      <c r="D43" s="77">
        <v>38765</v>
      </c>
      <c r="E43" s="193" t="s">
        <v>77</v>
      </c>
      <c r="F43" s="193" t="s">
        <v>163</v>
      </c>
      <c r="G43" s="156">
        <v>164</v>
      </c>
      <c r="H43" s="156">
        <v>6</v>
      </c>
      <c r="I43" s="95">
        <v>10</v>
      </c>
      <c r="J43" s="99">
        <v>700</v>
      </c>
      <c r="K43" s="79">
        <v>541</v>
      </c>
      <c r="L43" s="194">
        <v>770.5</v>
      </c>
      <c r="M43" s="79">
        <v>563</v>
      </c>
      <c r="N43" s="194">
        <v>881.5</v>
      </c>
      <c r="O43" s="106">
        <v>566</v>
      </c>
      <c r="P43" s="231">
        <f>+N43+L43+J43</f>
        <v>2352</v>
      </c>
      <c r="Q43" s="79">
        <f>+O43+M43+K43</f>
        <v>1670</v>
      </c>
      <c r="R43" s="86">
        <f>Q43/H43</f>
        <v>278.3333333333333</v>
      </c>
      <c r="S43" s="226">
        <f>P43/Q43</f>
        <v>1.408383233532934</v>
      </c>
      <c r="T43" s="99">
        <v>4366</v>
      </c>
      <c r="U43" s="128">
        <f t="shared" si="7"/>
        <v>-0.4612918002748511</v>
      </c>
      <c r="V43" s="99">
        <v>4195912</v>
      </c>
      <c r="W43" s="79">
        <v>632126</v>
      </c>
      <c r="X43" s="211">
        <f>+V43/W43</f>
        <v>6.637777911365772</v>
      </c>
      <c r="Y43" s="153"/>
      <c r="AA43" s="153"/>
    </row>
    <row r="44" spans="1:25" s="154" customFormat="1" ht="20.25" customHeight="1">
      <c r="A44" s="161">
        <v>38</v>
      </c>
      <c r="B44" s="179"/>
      <c r="C44" s="73" t="s">
        <v>130</v>
      </c>
      <c r="D44" s="72">
        <v>38793</v>
      </c>
      <c r="E44" s="71" t="s">
        <v>150</v>
      </c>
      <c r="F44" s="71" t="s">
        <v>168</v>
      </c>
      <c r="G44" s="136">
        <v>71</v>
      </c>
      <c r="H44" s="136">
        <v>7</v>
      </c>
      <c r="I44" s="94">
        <v>6</v>
      </c>
      <c r="J44" s="98">
        <v>413</v>
      </c>
      <c r="K44" s="129">
        <v>77</v>
      </c>
      <c r="L44" s="198">
        <v>811.5</v>
      </c>
      <c r="M44" s="129">
        <v>154</v>
      </c>
      <c r="N44" s="198">
        <v>1087.5</v>
      </c>
      <c r="O44" s="105">
        <v>198</v>
      </c>
      <c r="P44" s="230">
        <f aca="true" t="shared" si="8" ref="P44:Q46">+J44+L44+N44</f>
        <v>2312</v>
      </c>
      <c r="Q44" s="76">
        <f t="shared" si="8"/>
        <v>429</v>
      </c>
      <c r="R44" s="86">
        <f>Q44/H44</f>
        <v>61.285714285714285</v>
      </c>
      <c r="S44" s="226">
        <f>P44/Q44</f>
        <v>5.389277389277389</v>
      </c>
      <c r="T44" s="98">
        <v>2485</v>
      </c>
      <c r="U44" s="128">
        <f t="shared" si="7"/>
        <v>-0.06961770623742455</v>
      </c>
      <c r="V44" s="130">
        <f>139188.5+65126.5+15320+6439+3617+2312</f>
        <v>232003</v>
      </c>
      <c r="W44" s="86">
        <f>20151+10232+2945+1343+1021+429</f>
        <v>36121</v>
      </c>
      <c r="X44" s="209">
        <f>IF(V44&lt;&gt;0,V44/W44,"")</f>
        <v>6.422939564242408</v>
      </c>
      <c r="Y44" s="153"/>
    </row>
    <row r="45" spans="1:27" s="154" customFormat="1" ht="20.25" customHeight="1">
      <c r="A45" s="161">
        <v>39</v>
      </c>
      <c r="B45" s="179"/>
      <c r="C45" s="73" t="s">
        <v>174</v>
      </c>
      <c r="D45" s="72">
        <v>38751</v>
      </c>
      <c r="E45" s="71" t="s">
        <v>80</v>
      </c>
      <c r="F45" s="71" t="s">
        <v>169</v>
      </c>
      <c r="G45" s="136">
        <v>51</v>
      </c>
      <c r="H45" s="136">
        <v>2</v>
      </c>
      <c r="I45" s="94">
        <v>11</v>
      </c>
      <c r="J45" s="98">
        <v>235</v>
      </c>
      <c r="K45" s="129">
        <v>39</v>
      </c>
      <c r="L45" s="198">
        <v>497</v>
      </c>
      <c r="M45" s="129">
        <v>81</v>
      </c>
      <c r="N45" s="198">
        <v>972</v>
      </c>
      <c r="O45" s="105">
        <v>154</v>
      </c>
      <c r="P45" s="230">
        <f t="shared" si="8"/>
        <v>1704</v>
      </c>
      <c r="Q45" s="76">
        <f t="shared" si="8"/>
        <v>274</v>
      </c>
      <c r="R45" s="86">
        <f>Q45/H45</f>
        <v>137</v>
      </c>
      <c r="S45" s="226">
        <f>P45/Q45</f>
        <v>6.218978102189781</v>
      </c>
      <c r="T45" s="98">
        <v>2015</v>
      </c>
      <c r="U45" s="128">
        <f t="shared" si="7"/>
        <v>-0.1543424317617866</v>
      </c>
      <c r="V45" s="98">
        <v>1312226</v>
      </c>
      <c r="W45" s="129">
        <v>169951</v>
      </c>
      <c r="X45" s="209">
        <f aca="true" t="shared" si="9" ref="X45:X53">V45/W45</f>
        <v>7.721201993515778</v>
      </c>
      <c r="Y45" s="153"/>
      <c r="AA45" s="153"/>
    </row>
    <row r="46" spans="1:25" s="155" customFormat="1" ht="20.25" customHeight="1">
      <c r="A46" s="161">
        <v>40</v>
      </c>
      <c r="B46" s="179"/>
      <c r="C46" s="73" t="s">
        <v>119</v>
      </c>
      <c r="D46" s="72">
        <v>38800</v>
      </c>
      <c r="E46" s="197" t="s">
        <v>76</v>
      </c>
      <c r="F46" s="71" t="s">
        <v>155</v>
      </c>
      <c r="G46" s="136">
        <v>36</v>
      </c>
      <c r="H46" s="136">
        <v>6</v>
      </c>
      <c r="I46" s="94">
        <v>5</v>
      </c>
      <c r="J46" s="98">
        <v>280</v>
      </c>
      <c r="K46" s="129">
        <v>48</v>
      </c>
      <c r="L46" s="198">
        <v>621.5</v>
      </c>
      <c r="M46" s="129">
        <v>113</v>
      </c>
      <c r="N46" s="198">
        <v>693.5</v>
      </c>
      <c r="O46" s="105">
        <v>116</v>
      </c>
      <c r="P46" s="230">
        <f t="shared" si="8"/>
        <v>1595</v>
      </c>
      <c r="Q46" s="76">
        <f t="shared" si="8"/>
        <v>277</v>
      </c>
      <c r="R46" s="75">
        <f>IF(P46&lt;&gt;0,Q46/H46,"")</f>
        <v>46.166666666666664</v>
      </c>
      <c r="S46" s="127">
        <f>IF(P46&lt;&gt;0,P46/Q46,"")</f>
        <v>5.758122743682311</v>
      </c>
      <c r="T46" s="98">
        <v>5235</v>
      </c>
      <c r="U46" s="128">
        <f t="shared" si="7"/>
        <v>-0.6953199617956065</v>
      </c>
      <c r="V46" s="98">
        <v>490591</v>
      </c>
      <c r="W46" s="129">
        <v>57447</v>
      </c>
      <c r="X46" s="209">
        <f t="shared" si="9"/>
        <v>8.539888941110936</v>
      </c>
      <c r="Y46" s="153"/>
    </row>
    <row r="47" spans="1:25" s="154" customFormat="1" ht="20.25" customHeight="1">
      <c r="A47" s="161">
        <v>41</v>
      </c>
      <c r="B47" s="179"/>
      <c r="C47" s="84" t="s">
        <v>122</v>
      </c>
      <c r="D47" s="85">
        <v>38758</v>
      </c>
      <c r="E47" s="199" t="s">
        <v>94</v>
      </c>
      <c r="F47" s="200" t="s">
        <v>176</v>
      </c>
      <c r="G47" s="150">
        <v>4</v>
      </c>
      <c r="H47" s="150">
        <v>4</v>
      </c>
      <c r="I47" s="96">
        <v>11</v>
      </c>
      <c r="J47" s="100">
        <v>301.5</v>
      </c>
      <c r="K47" s="86">
        <v>56</v>
      </c>
      <c r="L47" s="195">
        <v>632.5</v>
      </c>
      <c r="M47" s="86">
        <v>111</v>
      </c>
      <c r="N47" s="195">
        <v>560</v>
      </c>
      <c r="O47" s="108">
        <v>98</v>
      </c>
      <c r="P47" s="232">
        <f>J47+L47+N47</f>
        <v>1494</v>
      </c>
      <c r="Q47" s="86">
        <f>K47+M47+O47</f>
        <v>265</v>
      </c>
      <c r="R47" s="86">
        <f>Q47/H47</f>
        <v>66.25</v>
      </c>
      <c r="S47" s="226">
        <f>P47/Q47</f>
        <v>5.637735849056604</v>
      </c>
      <c r="T47" s="100">
        <v>674</v>
      </c>
      <c r="U47" s="128">
        <f t="shared" si="7"/>
        <v>1.2166172106824926</v>
      </c>
      <c r="V47" s="100">
        <v>43393.5</v>
      </c>
      <c r="W47" s="86">
        <v>7215</v>
      </c>
      <c r="X47" s="210">
        <f t="shared" si="9"/>
        <v>6.014345114345114</v>
      </c>
      <c r="Y47" s="153"/>
    </row>
    <row r="48" spans="1:25" s="154" customFormat="1" ht="20.25" customHeight="1">
      <c r="A48" s="161">
        <v>42</v>
      </c>
      <c r="B48" s="179"/>
      <c r="C48" s="84" t="s">
        <v>125</v>
      </c>
      <c r="D48" s="85">
        <v>38751</v>
      </c>
      <c r="E48" s="199" t="s">
        <v>94</v>
      </c>
      <c r="F48" s="200" t="s">
        <v>189</v>
      </c>
      <c r="G48" s="150">
        <v>1</v>
      </c>
      <c r="H48" s="150">
        <v>1</v>
      </c>
      <c r="I48" s="96">
        <v>8</v>
      </c>
      <c r="J48" s="100">
        <v>376</v>
      </c>
      <c r="K48" s="86">
        <v>57</v>
      </c>
      <c r="L48" s="195">
        <v>433.5</v>
      </c>
      <c r="M48" s="86">
        <v>65</v>
      </c>
      <c r="N48" s="195">
        <v>601</v>
      </c>
      <c r="O48" s="108">
        <v>86</v>
      </c>
      <c r="P48" s="232">
        <f>J48+L48+N48</f>
        <v>1410.5</v>
      </c>
      <c r="Q48" s="86">
        <f>K48+M48+O48</f>
        <v>208</v>
      </c>
      <c r="R48" s="86">
        <f>Q48/H48</f>
        <v>208</v>
      </c>
      <c r="S48" s="226">
        <f>P48/Q48</f>
        <v>6.78125</v>
      </c>
      <c r="T48" s="100">
        <v>1181</v>
      </c>
      <c r="U48" s="128">
        <f t="shared" si="7"/>
        <v>0.1943268416596105</v>
      </c>
      <c r="V48" s="100">
        <v>22706.5</v>
      </c>
      <c r="W48" s="86">
        <v>2919</v>
      </c>
      <c r="X48" s="210">
        <f t="shared" si="9"/>
        <v>7.778862624186365</v>
      </c>
      <c r="Y48" s="153"/>
    </row>
    <row r="49" spans="1:25" s="154" customFormat="1" ht="20.25" customHeight="1">
      <c r="A49" s="161">
        <v>43</v>
      </c>
      <c r="B49" s="179"/>
      <c r="C49" s="73" t="s">
        <v>216</v>
      </c>
      <c r="D49" s="72">
        <v>38730</v>
      </c>
      <c r="E49" s="71" t="s">
        <v>80</v>
      </c>
      <c r="F49" s="71" t="s">
        <v>152</v>
      </c>
      <c r="G49" s="136">
        <v>116</v>
      </c>
      <c r="H49" s="136">
        <v>3</v>
      </c>
      <c r="I49" s="94">
        <v>15</v>
      </c>
      <c r="J49" s="98">
        <v>399</v>
      </c>
      <c r="K49" s="129">
        <v>103</v>
      </c>
      <c r="L49" s="198">
        <v>414</v>
      </c>
      <c r="M49" s="129">
        <v>100</v>
      </c>
      <c r="N49" s="198">
        <v>595</v>
      </c>
      <c r="O49" s="105">
        <v>140</v>
      </c>
      <c r="P49" s="230">
        <f aca="true" t="shared" si="10" ref="P49:Q53">+J49+L49+N49</f>
        <v>1408</v>
      </c>
      <c r="Q49" s="76">
        <f t="shared" si="10"/>
        <v>343</v>
      </c>
      <c r="R49" s="86">
        <f>Q49/H49</f>
        <v>114.33333333333333</v>
      </c>
      <c r="S49" s="226">
        <f>P49/Q49</f>
        <v>4.104956268221574</v>
      </c>
      <c r="T49" s="98">
        <v>814</v>
      </c>
      <c r="U49" s="128">
        <f t="shared" si="7"/>
        <v>0.7297297297297297</v>
      </c>
      <c r="V49" s="98">
        <v>3272804</v>
      </c>
      <c r="W49" s="129">
        <v>465669</v>
      </c>
      <c r="X49" s="209">
        <f t="shared" si="9"/>
        <v>7.028176666258651</v>
      </c>
      <c r="Y49" s="153"/>
    </row>
    <row r="50" spans="1:25" s="154" customFormat="1" ht="20.25" customHeight="1">
      <c r="A50" s="161">
        <v>44</v>
      </c>
      <c r="B50" s="179"/>
      <c r="C50" s="73" t="s">
        <v>120</v>
      </c>
      <c r="D50" s="72">
        <v>38800</v>
      </c>
      <c r="E50" s="197" t="s">
        <v>76</v>
      </c>
      <c r="F50" s="71" t="s">
        <v>161</v>
      </c>
      <c r="G50" s="136">
        <v>12</v>
      </c>
      <c r="H50" s="136">
        <v>7</v>
      </c>
      <c r="I50" s="94">
        <v>5</v>
      </c>
      <c r="J50" s="98">
        <v>298</v>
      </c>
      <c r="K50" s="129">
        <v>83</v>
      </c>
      <c r="L50" s="198">
        <v>500.5</v>
      </c>
      <c r="M50" s="129">
        <v>111</v>
      </c>
      <c r="N50" s="198">
        <v>606.5</v>
      </c>
      <c r="O50" s="105">
        <v>129</v>
      </c>
      <c r="P50" s="230">
        <f t="shared" si="10"/>
        <v>1405</v>
      </c>
      <c r="Q50" s="76">
        <f t="shared" si="10"/>
        <v>323</v>
      </c>
      <c r="R50" s="75">
        <f>IF(P50&lt;&gt;0,Q50/H50,"")</f>
        <v>46.142857142857146</v>
      </c>
      <c r="S50" s="127">
        <f>IF(P50&lt;&gt;0,P50/Q50,"")</f>
        <v>4.34984520123839</v>
      </c>
      <c r="T50" s="98">
        <v>2953.5</v>
      </c>
      <c r="U50" s="128">
        <f t="shared" si="7"/>
        <v>-0.5242932114440494</v>
      </c>
      <c r="V50" s="98">
        <v>162945.5</v>
      </c>
      <c r="W50" s="129">
        <v>17818</v>
      </c>
      <c r="X50" s="209">
        <f t="shared" si="9"/>
        <v>9.144993826467617</v>
      </c>
      <c r="Y50" s="153"/>
    </row>
    <row r="51" spans="1:25" s="154" customFormat="1" ht="20.25" customHeight="1">
      <c r="A51" s="161">
        <v>45</v>
      </c>
      <c r="B51" s="179"/>
      <c r="C51" s="73" t="s">
        <v>131</v>
      </c>
      <c r="D51" s="72">
        <v>38751</v>
      </c>
      <c r="E51" s="71" t="s">
        <v>80</v>
      </c>
      <c r="F51" s="71" t="s">
        <v>143</v>
      </c>
      <c r="G51" s="136">
        <v>27</v>
      </c>
      <c r="H51" s="136">
        <v>4</v>
      </c>
      <c r="I51" s="94">
        <v>12</v>
      </c>
      <c r="J51" s="98">
        <v>287</v>
      </c>
      <c r="K51" s="129">
        <v>54</v>
      </c>
      <c r="L51" s="198">
        <v>434</v>
      </c>
      <c r="M51" s="129">
        <v>77</v>
      </c>
      <c r="N51" s="198">
        <v>683</v>
      </c>
      <c r="O51" s="105">
        <v>113</v>
      </c>
      <c r="P51" s="230">
        <f t="shared" si="10"/>
        <v>1404</v>
      </c>
      <c r="Q51" s="76">
        <f t="shared" si="10"/>
        <v>244</v>
      </c>
      <c r="R51" s="86">
        <f>Q51/H51</f>
        <v>61</v>
      </c>
      <c r="S51" s="226">
        <f>P51/Q51</f>
        <v>5.754098360655738</v>
      </c>
      <c r="T51" s="98"/>
      <c r="U51" s="128">
        <f t="shared" si="7"/>
      </c>
      <c r="V51" s="98">
        <v>476275</v>
      </c>
      <c r="W51" s="129">
        <v>55152</v>
      </c>
      <c r="X51" s="209">
        <f t="shared" si="9"/>
        <v>8.635679576443284</v>
      </c>
      <c r="Y51" s="153"/>
    </row>
    <row r="52" spans="1:30" s="155" customFormat="1" ht="20.25" customHeight="1">
      <c r="A52" s="161">
        <v>46</v>
      </c>
      <c r="B52" s="179"/>
      <c r="C52" s="73" t="s">
        <v>217</v>
      </c>
      <c r="D52" s="72">
        <v>38786</v>
      </c>
      <c r="E52" s="71" t="s">
        <v>80</v>
      </c>
      <c r="F52" s="71" t="s">
        <v>172</v>
      </c>
      <c r="G52" s="136">
        <v>63</v>
      </c>
      <c r="H52" s="136">
        <v>7</v>
      </c>
      <c r="I52" s="94">
        <v>7</v>
      </c>
      <c r="J52" s="98">
        <v>248</v>
      </c>
      <c r="K52" s="129">
        <v>54</v>
      </c>
      <c r="L52" s="198">
        <v>540</v>
      </c>
      <c r="M52" s="129">
        <v>115</v>
      </c>
      <c r="N52" s="198">
        <v>587</v>
      </c>
      <c r="O52" s="105">
        <v>124</v>
      </c>
      <c r="P52" s="230">
        <f t="shared" si="10"/>
        <v>1375</v>
      </c>
      <c r="Q52" s="76">
        <f t="shared" si="10"/>
        <v>293</v>
      </c>
      <c r="R52" s="86">
        <f>Q52/H52</f>
        <v>41.857142857142854</v>
      </c>
      <c r="S52" s="226">
        <f>P52/Q52</f>
        <v>4.69283276450512</v>
      </c>
      <c r="T52" s="98">
        <v>2922</v>
      </c>
      <c r="U52" s="128">
        <f t="shared" si="7"/>
        <v>-0.5294318959616701</v>
      </c>
      <c r="V52" s="98">
        <v>501306</v>
      </c>
      <c r="W52" s="129">
        <v>62440</v>
      </c>
      <c r="X52" s="209">
        <f t="shared" si="9"/>
        <v>8.028603459320948</v>
      </c>
      <c r="Y52" s="153"/>
      <c r="Z52" s="153"/>
      <c r="AA52" s="159"/>
      <c r="AB52" s="159"/>
      <c r="AC52" s="159"/>
      <c r="AD52" s="159"/>
    </row>
    <row r="53" spans="1:30" s="155" customFormat="1" ht="20.25" customHeight="1">
      <c r="A53" s="161">
        <v>47</v>
      </c>
      <c r="B53" s="179"/>
      <c r="C53" s="73" t="s">
        <v>92</v>
      </c>
      <c r="D53" s="72">
        <v>38716</v>
      </c>
      <c r="E53" s="197" t="s">
        <v>76</v>
      </c>
      <c r="F53" s="71" t="s">
        <v>161</v>
      </c>
      <c r="G53" s="136">
        <v>60</v>
      </c>
      <c r="H53" s="136">
        <v>2</v>
      </c>
      <c r="I53" s="94">
        <v>13</v>
      </c>
      <c r="J53" s="98">
        <v>142</v>
      </c>
      <c r="K53" s="129">
        <v>30</v>
      </c>
      <c r="L53" s="198">
        <v>314</v>
      </c>
      <c r="M53" s="129">
        <v>63</v>
      </c>
      <c r="N53" s="198">
        <v>664</v>
      </c>
      <c r="O53" s="105">
        <v>133</v>
      </c>
      <c r="P53" s="230">
        <f t="shared" si="10"/>
        <v>1120</v>
      </c>
      <c r="Q53" s="76">
        <f t="shared" si="10"/>
        <v>226</v>
      </c>
      <c r="R53" s="75">
        <f>IF(P53&lt;&gt;0,Q53/H53,"")</f>
        <v>113</v>
      </c>
      <c r="S53" s="127">
        <f>IF(P53&lt;&gt;0,P53/Q53,"")</f>
        <v>4.95575221238938</v>
      </c>
      <c r="T53" s="98"/>
      <c r="U53" s="128">
        <f t="shared" si="7"/>
      </c>
      <c r="V53" s="98">
        <f>585119+1120</f>
        <v>586239</v>
      </c>
      <c r="W53" s="129">
        <f>83689+226</f>
        <v>83915</v>
      </c>
      <c r="X53" s="209">
        <f t="shared" si="9"/>
        <v>6.986104987189418</v>
      </c>
      <c r="Y53" s="153"/>
      <c r="Z53" s="153"/>
      <c r="AA53" s="159"/>
      <c r="AB53" s="159"/>
      <c r="AC53" s="159"/>
      <c r="AD53" s="159"/>
    </row>
    <row r="54" spans="1:30" s="155" customFormat="1" ht="20.25" customHeight="1">
      <c r="A54" s="161">
        <v>48</v>
      </c>
      <c r="B54" s="179"/>
      <c r="C54" s="78" t="s">
        <v>87</v>
      </c>
      <c r="D54" s="77">
        <v>38723</v>
      </c>
      <c r="E54" s="193" t="s">
        <v>77</v>
      </c>
      <c r="F54" s="193" t="s">
        <v>187</v>
      </c>
      <c r="G54" s="156">
        <v>199</v>
      </c>
      <c r="H54" s="156">
        <v>2</v>
      </c>
      <c r="I54" s="95">
        <v>16</v>
      </c>
      <c r="J54" s="99">
        <v>227</v>
      </c>
      <c r="K54" s="79">
        <v>54</v>
      </c>
      <c r="L54" s="194">
        <v>413</v>
      </c>
      <c r="M54" s="79">
        <v>96</v>
      </c>
      <c r="N54" s="194">
        <v>401</v>
      </c>
      <c r="O54" s="106">
        <v>93</v>
      </c>
      <c r="P54" s="231">
        <f>+N54+L54+J54</f>
        <v>1041</v>
      </c>
      <c r="Q54" s="79">
        <f>+O54+M54+K54</f>
        <v>243</v>
      </c>
      <c r="R54" s="86">
        <f>Q54/H54</f>
        <v>121.5</v>
      </c>
      <c r="S54" s="226">
        <f>P54/Q54</f>
        <v>4.283950617283951</v>
      </c>
      <c r="T54" s="99">
        <v>532</v>
      </c>
      <c r="U54" s="128">
        <f t="shared" si="7"/>
        <v>0.956766917293233</v>
      </c>
      <c r="V54" s="99">
        <v>6505500.1</v>
      </c>
      <c r="W54" s="79">
        <v>994126</v>
      </c>
      <c r="X54" s="211">
        <f>+V54/W54</f>
        <v>6.543939198854068</v>
      </c>
      <c r="Y54" s="153"/>
      <c r="Z54" s="153"/>
      <c r="AA54" s="159"/>
      <c r="AB54" s="159"/>
      <c r="AC54" s="159"/>
      <c r="AD54" s="159"/>
    </row>
    <row r="55" spans="1:30" s="155" customFormat="1" ht="20.25" customHeight="1">
      <c r="A55" s="161">
        <v>49</v>
      </c>
      <c r="B55" s="179"/>
      <c r="C55" s="78" t="s">
        <v>71</v>
      </c>
      <c r="D55" s="77">
        <v>38772</v>
      </c>
      <c r="E55" s="192" t="s">
        <v>147</v>
      </c>
      <c r="F55" s="193" t="s">
        <v>148</v>
      </c>
      <c r="G55" s="156">
        <v>49</v>
      </c>
      <c r="H55" s="156">
        <v>3</v>
      </c>
      <c r="I55" s="95">
        <v>9</v>
      </c>
      <c r="J55" s="99">
        <v>331</v>
      </c>
      <c r="K55" s="79">
        <v>138</v>
      </c>
      <c r="L55" s="194">
        <v>266</v>
      </c>
      <c r="M55" s="79">
        <v>103</v>
      </c>
      <c r="N55" s="194">
        <v>426</v>
      </c>
      <c r="O55" s="106">
        <v>143</v>
      </c>
      <c r="P55" s="231">
        <f>J55+L55+N55</f>
        <v>1023</v>
      </c>
      <c r="Q55" s="79">
        <f>K55+M55+O55</f>
        <v>384</v>
      </c>
      <c r="R55" s="86">
        <f>Q55/H55</f>
        <v>128</v>
      </c>
      <c r="S55" s="226">
        <f>P55/Q55</f>
        <v>2.6640625</v>
      </c>
      <c r="T55" s="100">
        <v>525.5</v>
      </c>
      <c r="U55" s="128">
        <f t="shared" si="7"/>
        <v>0.9467174119885823</v>
      </c>
      <c r="V55" s="99">
        <v>318442.5</v>
      </c>
      <c r="W55" s="79">
        <v>49016</v>
      </c>
      <c r="X55" s="210">
        <f>V55/W55</f>
        <v>6.4967051574995915</v>
      </c>
      <c r="Y55" s="153"/>
      <c r="Z55" s="153"/>
      <c r="AA55" s="159"/>
      <c r="AB55" s="159"/>
      <c r="AC55" s="159"/>
      <c r="AD55" s="159"/>
    </row>
    <row r="56" spans="1:30" s="155" customFormat="1" ht="20.25" customHeight="1">
      <c r="A56" s="161">
        <v>50</v>
      </c>
      <c r="B56" s="179"/>
      <c r="C56" s="73" t="s">
        <v>91</v>
      </c>
      <c r="D56" s="72">
        <v>38695</v>
      </c>
      <c r="E56" s="71" t="s">
        <v>80</v>
      </c>
      <c r="F56" s="71" t="s">
        <v>152</v>
      </c>
      <c r="G56" s="136">
        <v>77</v>
      </c>
      <c r="H56" s="136">
        <v>2</v>
      </c>
      <c r="I56" s="94">
        <v>20</v>
      </c>
      <c r="J56" s="98">
        <v>314</v>
      </c>
      <c r="K56" s="129">
        <v>87</v>
      </c>
      <c r="L56" s="198">
        <v>314</v>
      </c>
      <c r="M56" s="129">
        <v>87</v>
      </c>
      <c r="N56" s="198">
        <v>306</v>
      </c>
      <c r="O56" s="105">
        <v>86</v>
      </c>
      <c r="P56" s="230">
        <f aca="true" t="shared" si="11" ref="P56:Q58">+J56+L56+N56</f>
        <v>934</v>
      </c>
      <c r="Q56" s="76">
        <f t="shared" si="11"/>
        <v>260</v>
      </c>
      <c r="R56" s="86">
        <f>Q56/H56</f>
        <v>130</v>
      </c>
      <c r="S56" s="226">
        <f>P56/Q56</f>
        <v>3.5923076923076924</v>
      </c>
      <c r="T56" s="98">
        <v>271</v>
      </c>
      <c r="U56" s="128">
        <f t="shared" si="7"/>
        <v>2.4464944649446494</v>
      </c>
      <c r="V56" s="98">
        <v>1922441</v>
      </c>
      <c r="W56" s="129">
        <v>280907</v>
      </c>
      <c r="X56" s="209">
        <f>V56/W56</f>
        <v>6.843692040426191</v>
      </c>
      <c r="Y56" s="153"/>
      <c r="Z56" s="153"/>
      <c r="AA56" s="159"/>
      <c r="AB56" s="159"/>
      <c r="AC56" s="159"/>
      <c r="AD56" s="159"/>
    </row>
    <row r="57" spans="1:30" s="155" customFormat="1" ht="20.25" customHeight="1">
      <c r="A57" s="161">
        <v>51</v>
      </c>
      <c r="B57" s="179"/>
      <c r="C57" s="73" t="s">
        <v>110</v>
      </c>
      <c r="D57" s="72">
        <v>38667</v>
      </c>
      <c r="E57" s="197" t="s">
        <v>76</v>
      </c>
      <c r="F57" s="71" t="s">
        <v>79</v>
      </c>
      <c r="G57" s="136">
        <v>1</v>
      </c>
      <c r="H57" s="136">
        <v>1</v>
      </c>
      <c r="I57" s="94">
        <v>15</v>
      </c>
      <c r="J57" s="98">
        <v>290</v>
      </c>
      <c r="K57" s="129">
        <v>58</v>
      </c>
      <c r="L57" s="198">
        <v>290</v>
      </c>
      <c r="M57" s="129">
        <v>58</v>
      </c>
      <c r="N57" s="198">
        <v>290</v>
      </c>
      <c r="O57" s="105">
        <v>58</v>
      </c>
      <c r="P57" s="230">
        <f t="shared" si="11"/>
        <v>870</v>
      </c>
      <c r="Q57" s="76">
        <f t="shared" si="11"/>
        <v>174</v>
      </c>
      <c r="R57" s="75">
        <f>IF(P57&lt;&gt;0,Q57/H57,"")</f>
        <v>174</v>
      </c>
      <c r="S57" s="127">
        <f>IF(P57&lt;&gt;0,P57/Q57,"")</f>
        <v>5</v>
      </c>
      <c r="T57" s="98">
        <v>870</v>
      </c>
      <c r="U57" s="128">
        <f t="shared" si="7"/>
        <v>0</v>
      </c>
      <c r="V57" s="98">
        <v>28731</v>
      </c>
      <c r="W57" s="129">
        <v>4957</v>
      </c>
      <c r="X57" s="209">
        <f>V57/W57</f>
        <v>5.7960459955618315</v>
      </c>
      <c r="Y57" s="153"/>
      <c r="Z57" s="153"/>
      <c r="AA57" s="159"/>
      <c r="AB57" s="159"/>
      <c r="AC57" s="159"/>
      <c r="AD57" s="159"/>
    </row>
    <row r="58" spans="1:30" s="155" customFormat="1" ht="20.25" customHeight="1">
      <c r="A58" s="161">
        <v>52</v>
      </c>
      <c r="B58" s="179"/>
      <c r="C58" s="78" t="s">
        <v>195</v>
      </c>
      <c r="D58" s="72">
        <v>38798</v>
      </c>
      <c r="E58" s="193" t="s">
        <v>166</v>
      </c>
      <c r="F58" s="193" t="s">
        <v>218</v>
      </c>
      <c r="G58" s="156">
        <v>5</v>
      </c>
      <c r="H58" s="156">
        <v>5</v>
      </c>
      <c r="I58" s="95">
        <v>2</v>
      </c>
      <c r="J58" s="98">
        <v>212</v>
      </c>
      <c r="K58" s="129">
        <v>29</v>
      </c>
      <c r="L58" s="198">
        <v>235</v>
      </c>
      <c r="M58" s="129">
        <v>29</v>
      </c>
      <c r="N58" s="198">
        <v>384</v>
      </c>
      <c r="O58" s="105">
        <v>53</v>
      </c>
      <c r="P58" s="230">
        <f t="shared" si="11"/>
        <v>831</v>
      </c>
      <c r="Q58" s="76">
        <f t="shared" si="11"/>
        <v>111</v>
      </c>
      <c r="R58" s="75">
        <f>IF(P58&lt;&gt;0,Q58/H58,"")</f>
        <v>22.2</v>
      </c>
      <c r="S58" s="127">
        <f>IF(P58&lt;&gt;0,P58/Q58,"")</f>
        <v>7.486486486486487</v>
      </c>
      <c r="T58" s="98">
        <v>1908.5</v>
      </c>
      <c r="U58" s="128">
        <f t="shared" si="7"/>
        <v>-0.5645795127063139</v>
      </c>
      <c r="V58" s="98">
        <v>4168.5</v>
      </c>
      <c r="W58" s="129">
        <v>475</v>
      </c>
      <c r="X58" s="209">
        <f>V58/W58</f>
        <v>8.77578947368421</v>
      </c>
      <c r="Y58" s="153"/>
      <c r="Z58" s="153"/>
      <c r="AA58" s="159"/>
      <c r="AB58" s="159"/>
      <c r="AC58" s="159"/>
      <c r="AD58" s="159"/>
    </row>
    <row r="59" spans="1:30" s="155" customFormat="1" ht="20.25" customHeight="1">
      <c r="A59" s="161">
        <v>53</v>
      </c>
      <c r="B59" s="179"/>
      <c r="C59" s="84" t="s">
        <v>124</v>
      </c>
      <c r="D59" s="85">
        <v>38716</v>
      </c>
      <c r="E59" s="199" t="s">
        <v>94</v>
      </c>
      <c r="F59" s="200" t="s">
        <v>219</v>
      </c>
      <c r="G59" s="150">
        <v>9</v>
      </c>
      <c r="H59" s="150">
        <v>4</v>
      </c>
      <c r="I59" s="96">
        <v>16</v>
      </c>
      <c r="J59" s="100">
        <v>106</v>
      </c>
      <c r="K59" s="86">
        <v>23</v>
      </c>
      <c r="L59" s="195">
        <v>239</v>
      </c>
      <c r="M59" s="86">
        <v>49</v>
      </c>
      <c r="N59" s="195">
        <v>435</v>
      </c>
      <c r="O59" s="108">
        <v>80</v>
      </c>
      <c r="P59" s="232">
        <f>J59+L59+N59</f>
        <v>780</v>
      </c>
      <c r="Q59" s="86">
        <f>K59+M59+O59</f>
        <v>152</v>
      </c>
      <c r="R59" s="86">
        <f>Q59/H59</f>
        <v>38</v>
      </c>
      <c r="S59" s="226">
        <f>P59/Q59</f>
        <v>5.131578947368421</v>
      </c>
      <c r="T59" s="100">
        <v>666</v>
      </c>
      <c r="U59" s="128">
        <f t="shared" si="7"/>
        <v>0.17117117117117117</v>
      </c>
      <c r="V59" s="100">
        <v>96371</v>
      </c>
      <c r="W59" s="86">
        <v>14160</v>
      </c>
      <c r="X59" s="210">
        <f>V59/W59</f>
        <v>6.805861581920904</v>
      </c>
      <c r="Y59" s="153"/>
      <c r="Z59" s="153"/>
      <c r="AA59" s="159"/>
      <c r="AB59" s="159"/>
      <c r="AC59" s="159"/>
      <c r="AD59" s="159"/>
    </row>
    <row r="60" spans="1:30" s="155" customFormat="1" ht="20.25" customHeight="1">
      <c r="A60" s="161">
        <v>54</v>
      </c>
      <c r="B60" s="179"/>
      <c r="C60" s="73" t="s">
        <v>140</v>
      </c>
      <c r="D60" s="72">
        <v>38793</v>
      </c>
      <c r="E60" s="71" t="s">
        <v>150</v>
      </c>
      <c r="F60" s="71" t="s">
        <v>178</v>
      </c>
      <c r="G60" s="136">
        <v>2</v>
      </c>
      <c r="H60" s="136">
        <v>2</v>
      </c>
      <c r="I60" s="94">
        <v>5</v>
      </c>
      <c r="J60" s="98">
        <v>245</v>
      </c>
      <c r="K60" s="129">
        <v>43</v>
      </c>
      <c r="L60" s="198">
        <v>306</v>
      </c>
      <c r="M60" s="129">
        <v>48</v>
      </c>
      <c r="N60" s="198">
        <v>224</v>
      </c>
      <c r="O60" s="105">
        <v>38</v>
      </c>
      <c r="P60" s="230">
        <f aca="true" t="shared" si="12" ref="P60:Q62">+J60+L60+N60</f>
        <v>775</v>
      </c>
      <c r="Q60" s="76">
        <f t="shared" si="12"/>
        <v>129</v>
      </c>
      <c r="R60" s="86">
        <f>Q60/H60</f>
        <v>64.5</v>
      </c>
      <c r="S60" s="226">
        <f>P60/Q60</f>
        <v>6.007751937984496</v>
      </c>
      <c r="T60" s="98"/>
      <c r="U60" s="128">
        <f t="shared" si="7"/>
      </c>
      <c r="V60" s="130">
        <f>21147.5+3690+1708+783+775</f>
        <v>28103.5</v>
      </c>
      <c r="W60" s="86">
        <f>2248+452+253+99+129</f>
        <v>3181</v>
      </c>
      <c r="X60" s="209">
        <f>IF(V60&lt;&gt;0,V60/W60,"")</f>
        <v>8.834800377239862</v>
      </c>
      <c r="Y60" s="153"/>
      <c r="Z60" s="153"/>
      <c r="AA60" s="159"/>
      <c r="AB60" s="159"/>
      <c r="AC60" s="159"/>
      <c r="AD60" s="159"/>
    </row>
    <row r="61" spans="1:30" s="155" customFormat="1" ht="20.25" customHeight="1">
      <c r="A61" s="161">
        <v>55</v>
      </c>
      <c r="B61" s="179"/>
      <c r="C61" s="78" t="s">
        <v>220</v>
      </c>
      <c r="D61" s="72">
        <v>38625</v>
      </c>
      <c r="E61" s="193" t="s">
        <v>81</v>
      </c>
      <c r="F61" s="193" t="s">
        <v>221</v>
      </c>
      <c r="G61" s="156">
        <v>29</v>
      </c>
      <c r="H61" s="156">
        <v>1</v>
      </c>
      <c r="I61" s="95">
        <v>18</v>
      </c>
      <c r="J61" s="98">
        <v>170</v>
      </c>
      <c r="K61" s="129">
        <v>57</v>
      </c>
      <c r="L61" s="198">
        <v>339</v>
      </c>
      <c r="M61" s="129">
        <v>114</v>
      </c>
      <c r="N61" s="198">
        <v>170</v>
      </c>
      <c r="O61" s="105">
        <v>57</v>
      </c>
      <c r="P61" s="230">
        <f t="shared" si="12"/>
        <v>679</v>
      </c>
      <c r="Q61" s="76">
        <f t="shared" si="12"/>
        <v>228</v>
      </c>
      <c r="R61" s="75">
        <f>IF(P61&lt;&gt;0,Q61/H61,"")</f>
        <v>228</v>
      </c>
      <c r="S61" s="127">
        <f>IF(P61&lt;&gt;0,P61/Q61,"")</f>
        <v>2.9780701754385963</v>
      </c>
      <c r="T61" s="98"/>
      <c r="U61" s="128">
        <f t="shared" si="7"/>
      </c>
      <c r="V61" s="98">
        <v>284647</v>
      </c>
      <c r="W61" s="129">
        <v>35347</v>
      </c>
      <c r="X61" s="209">
        <f aca="true" t="shared" si="13" ref="X61:X72">V61/W61</f>
        <v>8.05293235635273</v>
      </c>
      <c r="Y61" s="153"/>
      <c r="Z61" s="153"/>
      <c r="AA61" s="159"/>
      <c r="AB61" s="159"/>
      <c r="AC61" s="159"/>
      <c r="AD61" s="159"/>
    </row>
    <row r="62" spans="1:30" s="155" customFormat="1" ht="20.25" customHeight="1">
      <c r="A62" s="161">
        <v>56</v>
      </c>
      <c r="B62" s="179"/>
      <c r="C62" s="78" t="s">
        <v>222</v>
      </c>
      <c r="D62" s="72">
        <v>38786</v>
      </c>
      <c r="E62" s="193" t="s">
        <v>81</v>
      </c>
      <c r="F62" s="193" t="s">
        <v>173</v>
      </c>
      <c r="G62" s="156">
        <v>4</v>
      </c>
      <c r="H62" s="156">
        <v>4</v>
      </c>
      <c r="I62" s="95">
        <v>7</v>
      </c>
      <c r="J62" s="98">
        <v>91</v>
      </c>
      <c r="K62" s="129">
        <v>14</v>
      </c>
      <c r="L62" s="198">
        <v>305</v>
      </c>
      <c r="M62" s="129">
        <v>53</v>
      </c>
      <c r="N62" s="198">
        <v>264</v>
      </c>
      <c r="O62" s="105">
        <v>42</v>
      </c>
      <c r="P62" s="230">
        <f t="shared" si="12"/>
        <v>660</v>
      </c>
      <c r="Q62" s="76">
        <f t="shared" si="12"/>
        <v>109</v>
      </c>
      <c r="R62" s="75">
        <f>IF(P62&lt;&gt;0,Q62/H62,"")</f>
        <v>27.25</v>
      </c>
      <c r="S62" s="127">
        <f>IF(P62&lt;&gt;0,P62/Q62,"")</f>
        <v>6.055045871559633</v>
      </c>
      <c r="T62" s="98">
        <v>1052</v>
      </c>
      <c r="U62" s="128">
        <f t="shared" si="7"/>
        <v>-0.3726235741444867</v>
      </c>
      <c r="V62" s="98">
        <v>47995</v>
      </c>
      <c r="W62" s="129">
        <v>5714</v>
      </c>
      <c r="X62" s="209">
        <f t="shared" si="13"/>
        <v>8.399544977248862</v>
      </c>
      <c r="Y62" s="153"/>
      <c r="Z62" s="153"/>
      <c r="AA62" s="159"/>
      <c r="AB62" s="159"/>
      <c r="AC62" s="159"/>
      <c r="AD62" s="159"/>
    </row>
    <row r="63" spans="1:30" s="155" customFormat="1" ht="20.25" customHeight="1">
      <c r="A63" s="161">
        <v>57</v>
      </c>
      <c r="B63" s="179"/>
      <c r="C63" s="84" t="s">
        <v>198</v>
      </c>
      <c r="D63" s="85">
        <v>38723</v>
      </c>
      <c r="E63" s="199" t="s">
        <v>94</v>
      </c>
      <c r="F63" s="200" t="s">
        <v>223</v>
      </c>
      <c r="G63" s="150">
        <v>3</v>
      </c>
      <c r="H63" s="150">
        <v>1</v>
      </c>
      <c r="I63" s="96">
        <v>12</v>
      </c>
      <c r="J63" s="100">
        <v>210</v>
      </c>
      <c r="K63" s="86">
        <v>70</v>
      </c>
      <c r="L63" s="195">
        <v>210</v>
      </c>
      <c r="M63" s="86">
        <v>70</v>
      </c>
      <c r="N63" s="195">
        <v>210</v>
      </c>
      <c r="O63" s="108">
        <v>70</v>
      </c>
      <c r="P63" s="232">
        <f>J63+L63+N63</f>
        <v>630</v>
      </c>
      <c r="Q63" s="86">
        <f>K63+M63+O63</f>
        <v>210</v>
      </c>
      <c r="R63" s="86">
        <f>Q63/H63</f>
        <v>210</v>
      </c>
      <c r="S63" s="226">
        <f>P63/Q63</f>
        <v>3</v>
      </c>
      <c r="T63" s="100">
        <v>960</v>
      </c>
      <c r="U63" s="128">
        <f t="shared" si="7"/>
        <v>-0.34375</v>
      </c>
      <c r="V63" s="100">
        <v>56529.5</v>
      </c>
      <c r="W63" s="86">
        <v>8110</v>
      </c>
      <c r="X63" s="210">
        <f t="shared" si="13"/>
        <v>6.970345252774353</v>
      </c>
      <c r="Y63" s="153"/>
      <c r="Z63" s="153"/>
      <c r="AA63" s="159"/>
      <c r="AB63" s="159"/>
      <c r="AC63" s="159"/>
      <c r="AD63" s="159"/>
    </row>
    <row r="64" spans="1:30" s="155" customFormat="1" ht="20.25" customHeight="1">
      <c r="A64" s="161">
        <v>58</v>
      </c>
      <c r="B64" s="179"/>
      <c r="C64" s="73" t="s">
        <v>93</v>
      </c>
      <c r="D64" s="72">
        <v>38688</v>
      </c>
      <c r="E64" s="197" t="s">
        <v>76</v>
      </c>
      <c r="F64" s="71" t="s">
        <v>161</v>
      </c>
      <c r="G64" s="136">
        <v>63</v>
      </c>
      <c r="H64" s="136">
        <v>1</v>
      </c>
      <c r="I64" s="94">
        <v>18</v>
      </c>
      <c r="J64" s="98">
        <v>144</v>
      </c>
      <c r="K64" s="129">
        <v>36</v>
      </c>
      <c r="L64" s="198">
        <v>231.5</v>
      </c>
      <c r="M64" s="129">
        <v>49</v>
      </c>
      <c r="N64" s="198">
        <v>242.5</v>
      </c>
      <c r="O64" s="105">
        <v>51</v>
      </c>
      <c r="P64" s="230">
        <f aca="true" t="shared" si="14" ref="P64:Q68">+J64+L64+N64</f>
        <v>618</v>
      </c>
      <c r="Q64" s="76">
        <f t="shared" si="14"/>
        <v>136</v>
      </c>
      <c r="R64" s="75">
        <f>IF(P64&lt;&gt;0,Q64/H64,"")</f>
        <v>136</v>
      </c>
      <c r="S64" s="127">
        <f>IF(P64&lt;&gt;0,P64/Q64,"")</f>
        <v>4.544117647058823</v>
      </c>
      <c r="T64" s="98"/>
      <c r="U64" s="128">
        <f t="shared" si="7"/>
      </c>
      <c r="V64" s="98">
        <f>1747946+618</f>
        <v>1748564</v>
      </c>
      <c r="W64" s="129">
        <f>260656+136</f>
        <v>260792</v>
      </c>
      <c r="X64" s="209">
        <f t="shared" si="13"/>
        <v>6.704822233810853</v>
      </c>
      <c r="Y64" s="153"/>
      <c r="Z64" s="153"/>
      <c r="AA64" s="159"/>
      <c r="AB64" s="159"/>
      <c r="AC64" s="159"/>
      <c r="AD64" s="159"/>
    </row>
    <row r="65" spans="1:30" s="155" customFormat="1" ht="20.25" customHeight="1">
      <c r="A65" s="161">
        <v>59</v>
      </c>
      <c r="B65" s="179"/>
      <c r="C65" s="73" t="s">
        <v>68</v>
      </c>
      <c r="D65" s="72">
        <v>38527</v>
      </c>
      <c r="E65" s="197" t="s">
        <v>76</v>
      </c>
      <c r="F65" s="71" t="s">
        <v>171</v>
      </c>
      <c r="G65" s="136">
        <v>43</v>
      </c>
      <c r="H65" s="136">
        <v>1</v>
      </c>
      <c r="I65" s="94">
        <v>27</v>
      </c>
      <c r="J65" s="98">
        <v>205</v>
      </c>
      <c r="K65" s="129">
        <v>41</v>
      </c>
      <c r="L65" s="198">
        <v>205</v>
      </c>
      <c r="M65" s="129">
        <v>41</v>
      </c>
      <c r="N65" s="198">
        <v>205</v>
      </c>
      <c r="O65" s="105">
        <v>41</v>
      </c>
      <c r="P65" s="230">
        <f t="shared" si="14"/>
        <v>615</v>
      </c>
      <c r="Q65" s="76">
        <f t="shared" si="14"/>
        <v>123</v>
      </c>
      <c r="R65" s="75">
        <f>IF(P65&lt;&gt;0,Q65/H65,"")</f>
        <v>123</v>
      </c>
      <c r="S65" s="127">
        <f>IF(P65&lt;&gt;0,P65/Q65,"")</f>
        <v>5</v>
      </c>
      <c r="T65" s="98">
        <v>615</v>
      </c>
      <c r="U65" s="128">
        <f t="shared" si="7"/>
        <v>0</v>
      </c>
      <c r="V65" s="98">
        <v>742529.5</v>
      </c>
      <c r="W65" s="129">
        <v>94657</v>
      </c>
      <c r="X65" s="209">
        <f t="shared" si="13"/>
        <v>7.844422493846203</v>
      </c>
      <c r="Y65" s="153"/>
      <c r="Z65" s="153"/>
      <c r="AA65" s="159"/>
      <c r="AB65" s="159"/>
      <c r="AC65" s="159"/>
      <c r="AD65" s="159"/>
    </row>
    <row r="66" spans="1:30" s="155" customFormat="1" ht="20.25" customHeight="1">
      <c r="A66" s="161">
        <v>60</v>
      </c>
      <c r="B66" s="179"/>
      <c r="C66" s="73" t="s">
        <v>112</v>
      </c>
      <c r="D66" s="72">
        <v>38667</v>
      </c>
      <c r="E66" s="197" t="s">
        <v>76</v>
      </c>
      <c r="F66" s="71" t="s">
        <v>177</v>
      </c>
      <c r="G66" s="136">
        <v>76</v>
      </c>
      <c r="H66" s="136">
        <v>1</v>
      </c>
      <c r="I66" s="94">
        <v>16</v>
      </c>
      <c r="J66" s="98">
        <v>205</v>
      </c>
      <c r="K66" s="129">
        <v>41</v>
      </c>
      <c r="L66" s="198">
        <v>205</v>
      </c>
      <c r="M66" s="129">
        <v>41</v>
      </c>
      <c r="N66" s="198">
        <v>205</v>
      </c>
      <c r="O66" s="105">
        <v>41</v>
      </c>
      <c r="P66" s="230">
        <f t="shared" si="14"/>
        <v>615</v>
      </c>
      <c r="Q66" s="76">
        <f t="shared" si="14"/>
        <v>123</v>
      </c>
      <c r="R66" s="75">
        <f>IF(P66&lt;&gt;0,Q66/H66,"")</f>
        <v>123</v>
      </c>
      <c r="S66" s="127">
        <f>IF(P66&lt;&gt;0,P66/Q66,"")</f>
        <v>5</v>
      </c>
      <c r="T66" s="98">
        <v>615</v>
      </c>
      <c r="U66" s="128">
        <f t="shared" si="7"/>
        <v>0</v>
      </c>
      <c r="V66" s="98">
        <v>2494529.5</v>
      </c>
      <c r="W66" s="129">
        <v>381576</v>
      </c>
      <c r="X66" s="209">
        <f t="shared" si="13"/>
        <v>6.53743815124641</v>
      </c>
      <c r="Y66" s="153"/>
      <c r="Z66" s="153"/>
      <c r="AA66" s="159"/>
      <c r="AB66" s="159"/>
      <c r="AC66" s="159"/>
      <c r="AD66" s="159"/>
    </row>
    <row r="67" spans="1:30" s="155" customFormat="1" ht="20.25" customHeight="1">
      <c r="A67" s="161">
        <v>61</v>
      </c>
      <c r="B67" s="179"/>
      <c r="C67" s="73" t="s">
        <v>113</v>
      </c>
      <c r="D67" s="72">
        <v>38667</v>
      </c>
      <c r="E67" s="197" t="s">
        <v>76</v>
      </c>
      <c r="F67" s="71" t="s">
        <v>155</v>
      </c>
      <c r="G67" s="136">
        <v>51</v>
      </c>
      <c r="H67" s="136">
        <v>1</v>
      </c>
      <c r="I67" s="94">
        <v>22</v>
      </c>
      <c r="J67" s="98">
        <v>205</v>
      </c>
      <c r="K67" s="129">
        <v>41</v>
      </c>
      <c r="L67" s="198">
        <v>205</v>
      </c>
      <c r="M67" s="129">
        <v>41</v>
      </c>
      <c r="N67" s="198">
        <v>205</v>
      </c>
      <c r="O67" s="105">
        <v>41</v>
      </c>
      <c r="P67" s="230">
        <f t="shared" si="14"/>
        <v>615</v>
      </c>
      <c r="Q67" s="76">
        <f t="shared" si="14"/>
        <v>123</v>
      </c>
      <c r="R67" s="75">
        <f>IF(P67&lt;&gt;0,Q67/H67,"")</f>
        <v>123</v>
      </c>
      <c r="S67" s="127">
        <f>IF(P67&lt;&gt;0,P67/Q67,"")</f>
        <v>5</v>
      </c>
      <c r="T67" s="98">
        <v>615</v>
      </c>
      <c r="U67" s="128">
        <f t="shared" si="7"/>
        <v>0</v>
      </c>
      <c r="V67" s="98">
        <v>999909.5</v>
      </c>
      <c r="W67" s="129">
        <v>140989</v>
      </c>
      <c r="X67" s="209">
        <f t="shared" si="13"/>
        <v>7.092110022767733</v>
      </c>
      <c r="Y67" s="153"/>
      <c r="Z67" s="153"/>
      <c r="AA67" s="159"/>
      <c r="AB67" s="159"/>
      <c r="AC67" s="159"/>
      <c r="AD67" s="159"/>
    </row>
    <row r="68" spans="1:30" s="155" customFormat="1" ht="20.25" customHeight="1">
      <c r="A68" s="161">
        <v>62</v>
      </c>
      <c r="B68" s="179"/>
      <c r="C68" s="73" t="s">
        <v>86</v>
      </c>
      <c r="D68" s="72">
        <v>38758</v>
      </c>
      <c r="E68" s="71" t="s">
        <v>80</v>
      </c>
      <c r="F68" s="71" t="s">
        <v>169</v>
      </c>
      <c r="G68" s="136">
        <v>46</v>
      </c>
      <c r="H68" s="136">
        <v>2</v>
      </c>
      <c r="I68" s="94">
        <v>11</v>
      </c>
      <c r="J68" s="98">
        <v>140</v>
      </c>
      <c r="K68" s="129">
        <v>26</v>
      </c>
      <c r="L68" s="198">
        <v>202</v>
      </c>
      <c r="M68" s="129">
        <v>47</v>
      </c>
      <c r="N68" s="198">
        <v>202</v>
      </c>
      <c r="O68" s="105">
        <v>49</v>
      </c>
      <c r="P68" s="230">
        <f t="shared" si="14"/>
        <v>544</v>
      </c>
      <c r="Q68" s="76">
        <f t="shared" si="14"/>
        <v>122</v>
      </c>
      <c r="R68" s="86">
        <f aca="true" t="shared" si="15" ref="R68:R73">Q68/H68</f>
        <v>61</v>
      </c>
      <c r="S68" s="226">
        <f aca="true" t="shared" si="16" ref="S68:S73">P68/Q68</f>
        <v>4.459016393442623</v>
      </c>
      <c r="T68" s="98">
        <v>180</v>
      </c>
      <c r="U68" s="128">
        <f t="shared" si="7"/>
        <v>2.022222222222222</v>
      </c>
      <c r="V68" s="98">
        <v>180992</v>
      </c>
      <c r="W68" s="129">
        <v>23911</v>
      </c>
      <c r="X68" s="209">
        <f t="shared" si="13"/>
        <v>7.569403203546485</v>
      </c>
      <c r="Y68" s="153"/>
      <c r="Z68" s="153"/>
      <c r="AA68" s="159"/>
      <c r="AB68" s="159"/>
      <c r="AC68" s="159"/>
      <c r="AD68" s="159"/>
    </row>
    <row r="69" spans="1:30" s="155" customFormat="1" ht="20.25" customHeight="1">
      <c r="A69" s="161">
        <v>63</v>
      </c>
      <c r="B69" s="179"/>
      <c r="C69" s="84" t="s">
        <v>224</v>
      </c>
      <c r="D69" s="85">
        <v>37869</v>
      </c>
      <c r="E69" s="199" t="s">
        <v>94</v>
      </c>
      <c r="F69" s="200" t="s">
        <v>189</v>
      </c>
      <c r="G69" s="150">
        <v>8</v>
      </c>
      <c r="H69" s="150">
        <v>1</v>
      </c>
      <c r="I69" s="96">
        <v>24</v>
      </c>
      <c r="J69" s="100">
        <v>150</v>
      </c>
      <c r="K69" s="86">
        <v>50</v>
      </c>
      <c r="L69" s="195">
        <v>150</v>
      </c>
      <c r="M69" s="86">
        <v>50</v>
      </c>
      <c r="N69" s="195">
        <v>150</v>
      </c>
      <c r="O69" s="108">
        <v>50</v>
      </c>
      <c r="P69" s="232">
        <f aca="true" t="shared" si="17" ref="P69:Q72">J69+L69+N69</f>
        <v>450</v>
      </c>
      <c r="Q69" s="86">
        <f t="shared" si="17"/>
        <v>150</v>
      </c>
      <c r="R69" s="86">
        <f t="shared" si="15"/>
        <v>150</v>
      </c>
      <c r="S69" s="226">
        <f t="shared" si="16"/>
        <v>3</v>
      </c>
      <c r="T69" s="100"/>
      <c r="U69" s="128">
        <f t="shared" si="7"/>
      </c>
      <c r="V69" s="100">
        <v>90091.3</v>
      </c>
      <c r="W69" s="86">
        <v>17169</v>
      </c>
      <c r="X69" s="210">
        <f t="shared" si="13"/>
        <v>5.247323664744598</v>
      </c>
      <c r="Y69" s="153"/>
      <c r="Z69" s="153"/>
      <c r="AA69" s="159"/>
      <c r="AB69" s="159"/>
      <c r="AC69" s="159"/>
      <c r="AD69" s="159"/>
    </row>
    <row r="70" spans="1:30" s="155" customFormat="1" ht="20.25" customHeight="1">
      <c r="A70" s="161">
        <v>64</v>
      </c>
      <c r="B70" s="179"/>
      <c r="C70" s="84" t="s">
        <v>225</v>
      </c>
      <c r="D70" s="85">
        <v>38226</v>
      </c>
      <c r="E70" s="199" t="s">
        <v>94</v>
      </c>
      <c r="F70" s="200" t="s">
        <v>226</v>
      </c>
      <c r="G70" s="150">
        <v>4</v>
      </c>
      <c r="H70" s="150">
        <v>1</v>
      </c>
      <c r="I70" s="96">
        <v>10</v>
      </c>
      <c r="J70" s="100">
        <v>150</v>
      </c>
      <c r="K70" s="86">
        <v>50</v>
      </c>
      <c r="L70" s="195">
        <v>150</v>
      </c>
      <c r="M70" s="86">
        <v>50</v>
      </c>
      <c r="N70" s="195">
        <v>150</v>
      </c>
      <c r="O70" s="108">
        <v>50</v>
      </c>
      <c r="P70" s="232">
        <f t="shared" si="17"/>
        <v>450</v>
      </c>
      <c r="Q70" s="86">
        <f t="shared" si="17"/>
        <v>150</v>
      </c>
      <c r="R70" s="86">
        <f t="shared" si="15"/>
        <v>150</v>
      </c>
      <c r="S70" s="226">
        <f t="shared" si="16"/>
        <v>3</v>
      </c>
      <c r="T70" s="100"/>
      <c r="U70" s="128">
        <f t="shared" si="7"/>
      </c>
      <c r="V70" s="100">
        <v>18711</v>
      </c>
      <c r="W70" s="86">
        <v>2857</v>
      </c>
      <c r="X70" s="210">
        <f t="shared" si="13"/>
        <v>6.5491774588729434</v>
      </c>
      <c r="Y70" s="153"/>
      <c r="Z70" s="153"/>
      <c r="AA70" s="159"/>
      <c r="AB70" s="159"/>
      <c r="AC70" s="159"/>
      <c r="AD70" s="159"/>
    </row>
    <row r="71" spans="1:30" s="155" customFormat="1" ht="20.25" customHeight="1">
      <c r="A71" s="161">
        <v>65</v>
      </c>
      <c r="B71" s="179"/>
      <c r="C71" s="84" t="s">
        <v>227</v>
      </c>
      <c r="D71" s="85">
        <v>38282</v>
      </c>
      <c r="E71" s="199" t="s">
        <v>94</v>
      </c>
      <c r="F71" s="200" t="s">
        <v>232</v>
      </c>
      <c r="G71" s="150">
        <v>7</v>
      </c>
      <c r="H71" s="150">
        <v>1</v>
      </c>
      <c r="I71" s="96">
        <v>8</v>
      </c>
      <c r="J71" s="100">
        <v>150</v>
      </c>
      <c r="K71" s="86">
        <v>50</v>
      </c>
      <c r="L71" s="195">
        <v>150</v>
      </c>
      <c r="M71" s="86">
        <v>50</v>
      </c>
      <c r="N71" s="195">
        <v>150</v>
      </c>
      <c r="O71" s="108">
        <v>50</v>
      </c>
      <c r="P71" s="232">
        <f t="shared" si="17"/>
        <v>450</v>
      </c>
      <c r="Q71" s="86">
        <f t="shared" si="17"/>
        <v>150</v>
      </c>
      <c r="R71" s="86">
        <f t="shared" si="15"/>
        <v>150</v>
      </c>
      <c r="S71" s="226">
        <f t="shared" si="16"/>
        <v>3</v>
      </c>
      <c r="T71" s="100"/>
      <c r="U71" s="128">
        <f aca="true" t="shared" si="18" ref="U71:U81">IF(T71&lt;&gt;0,-(T71-P71)/T71,"")</f>
      </c>
      <c r="V71" s="100">
        <v>20891</v>
      </c>
      <c r="W71" s="86">
        <v>3545</v>
      </c>
      <c r="X71" s="210">
        <f t="shared" si="13"/>
        <v>5.893088857545839</v>
      </c>
      <c r="Y71" s="153"/>
      <c r="Z71" s="153"/>
      <c r="AA71" s="159"/>
      <c r="AB71" s="159"/>
      <c r="AC71" s="159"/>
      <c r="AD71" s="159"/>
    </row>
    <row r="72" spans="1:30" s="155" customFormat="1" ht="20.25" customHeight="1">
      <c r="A72" s="161">
        <v>66</v>
      </c>
      <c r="B72" s="179"/>
      <c r="C72" s="84" t="s">
        <v>185</v>
      </c>
      <c r="D72" s="85">
        <v>38527</v>
      </c>
      <c r="E72" s="199" t="s">
        <v>94</v>
      </c>
      <c r="F72" s="200" t="s">
        <v>186</v>
      </c>
      <c r="G72" s="150">
        <v>40</v>
      </c>
      <c r="H72" s="150">
        <v>1</v>
      </c>
      <c r="I72" s="96">
        <v>20</v>
      </c>
      <c r="J72" s="100">
        <v>40</v>
      </c>
      <c r="K72" s="86">
        <v>6</v>
      </c>
      <c r="L72" s="195">
        <v>94</v>
      </c>
      <c r="M72" s="86">
        <v>15</v>
      </c>
      <c r="N72" s="195">
        <v>136</v>
      </c>
      <c r="O72" s="108">
        <v>20</v>
      </c>
      <c r="P72" s="232">
        <f t="shared" si="17"/>
        <v>270</v>
      </c>
      <c r="Q72" s="86">
        <f t="shared" si="17"/>
        <v>41</v>
      </c>
      <c r="R72" s="86">
        <f t="shared" si="15"/>
        <v>41</v>
      </c>
      <c r="S72" s="226">
        <f t="shared" si="16"/>
        <v>6.585365853658536</v>
      </c>
      <c r="T72" s="100"/>
      <c r="U72" s="128">
        <f t="shared" si="18"/>
      </c>
      <c r="V72" s="100">
        <v>410715.5</v>
      </c>
      <c r="W72" s="86">
        <v>67564</v>
      </c>
      <c r="X72" s="210">
        <f t="shared" si="13"/>
        <v>6.078910366467349</v>
      </c>
      <c r="Y72" s="153"/>
      <c r="Z72" s="153"/>
      <c r="AA72" s="159"/>
      <c r="AB72" s="159"/>
      <c r="AC72" s="159"/>
      <c r="AD72" s="159"/>
    </row>
    <row r="73" spans="1:30" s="155" customFormat="1" ht="20.25" customHeight="1">
      <c r="A73" s="161">
        <v>67</v>
      </c>
      <c r="B73" s="179"/>
      <c r="C73" s="78" t="s">
        <v>88</v>
      </c>
      <c r="D73" s="77">
        <v>38709</v>
      </c>
      <c r="E73" s="193" t="s">
        <v>77</v>
      </c>
      <c r="F73" s="193" t="s">
        <v>170</v>
      </c>
      <c r="G73" s="156">
        <v>233</v>
      </c>
      <c r="H73" s="156">
        <v>2</v>
      </c>
      <c r="I73" s="95">
        <v>18</v>
      </c>
      <c r="J73" s="99">
        <v>42</v>
      </c>
      <c r="K73" s="79">
        <v>6</v>
      </c>
      <c r="L73" s="194">
        <v>56</v>
      </c>
      <c r="M73" s="79">
        <v>8</v>
      </c>
      <c r="N73" s="194">
        <v>98</v>
      </c>
      <c r="O73" s="106">
        <v>14</v>
      </c>
      <c r="P73" s="231">
        <f>+N73+L73+J73</f>
        <v>196</v>
      </c>
      <c r="Q73" s="79">
        <f>+O73+M73+K73</f>
        <v>28</v>
      </c>
      <c r="R73" s="86">
        <f t="shared" si="15"/>
        <v>14</v>
      </c>
      <c r="S73" s="226">
        <f t="shared" si="16"/>
        <v>7</v>
      </c>
      <c r="T73" s="99">
        <v>81</v>
      </c>
      <c r="U73" s="128">
        <f t="shared" si="18"/>
        <v>1.4197530864197532</v>
      </c>
      <c r="V73" s="99">
        <v>17065784.5</v>
      </c>
      <c r="W73" s="79">
        <v>2571778</v>
      </c>
      <c r="X73" s="211">
        <f>+V73/W73</f>
        <v>6.6357922417875885</v>
      </c>
      <c r="Y73" s="153"/>
      <c r="Z73" s="153"/>
      <c r="AA73" s="159"/>
      <c r="AB73" s="159"/>
      <c r="AC73" s="159"/>
      <c r="AD73" s="159"/>
    </row>
    <row r="74" spans="1:30" s="155" customFormat="1" ht="20.25" customHeight="1">
      <c r="A74" s="161">
        <v>68</v>
      </c>
      <c r="B74" s="179"/>
      <c r="C74" s="73" t="s">
        <v>89</v>
      </c>
      <c r="D74" s="72">
        <v>38730</v>
      </c>
      <c r="E74" s="197" t="s">
        <v>76</v>
      </c>
      <c r="F74" s="71" t="s">
        <v>79</v>
      </c>
      <c r="G74" s="136">
        <v>62</v>
      </c>
      <c r="H74" s="136">
        <v>1</v>
      </c>
      <c r="I74" s="94">
        <v>14</v>
      </c>
      <c r="J74" s="98">
        <v>14</v>
      </c>
      <c r="K74" s="129">
        <v>2</v>
      </c>
      <c r="L74" s="198">
        <v>28</v>
      </c>
      <c r="M74" s="129">
        <v>4</v>
      </c>
      <c r="N74" s="198">
        <v>76</v>
      </c>
      <c r="O74" s="105">
        <v>10</v>
      </c>
      <c r="P74" s="230">
        <f aca="true" t="shared" si="19" ref="P74:Q78">+J74+L74+N74</f>
        <v>118</v>
      </c>
      <c r="Q74" s="76">
        <f t="shared" si="19"/>
        <v>16</v>
      </c>
      <c r="R74" s="75">
        <f>IF(P74&lt;&gt;0,Q74/H74,"")</f>
        <v>16</v>
      </c>
      <c r="S74" s="127">
        <f>IF(P74&lt;&gt;0,P74/Q74,"")</f>
        <v>7.375</v>
      </c>
      <c r="T74" s="98">
        <v>137</v>
      </c>
      <c r="U74" s="128">
        <f t="shared" si="18"/>
        <v>-0.1386861313868613</v>
      </c>
      <c r="V74" s="98">
        <v>1182050.5</v>
      </c>
      <c r="W74" s="129">
        <v>138930</v>
      </c>
      <c r="X74" s="209">
        <f aca="true" t="shared" si="20" ref="X74:X81">V74/W74</f>
        <v>8.508245159432807</v>
      </c>
      <c r="Y74" s="153"/>
      <c r="Z74" s="153"/>
      <c r="AA74" s="159"/>
      <c r="AB74" s="159"/>
      <c r="AC74" s="159"/>
      <c r="AD74" s="159"/>
    </row>
    <row r="75" spans="1:30" s="155" customFormat="1" ht="20.25" customHeight="1">
      <c r="A75" s="161">
        <v>69</v>
      </c>
      <c r="B75" s="179"/>
      <c r="C75" s="73" t="s">
        <v>228</v>
      </c>
      <c r="D75" s="72">
        <v>38632</v>
      </c>
      <c r="E75" s="197" t="s">
        <v>76</v>
      </c>
      <c r="F75" s="71" t="s">
        <v>79</v>
      </c>
      <c r="G75" s="136">
        <v>30</v>
      </c>
      <c r="H75" s="136">
        <v>1</v>
      </c>
      <c r="I75" s="94">
        <v>14</v>
      </c>
      <c r="J75" s="98">
        <v>19</v>
      </c>
      <c r="K75" s="129">
        <v>6</v>
      </c>
      <c r="L75" s="198">
        <v>42</v>
      </c>
      <c r="M75" s="129">
        <v>13</v>
      </c>
      <c r="N75" s="198">
        <v>57</v>
      </c>
      <c r="O75" s="105">
        <v>17</v>
      </c>
      <c r="P75" s="230">
        <f t="shared" si="19"/>
        <v>118</v>
      </c>
      <c r="Q75" s="76">
        <f t="shared" si="19"/>
        <v>36</v>
      </c>
      <c r="R75" s="75">
        <f>IF(P75&lt;&gt;0,Q75/H75,"")</f>
        <v>36</v>
      </c>
      <c r="S75" s="127">
        <f>IF(P75&lt;&gt;0,P75/Q75,"")</f>
        <v>3.2777777777777777</v>
      </c>
      <c r="T75" s="98"/>
      <c r="U75" s="128">
        <f t="shared" si="18"/>
      </c>
      <c r="V75" s="98">
        <v>351837</v>
      </c>
      <c r="W75" s="129">
        <v>43441</v>
      </c>
      <c r="X75" s="209">
        <f t="shared" si="20"/>
        <v>8.09919200755047</v>
      </c>
      <c r="Y75" s="153"/>
      <c r="Z75" s="153"/>
      <c r="AA75" s="159"/>
      <c r="AB75" s="159"/>
      <c r="AC75" s="159"/>
      <c r="AD75" s="159"/>
    </row>
    <row r="76" spans="1:30" s="155" customFormat="1" ht="20.25" customHeight="1">
      <c r="A76" s="161">
        <v>70</v>
      </c>
      <c r="B76" s="179"/>
      <c r="C76" s="78" t="s">
        <v>193</v>
      </c>
      <c r="D76" s="72">
        <v>38758</v>
      </c>
      <c r="E76" s="193" t="s">
        <v>183</v>
      </c>
      <c r="F76" s="193" t="s">
        <v>194</v>
      </c>
      <c r="G76" s="156">
        <v>4</v>
      </c>
      <c r="H76" s="156">
        <v>1</v>
      </c>
      <c r="I76" s="95">
        <v>9</v>
      </c>
      <c r="J76" s="98">
        <v>25</v>
      </c>
      <c r="K76" s="129">
        <v>5</v>
      </c>
      <c r="L76" s="198">
        <v>40</v>
      </c>
      <c r="M76" s="129">
        <v>7</v>
      </c>
      <c r="N76" s="198">
        <v>52</v>
      </c>
      <c r="O76" s="105">
        <v>10</v>
      </c>
      <c r="P76" s="230">
        <f t="shared" si="19"/>
        <v>117</v>
      </c>
      <c r="Q76" s="76">
        <f t="shared" si="19"/>
        <v>22</v>
      </c>
      <c r="R76" s="75">
        <f>IF(P76&lt;&gt;0,Q76/H76,"")</f>
        <v>22</v>
      </c>
      <c r="S76" s="127">
        <f>IF(P76&lt;&gt;0,P76/Q76,"")</f>
        <v>5.318181818181818</v>
      </c>
      <c r="T76" s="98">
        <v>287</v>
      </c>
      <c r="U76" s="128">
        <f t="shared" si="18"/>
        <v>-0.5923344947735192</v>
      </c>
      <c r="V76" s="98">
        <v>5506</v>
      </c>
      <c r="W76" s="129">
        <v>961</v>
      </c>
      <c r="X76" s="209">
        <f t="shared" si="20"/>
        <v>5.729448491155047</v>
      </c>
      <c r="Y76" s="153"/>
      <c r="Z76" s="153"/>
      <c r="AA76" s="159"/>
      <c r="AB76" s="159"/>
      <c r="AC76" s="159"/>
      <c r="AD76" s="159"/>
    </row>
    <row r="77" spans="1:30" s="155" customFormat="1" ht="20.25" customHeight="1">
      <c r="A77" s="161">
        <v>71</v>
      </c>
      <c r="B77" s="179"/>
      <c r="C77" s="73" t="s">
        <v>75</v>
      </c>
      <c r="D77" s="72">
        <v>38779</v>
      </c>
      <c r="E77" s="193" t="s">
        <v>184</v>
      </c>
      <c r="F77" s="71" t="s">
        <v>229</v>
      </c>
      <c r="G77" s="136">
        <v>8</v>
      </c>
      <c r="H77" s="136">
        <v>1</v>
      </c>
      <c r="I77" s="94">
        <v>8</v>
      </c>
      <c r="J77" s="98">
        <v>40</v>
      </c>
      <c r="K77" s="129">
        <v>8</v>
      </c>
      <c r="L77" s="198">
        <v>5</v>
      </c>
      <c r="M77" s="129">
        <v>1</v>
      </c>
      <c r="N77" s="198">
        <v>50</v>
      </c>
      <c r="O77" s="105">
        <v>10</v>
      </c>
      <c r="P77" s="230">
        <f t="shared" si="19"/>
        <v>95</v>
      </c>
      <c r="Q77" s="76">
        <f t="shared" si="19"/>
        <v>19</v>
      </c>
      <c r="R77" s="75">
        <f>IF(P77&lt;&gt;0,Q77/H77,"")</f>
        <v>19</v>
      </c>
      <c r="S77" s="127">
        <f>IF(P77&lt;&gt;0,P77/Q77,"")</f>
        <v>5</v>
      </c>
      <c r="T77" s="98">
        <v>1712</v>
      </c>
      <c r="U77" s="128">
        <f t="shared" si="18"/>
        <v>-0.9445093457943925</v>
      </c>
      <c r="V77" s="98">
        <v>81126.4</v>
      </c>
      <c r="W77" s="129">
        <v>9377</v>
      </c>
      <c r="X77" s="209">
        <f t="shared" si="20"/>
        <v>8.651636984110056</v>
      </c>
      <c r="Y77" s="153"/>
      <c r="Z77" s="153"/>
      <c r="AA77" s="159"/>
      <c r="AB77" s="159"/>
      <c r="AC77" s="159"/>
      <c r="AD77" s="159"/>
    </row>
    <row r="78" spans="1:30" s="155" customFormat="1" ht="20.25" customHeight="1">
      <c r="A78" s="161">
        <v>72</v>
      </c>
      <c r="B78" s="179"/>
      <c r="C78" s="73" t="s">
        <v>83</v>
      </c>
      <c r="D78" s="72">
        <v>38758</v>
      </c>
      <c r="E78" s="197" t="s">
        <v>76</v>
      </c>
      <c r="F78" s="71" t="s">
        <v>161</v>
      </c>
      <c r="G78" s="136">
        <v>61</v>
      </c>
      <c r="H78" s="136">
        <v>1</v>
      </c>
      <c r="I78" s="94">
        <v>11</v>
      </c>
      <c r="J78" s="98">
        <v>16</v>
      </c>
      <c r="K78" s="129">
        <v>2</v>
      </c>
      <c r="L78" s="198">
        <v>16</v>
      </c>
      <c r="M78" s="129">
        <v>2</v>
      </c>
      <c r="N78" s="198">
        <v>16</v>
      </c>
      <c r="O78" s="105">
        <v>2</v>
      </c>
      <c r="P78" s="230">
        <f t="shared" si="19"/>
        <v>48</v>
      </c>
      <c r="Q78" s="76">
        <f t="shared" si="19"/>
        <v>6</v>
      </c>
      <c r="R78" s="75">
        <f>IF(P78&lt;&gt;0,Q78/H78,"")</f>
        <v>6</v>
      </c>
      <c r="S78" s="127">
        <f>IF(P78&lt;&gt;0,P78/Q78,"")</f>
        <v>8</v>
      </c>
      <c r="T78" s="98">
        <v>2039</v>
      </c>
      <c r="U78" s="128">
        <f t="shared" si="18"/>
        <v>-0.9764590485532123</v>
      </c>
      <c r="V78" s="98">
        <v>1282035.5</v>
      </c>
      <c r="W78" s="129">
        <v>156355</v>
      </c>
      <c r="X78" s="209">
        <f t="shared" si="20"/>
        <v>8.199517124492342</v>
      </c>
      <c r="Y78" s="153"/>
      <c r="Z78" s="153"/>
      <c r="AA78" s="159"/>
      <c r="AB78" s="159"/>
      <c r="AC78" s="159"/>
      <c r="AD78" s="159"/>
    </row>
    <row r="79" spans="1:30" s="155" customFormat="1" ht="20.25" customHeight="1">
      <c r="A79" s="161">
        <v>73</v>
      </c>
      <c r="B79" s="179"/>
      <c r="C79" s="84" t="s">
        <v>126</v>
      </c>
      <c r="D79" s="85">
        <v>38723</v>
      </c>
      <c r="E79" s="199" t="s">
        <v>94</v>
      </c>
      <c r="F79" s="200" t="s">
        <v>233</v>
      </c>
      <c r="G79" s="150">
        <v>5</v>
      </c>
      <c r="H79" s="150">
        <v>1</v>
      </c>
      <c r="I79" s="96">
        <v>7</v>
      </c>
      <c r="J79" s="100">
        <v>17.5</v>
      </c>
      <c r="K79" s="86">
        <v>5</v>
      </c>
      <c r="L79" s="195">
        <v>11</v>
      </c>
      <c r="M79" s="86">
        <v>3</v>
      </c>
      <c r="N79" s="195">
        <v>15</v>
      </c>
      <c r="O79" s="108">
        <v>4</v>
      </c>
      <c r="P79" s="232">
        <f>J79+L79+N79</f>
        <v>43.5</v>
      </c>
      <c r="Q79" s="86">
        <f>K79+M79+O79</f>
        <v>12</v>
      </c>
      <c r="R79" s="86">
        <f>Q79/H79</f>
        <v>12</v>
      </c>
      <c r="S79" s="226">
        <f>P79/Q79</f>
        <v>3.625</v>
      </c>
      <c r="T79" s="100"/>
      <c r="U79" s="128">
        <f t="shared" si="18"/>
      </c>
      <c r="V79" s="100">
        <v>12377.5</v>
      </c>
      <c r="W79" s="86">
        <v>1754</v>
      </c>
      <c r="X79" s="210">
        <f t="shared" si="20"/>
        <v>7.05672748004561</v>
      </c>
      <c r="Y79" s="153"/>
      <c r="Z79" s="153"/>
      <c r="AA79" s="159"/>
      <c r="AB79" s="159"/>
      <c r="AC79" s="159"/>
      <c r="AD79" s="159"/>
    </row>
    <row r="80" spans="1:30" s="155" customFormat="1" ht="20.25" customHeight="1">
      <c r="A80" s="161">
        <v>74</v>
      </c>
      <c r="B80" s="179"/>
      <c r="C80" s="73" t="s">
        <v>200</v>
      </c>
      <c r="D80" s="72">
        <v>38506</v>
      </c>
      <c r="E80" s="71" t="s">
        <v>80</v>
      </c>
      <c r="F80" s="71" t="s">
        <v>182</v>
      </c>
      <c r="G80" s="136">
        <v>106</v>
      </c>
      <c r="H80" s="136">
        <v>1</v>
      </c>
      <c r="I80" s="94">
        <v>47</v>
      </c>
      <c r="J80" s="98">
        <v>0</v>
      </c>
      <c r="K80" s="129">
        <v>0</v>
      </c>
      <c r="L80" s="198">
        <v>12</v>
      </c>
      <c r="M80" s="129">
        <v>2</v>
      </c>
      <c r="N80" s="198">
        <v>0</v>
      </c>
      <c r="O80" s="105">
        <v>0</v>
      </c>
      <c r="P80" s="230">
        <f>+J80+L80+N80</f>
        <v>12</v>
      </c>
      <c r="Q80" s="76">
        <f>+K80+M80+O80</f>
        <v>2</v>
      </c>
      <c r="R80" s="86">
        <f>Q80/H80</f>
        <v>2</v>
      </c>
      <c r="S80" s="226">
        <f>P80/Q80</f>
        <v>6</v>
      </c>
      <c r="T80" s="98">
        <v>167</v>
      </c>
      <c r="U80" s="128">
        <f t="shared" si="18"/>
        <v>-0.9281437125748503</v>
      </c>
      <c r="V80" s="98">
        <v>1514845</v>
      </c>
      <c r="W80" s="129">
        <v>235883</v>
      </c>
      <c r="X80" s="209">
        <f t="shared" si="20"/>
        <v>6.422018543091278</v>
      </c>
      <c r="Y80" s="153"/>
      <c r="Z80" s="153"/>
      <c r="AA80" s="159"/>
      <c r="AB80" s="159"/>
      <c r="AC80" s="159"/>
      <c r="AD80" s="159"/>
    </row>
    <row r="81" spans="1:30" s="155" customFormat="1" ht="20.25" customHeight="1" thickBot="1">
      <c r="A81" s="161">
        <v>75</v>
      </c>
      <c r="B81" s="181"/>
      <c r="C81" s="113" t="s">
        <v>142</v>
      </c>
      <c r="D81" s="112">
        <v>38653</v>
      </c>
      <c r="E81" s="111" t="s">
        <v>80</v>
      </c>
      <c r="F81" s="111" t="s">
        <v>182</v>
      </c>
      <c r="G81" s="182">
        <v>92</v>
      </c>
      <c r="H81" s="182">
        <v>1</v>
      </c>
      <c r="I81" s="114">
        <v>26</v>
      </c>
      <c r="J81" s="115">
        <v>0</v>
      </c>
      <c r="K81" s="135">
        <v>0</v>
      </c>
      <c r="L81" s="212">
        <v>6</v>
      </c>
      <c r="M81" s="135">
        <v>1</v>
      </c>
      <c r="N81" s="212">
        <v>0</v>
      </c>
      <c r="O81" s="116">
        <v>0</v>
      </c>
      <c r="P81" s="234">
        <f>+J81+L81+N81</f>
        <v>6</v>
      </c>
      <c r="Q81" s="118">
        <f>+K81+M81+O81</f>
        <v>1</v>
      </c>
      <c r="R81" s="125">
        <f>Q81/H81</f>
        <v>1</v>
      </c>
      <c r="S81" s="227">
        <f>P81/Q81</f>
        <v>6</v>
      </c>
      <c r="T81" s="115"/>
      <c r="U81" s="133">
        <f t="shared" si="18"/>
      </c>
      <c r="V81" s="115">
        <v>1041639</v>
      </c>
      <c r="W81" s="135">
        <v>151711</v>
      </c>
      <c r="X81" s="214">
        <f t="shared" si="20"/>
        <v>6.865942482746801</v>
      </c>
      <c r="Y81" s="153"/>
      <c r="Z81" s="153"/>
      <c r="AA81" s="159"/>
      <c r="AB81" s="159"/>
      <c r="AC81" s="159"/>
      <c r="AD81" s="159"/>
    </row>
    <row r="82" spans="1:30" s="60" customFormat="1" ht="20.25" customHeight="1" thickBot="1">
      <c r="A82" s="137"/>
      <c r="B82" s="162"/>
      <c r="C82" s="163"/>
      <c r="D82" s="164"/>
      <c r="E82" s="164"/>
      <c r="F82" s="165"/>
      <c r="G82" s="166"/>
      <c r="H82" s="166"/>
      <c r="I82" s="166"/>
      <c r="J82" s="167"/>
      <c r="K82" s="168"/>
      <c r="L82" s="167"/>
      <c r="M82" s="168"/>
      <c r="N82" s="167"/>
      <c r="O82" s="168"/>
      <c r="P82" s="169"/>
      <c r="Q82" s="170"/>
      <c r="R82" s="171"/>
      <c r="S82" s="172"/>
      <c r="T82" s="167"/>
      <c r="U82" s="173"/>
      <c r="V82" s="167"/>
      <c r="W82" s="173"/>
      <c r="X82" s="173"/>
      <c r="Y82" s="58"/>
      <c r="Z82" s="59"/>
      <c r="AA82" s="58"/>
      <c r="AB82" s="58"/>
      <c r="AC82" s="58"/>
      <c r="AD82" s="58"/>
    </row>
    <row r="83" spans="1:30" s="91" customFormat="1" ht="20.25" customHeight="1" thickBot="1">
      <c r="A83" s="140"/>
      <c r="B83" s="328" t="s">
        <v>115</v>
      </c>
      <c r="C83" s="329"/>
      <c r="D83" s="329"/>
      <c r="E83" s="329"/>
      <c r="F83" s="329"/>
      <c r="G83" s="142"/>
      <c r="H83" s="142">
        <f>SUM(H7:H82)</f>
        <v>1306</v>
      </c>
      <c r="I83" s="141"/>
      <c r="J83" s="143"/>
      <c r="K83" s="144"/>
      <c r="L83" s="143"/>
      <c r="M83" s="144"/>
      <c r="N83" s="143"/>
      <c r="O83" s="144"/>
      <c r="P83" s="143">
        <f>SUM(P7:P82)</f>
        <v>2265054.5</v>
      </c>
      <c r="Q83" s="144">
        <f>SUM(Q7:Q82)</f>
        <v>321583</v>
      </c>
      <c r="R83" s="145">
        <f>P83/H83</f>
        <v>1734.3449464012251</v>
      </c>
      <c r="S83" s="146">
        <f>P83/Q83</f>
        <v>7.043452234726338</v>
      </c>
      <c r="T83" s="143"/>
      <c r="U83" s="147"/>
      <c r="V83" s="160"/>
      <c r="W83" s="148"/>
      <c r="X83" s="149"/>
      <c r="Z83" s="92"/>
      <c r="AD83" s="91" t="s">
        <v>116</v>
      </c>
    </row>
    <row r="84" spans="20:24" ht="18">
      <c r="T84" s="342" t="s">
        <v>117</v>
      </c>
      <c r="U84" s="342"/>
      <c r="V84" s="342"/>
      <c r="W84" s="342"/>
      <c r="X84" s="342"/>
    </row>
    <row r="85" spans="20:24" ht="18">
      <c r="T85" s="343"/>
      <c r="U85" s="343"/>
      <c r="V85" s="343"/>
      <c r="W85" s="343"/>
      <c r="X85" s="343"/>
    </row>
    <row r="86" spans="20:24" ht="18">
      <c r="T86" s="343"/>
      <c r="U86" s="343"/>
      <c r="V86" s="343"/>
      <c r="W86" s="343"/>
      <c r="X86" s="343"/>
    </row>
    <row r="87" spans="20:24" ht="18">
      <c r="T87" s="343"/>
      <c r="U87" s="343"/>
      <c r="V87" s="343"/>
      <c r="W87" s="343"/>
      <c r="X87" s="343"/>
    </row>
    <row r="88" spans="20:24" ht="18">
      <c r="T88" s="343"/>
      <c r="U88" s="343"/>
      <c r="V88" s="343"/>
      <c r="W88" s="343"/>
      <c r="X88" s="343"/>
    </row>
    <row r="89" spans="20:24" ht="18">
      <c r="T89" s="343"/>
      <c r="U89" s="343"/>
      <c r="V89" s="343"/>
      <c r="W89" s="343"/>
      <c r="X89" s="343"/>
    </row>
    <row r="90" spans="1:24" ht="18">
      <c r="A90" s="344" t="s">
        <v>118</v>
      </c>
      <c r="B90" s="345"/>
      <c r="C90" s="345"/>
      <c r="D90" s="345"/>
      <c r="E90" s="345"/>
      <c r="F90" s="345"/>
      <c r="G90" s="345"/>
      <c r="H90" s="345"/>
      <c r="I90" s="345"/>
      <c r="J90" s="345"/>
      <c r="K90" s="345"/>
      <c r="L90" s="345"/>
      <c r="M90" s="345"/>
      <c r="N90" s="345"/>
      <c r="O90" s="345"/>
      <c r="P90" s="345"/>
      <c r="Q90" s="345"/>
      <c r="R90" s="345"/>
      <c r="S90" s="345"/>
      <c r="T90" s="345"/>
      <c r="U90" s="345"/>
      <c r="V90" s="345"/>
      <c r="W90" s="345"/>
      <c r="X90" s="345"/>
    </row>
    <row r="91" spans="1:24" ht="18">
      <c r="A91" s="345"/>
      <c r="B91" s="345"/>
      <c r="C91" s="345"/>
      <c r="D91" s="345"/>
      <c r="E91" s="345"/>
      <c r="F91" s="345"/>
      <c r="G91" s="345"/>
      <c r="H91" s="345"/>
      <c r="I91" s="345"/>
      <c r="J91" s="345"/>
      <c r="K91" s="345"/>
      <c r="L91" s="345"/>
      <c r="M91" s="345"/>
      <c r="N91" s="345"/>
      <c r="O91" s="345"/>
      <c r="P91" s="345"/>
      <c r="Q91" s="345"/>
      <c r="R91" s="345"/>
      <c r="S91" s="345"/>
      <c r="T91" s="345"/>
      <c r="U91" s="345"/>
      <c r="V91" s="345"/>
      <c r="W91" s="345"/>
      <c r="X91" s="345"/>
    </row>
    <row r="92" spans="1:24" ht="18">
      <c r="A92" s="345"/>
      <c r="B92" s="345"/>
      <c r="C92" s="345"/>
      <c r="D92" s="345"/>
      <c r="E92" s="345"/>
      <c r="F92" s="345"/>
      <c r="G92" s="345"/>
      <c r="H92" s="345"/>
      <c r="I92" s="345"/>
      <c r="J92" s="345"/>
      <c r="K92" s="345"/>
      <c r="L92" s="345"/>
      <c r="M92" s="345"/>
      <c r="N92" s="345"/>
      <c r="O92" s="345"/>
      <c r="P92" s="345"/>
      <c r="Q92" s="345"/>
      <c r="R92" s="345"/>
      <c r="S92" s="345"/>
      <c r="T92" s="345"/>
      <c r="U92" s="345"/>
      <c r="V92" s="345"/>
      <c r="W92" s="345"/>
      <c r="X92" s="345"/>
    </row>
    <row r="93" spans="1:24" ht="18">
      <c r="A93" s="345"/>
      <c r="B93" s="345"/>
      <c r="C93" s="345"/>
      <c r="D93" s="345"/>
      <c r="E93" s="345"/>
      <c r="F93" s="345"/>
      <c r="G93" s="345"/>
      <c r="H93" s="345"/>
      <c r="I93" s="345"/>
      <c r="J93" s="345"/>
      <c r="K93" s="345"/>
      <c r="L93" s="345"/>
      <c r="M93" s="345"/>
      <c r="N93" s="345"/>
      <c r="O93" s="345"/>
      <c r="P93" s="345"/>
      <c r="Q93" s="345"/>
      <c r="R93" s="345"/>
      <c r="S93" s="345"/>
      <c r="T93" s="345"/>
      <c r="U93" s="345"/>
      <c r="V93" s="345"/>
      <c r="W93" s="345"/>
      <c r="X93" s="345"/>
    </row>
    <row r="94" spans="1:30" ht="18">
      <c r="A94" s="345"/>
      <c r="B94" s="345"/>
      <c r="C94" s="345"/>
      <c r="D94" s="345"/>
      <c r="E94" s="345"/>
      <c r="F94" s="345"/>
      <c r="G94" s="345"/>
      <c r="H94" s="345"/>
      <c r="I94" s="345"/>
      <c r="J94" s="345"/>
      <c r="K94" s="345"/>
      <c r="L94" s="345"/>
      <c r="M94" s="345"/>
      <c r="N94" s="345"/>
      <c r="O94" s="345"/>
      <c r="P94" s="345"/>
      <c r="Q94" s="345"/>
      <c r="R94" s="345"/>
      <c r="S94" s="345"/>
      <c r="T94" s="345"/>
      <c r="U94" s="345"/>
      <c r="V94" s="345"/>
      <c r="W94" s="345"/>
      <c r="X94" s="345"/>
      <c r="AD94" s="57" t="s">
        <v>116</v>
      </c>
    </row>
  </sheetData>
  <mergeCells count="21">
    <mergeCell ref="E5:E6"/>
    <mergeCell ref="H5:H6"/>
    <mergeCell ref="T84:X86"/>
    <mergeCell ref="T87:X89"/>
    <mergeCell ref="A90:X94"/>
    <mergeCell ref="N5:O5"/>
    <mergeCell ref="P5:S5"/>
    <mergeCell ref="T5:U5"/>
    <mergeCell ref="V5:X5"/>
    <mergeCell ref="C5:C6"/>
    <mergeCell ref="D5:D6"/>
    <mergeCell ref="I5:I6"/>
    <mergeCell ref="B83:F83"/>
    <mergeCell ref="J5:K5"/>
    <mergeCell ref="A1:X1"/>
    <mergeCell ref="O3:X3"/>
    <mergeCell ref="A2:X2"/>
    <mergeCell ref="L5:M5"/>
    <mergeCell ref="A4:X4"/>
    <mergeCell ref="F5:F6"/>
    <mergeCell ref="G5:G6"/>
  </mergeCells>
  <printOptions/>
  <pageMargins left="0.44" right="0.27" top="1" bottom="1" header="0.5" footer="0.5"/>
  <pageSetup orientation="portrait" paperSize="9" scale="35" r:id="rId2"/>
  <ignoredErrors>
    <ignoredError sqref="R8:X9 R74:X79 P10:Q79 V65:W73 X10:X73 V10:W15 R10:S73 U10:U73 T10:T29 T31:T36 T38:T42 T44:T53 T55:T72" formula="1"/>
    <ignoredError sqref="V16:W64" formula="1" unlockedFormula="1"/>
  </ignoredErrors>
  <drawing r:id="rId1"/>
</worksheet>
</file>

<file path=xl/worksheets/sheet1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29</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+'May,26-28 (we22)'!N37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30</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+'June,2-4 (we23)'!N37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31</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+'June,9-11 (we24)'!N37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32</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+'June,16-18(we25)'!N37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33</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+'June23-25 (we26)'!N37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34</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+'June 30-July,2 (we27)'!N37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35</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+'July7-9 (we28)'!N37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36</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14-16 (we29)'!N37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37</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21-23 (we30)'!N37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38</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+'July 28-30 (we 31)'!N37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25"/>
  <sheetViews>
    <sheetView zoomScale="80" zoomScaleNormal="80" workbookViewId="0" topLeftCell="A1">
      <selection activeCell="A1" sqref="A1:IV16384"/>
    </sheetView>
  </sheetViews>
  <sheetFormatPr defaultColWidth="9.140625" defaultRowHeight="12.75"/>
  <cols>
    <col min="1" max="1" width="3.7109375" style="122" customWidth="1"/>
    <col min="2" max="2" width="1.7109375" style="61" customWidth="1"/>
    <col min="3" max="3" width="37.00390625" style="57" bestFit="1" customWidth="1"/>
    <col min="4" max="4" width="9.8515625" style="57" bestFit="1" customWidth="1"/>
    <col min="5" max="5" width="13.28125" style="57" bestFit="1" customWidth="1"/>
    <col min="6" max="6" width="7.8515625" style="63" bestFit="1" customWidth="1"/>
    <col min="7" max="7" width="8.57421875" style="57" customWidth="1"/>
    <col min="8" max="8" width="13.57421875" style="57" hidden="1" customWidth="1"/>
    <col min="9" max="9" width="8.57421875" style="57" hidden="1" customWidth="1"/>
    <col min="10" max="10" width="13.57421875" style="57" hidden="1" customWidth="1"/>
    <col min="11" max="11" width="8.57421875" style="57" hidden="1" customWidth="1"/>
    <col min="12" max="12" width="13.57421875" style="57" hidden="1" customWidth="1"/>
    <col min="13" max="13" width="8.57421875" style="57" hidden="1" customWidth="1"/>
    <col min="14" max="14" width="15.8515625" style="90" bestFit="1" customWidth="1"/>
    <col min="15" max="15" width="9.57421875" style="57" bestFit="1" customWidth="1"/>
    <col min="16" max="16" width="8.8515625" style="57" bestFit="1" customWidth="1"/>
    <col min="17" max="17" width="6.7109375" style="57" bestFit="1" customWidth="1"/>
    <col min="18" max="18" width="17.00390625" style="89" hidden="1" customWidth="1"/>
    <col min="19" max="19" width="8.57421875" style="57" hidden="1" customWidth="1"/>
    <col min="20" max="20" width="17.00390625" style="89" bestFit="1" customWidth="1"/>
    <col min="21" max="21" width="11.8515625" style="57" bestFit="1" customWidth="1"/>
    <col min="22" max="22" width="6.7109375" style="57" bestFit="1" customWidth="1"/>
    <col min="23" max="23" width="38.57421875" style="57" customWidth="1"/>
    <col min="24" max="24" width="38.57421875" style="53" customWidth="1"/>
    <col min="25" max="27" width="38.57421875" style="57" customWidth="1"/>
    <col min="28" max="28" width="2.28125" style="57" bestFit="1" customWidth="1"/>
    <col min="29" max="16384" width="38.57421875" style="57" customWidth="1"/>
  </cols>
  <sheetData>
    <row r="1" spans="1:22" ht="26.25">
      <c r="A1" s="351" t="s">
        <v>234</v>
      </c>
      <c r="B1" s="352"/>
      <c r="C1" s="352"/>
      <c r="D1" s="352"/>
      <c r="E1" s="352"/>
      <c r="F1" s="352"/>
      <c r="G1" s="352"/>
      <c r="H1" s="352"/>
      <c r="I1" s="352"/>
      <c r="J1" s="352"/>
      <c r="K1" s="352"/>
      <c r="L1" s="352"/>
      <c r="M1" s="352"/>
      <c r="N1" s="352"/>
      <c r="O1" s="352"/>
      <c r="P1" s="352"/>
      <c r="Q1" s="352"/>
      <c r="R1" s="352"/>
      <c r="S1" s="352"/>
      <c r="T1" s="352"/>
      <c r="U1" s="352"/>
      <c r="V1" s="353"/>
    </row>
    <row r="2" spans="1:22" ht="37.5">
      <c r="A2" s="354" t="s">
        <v>235</v>
      </c>
      <c r="B2" s="355"/>
      <c r="C2" s="355"/>
      <c r="D2" s="355"/>
      <c r="E2" s="355"/>
      <c r="F2" s="355"/>
      <c r="G2" s="355"/>
      <c r="H2" s="355"/>
      <c r="I2" s="355"/>
      <c r="J2" s="355"/>
      <c r="K2" s="355"/>
      <c r="L2" s="355"/>
      <c r="M2" s="355"/>
      <c r="N2" s="355"/>
      <c r="O2" s="355"/>
      <c r="P2" s="355"/>
      <c r="Q2" s="355"/>
      <c r="R2" s="355"/>
      <c r="S2" s="355"/>
      <c r="T2" s="355"/>
      <c r="U2" s="355"/>
      <c r="V2" s="356"/>
    </row>
    <row r="3" spans="1:22" ht="30" customHeight="1">
      <c r="A3" s="217"/>
      <c r="B3" s="218"/>
      <c r="C3" s="221" t="s">
        <v>237</v>
      </c>
      <c r="D3" s="218"/>
      <c r="E3" s="218"/>
      <c r="F3" s="218"/>
      <c r="G3" s="218"/>
      <c r="H3" s="350"/>
      <c r="I3" s="350"/>
      <c r="J3" s="350"/>
      <c r="K3" s="350"/>
      <c r="L3" s="350"/>
      <c r="M3" s="357" t="s">
        <v>238</v>
      </c>
      <c r="N3" s="357"/>
      <c r="O3" s="357"/>
      <c r="P3" s="357"/>
      <c r="Q3" s="357"/>
      <c r="R3" s="357"/>
      <c r="S3" s="357"/>
      <c r="T3" s="357"/>
      <c r="U3" s="357"/>
      <c r="V3" s="358"/>
    </row>
    <row r="4" spans="1:22" s="54" customFormat="1" ht="27.75" thickBot="1">
      <c r="A4" s="359" t="s">
        <v>202</v>
      </c>
      <c r="B4" s="360"/>
      <c r="C4" s="360"/>
      <c r="D4" s="360"/>
      <c r="E4" s="360"/>
      <c r="F4" s="360"/>
      <c r="G4" s="360"/>
      <c r="H4" s="360"/>
      <c r="I4" s="360"/>
      <c r="J4" s="360"/>
      <c r="K4" s="360"/>
      <c r="L4" s="360"/>
      <c r="M4" s="360"/>
      <c r="N4" s="360"/>
      <c r="O4" s="361"/>
      <c r="P4" s="361"/>
      <c r="Q4" s="361"/>
      <c r="R4" s="361"/>
      <c r="S4" s="361"/>
      <c r="T4" s="361"/>
      <c r="U4" s="361"/>
      <c r="V4" s="362"/>
    </row>
    <row r="5" spans="1:24" s="55" customFormat="1" ht="18">
      <c r="A5" s="215"/>
      <c r="B5" s="216"/>
      <c r="C5" s="347" t="s">
        <v>0</v>
      </c>
      <c r="D5" s="340" t="s">
        <v>96</v>
      </c>
      <c r="E5" s="340" t="s">
        <v>2</v>
      </c>
      <c r="F5" s="326" t="s">
        <v>98</v>
      </c>
      <c r="G5" s="326" t="s">
        <v>99</v>
      </c>
      <c r="H5" s="330" t="s">
        <v>4</v>
      </c>
      <c r="I5" s="330"/>
      <c r="J5" s="330" t="s">
        <v>7</v>
      </c>
      <c r="K5" s="330"/>
      <c r="L5" s="330" t="s">
        <v>8</v>
      </c>
      <c r="M5" s="330"/>
      <c r="N5" s="330" t="s">
        <v>100</v>
      </c>
      <c r="O5" s="330"/>
      <c r="P5" s="330"/>
      <c r="Q5" s="330"/>
      <c r="R5" s="330" t="s">
        <v>101</v>
      </c>
      <c r="S5" s="330"/>
      <c r="T5" s="330" t="s">
        <v>102</v>
      </c>
      <c r="U5" s="330"/>
      <c r="V5" s="346"/>
      <c r="X5" s="56"/>
    </row>
    <row r="6" spans="1:24" s="55" customFormat="1" ht="27.75" thickBot="1">
      <c r="A6" s="138"/>
      <c r="B6" s="64"/>
      <c r="C6" s="348"/>
      <c r="D6" s="349"/>
      <c r="E6" s="341"/>
      <c r="F6" s="327"/>
      <c r="G6" s="327"/>
      <c r="H6" s="67" t="s">
        <v>82</v>
      </c>
      <c r="I6" s="67" t="s">
        <v>16</v>
      </c>
      <c r="J6" s="67" t="s">
        <v>82</v>
      </c>
      <c r="K6" s="67" t="s">
        <v>16</v>
      </c>
      <c r="L6" s="67" t="s">
        <v>82</v>
      </c>
      <c r="M6" s="67" t="s">
        <v>16</v>
      </c>
      <c r="N6" s="65" t="s">
        <v>82</v>
      </c>
      <c r="O6" s="65" t="s">
        <v>16</v>
      </c>
      <c r="P6" s="66" t="s">
        <v>103</v>
      </c>
      <c r="Q6" s="66" t="s">
        <v>104</v>
      </c>
      <c r="R6" s="139" t="s">
        <v>82</v>
      </c>
      <c r="S6" s="68" t="s">
        <v>11</v>
      </c>
      <c r="T6" s="139" t="s">
        <v>82</v>
      </c>
      <c r="U6" s="67" t="s">
        <v>16</v>
      </c>
      <c r="V6" s="69" t="s">
        <v>104</v>
      </c>
      <c r="X6" s="56"/>
    </row>
    <row r="7" spans="1:24" s="55" customFormat="1" ht="18">
      <c r="A7" s="161">
        <v>1</v>
      </c>
      <c r="B7" s="70"/>
      <c r="C7" s="174" t="s">
        <v>201</v>
      </c>
      <c r="D7" s="175">
        <v>38821</v>
      </c>
      <c r="E7" s="203" t="s">
        <v>147</v>
      </c>
      <c r="F7" s="176">
        <v>118</v>
      </c>
      <c r="G7" s="186">
        <v>2</v>
      </c>
      <c r="H7" s="185">
        <v>169084</v>
      </c>
      <c r="I7" s="177">
        <v>23928</v>
      </c>
      <c r="J7" s="205">
        <v>349744.5</v>
      </c>
      <c r="K7" s="177">
        <v>48092</v>
      </c>
      <c r="L7" s="205">
        <v>499225</v>
      </c>
      <c r="M7" s="177">
        <v>66520</v>
      </c>
      <c r="N7" s="235">
        <f>SUM(H7+J7+L7)</f>
        <v>1018053.5</v>
      </c>
      <c r="O7" s="177">
        <f>SUM(I7+K7+M7)</f>
        <v>138540</v>
      </c>
      <c r="P7" s="206">
        <f>O7/F7</f>
        <v>1174.0677966101696</v>
      </c>
      <c r="Q7" s="225">
        <f>N7/O7</f>
        <v>7.348444492565324</v>
      </c>
      <c r="R7" s="224">
        <v>1310665.5</v>
      </c>
      <c r="S7" s="207">
        <f aca="true" t="shared" si="0" ref="S7:S16">IF(R7&lt;&gt;0,-(R7-N7)/R7,"")</f>
        <v>-0.22325452222554115</v>
      </c>
      <c r="T7" s="205">
        <v>2926914.5</v>
      </c>
      <c r="U7" s="177">
        <v>406377</v>
      </c>
      <c r="V7" s="208">
        <f aca="true" t="shared" si="1" ref="V7:V15">T7/U7</f>
        <v>7.202461015264151</v>
      </c>
      <c r="X7" s="56"/>
    </row>
    <row r="8" spans="1:24" s="151" customFormat="1" ht="18">
      <c r="A8" s="161">
        <v>2</v>
      </c>
      <c r="B8" s="178"/>
      <c r="C8" s="73" t="s">
        <v>203</v>
      </c>
      <c r="D8" s="72">
        <v>38828</v>
      </c>
      <c r="E8" s="197" t="s">
        <v>76</v>
      </c>
      <c r="F8" s="136">
        <v>61</v>
      </c>
      <c r="G8" s="94">
        <v>1</v>
      </c>
      <c r="H8" s="98">
        <v>53110.5</v>
      </c>
      <c r="I8" s="129">
        <v>6177</v>
      </c>
      <c r="J8" s="198">
        <v>64118</v>
      </c>
      <c r="K8" s="129">
        <v>7380</v>
      </c>
      <c r="L8" s="198">
        <v>116706</v>
      </c>
      <c r="M8" s="129">
        <v>13312</v>
      </c>
      <c r="N8" s="236">
        <f>+H8+J8+L8</f>
        <v>233934.5</v>
      </c>
      <c r="O8" s="76">
        <f>+I8+K8+M8</f>
        <v>26869</v>
      </c>
      <c r="P8" s="75">
        <f>IF(N8&lt;&gt;0,O8/F8,"")</f>
        <v>440.4754098360656</v>
      </c>
      <c r="Q8" s="127">
        <f>IF(N8&lt;&gt;0,N8/O8,"")</f>
        <v>8.7064833079013</v>
      </c>
      <c r="R8" s="98"/>
      <c r="S8" s="196">
        <f t="shared" si="0"/>
      </c>
      <c r="T8" s="198">
        <v>233934.5</v>
      </c>
      <c r="U8" s="129">
        <v>26869</v>
      </c>
      <c r="V8" s="209">
        <f t="shared" si="1"/>
        <v>8.7064833079013</v>
      </c>
      <c r="X8" s="152"/>
    </row>
    <row r="9" spans="1:24" s="151" customFormat="1" ht="18">
      <c r="A9" s="161">
        <v>3</v>
      </c>
      <c r="B9" s="178"/>
      <c r="C9" s="73" t="s">
        <v>190</v>
      </c>
      <c r="D9" s="72">
        <v>38815</v>
      </c>
      <c r="E9" s="71" t="s">
        <v>80</v>
      </c>
      <c r="F9" s="136">
        <v>96</v>
      </c>
      <c r="G9" s="94">
        <v>2</v>
      </c>
      <c r="H9" s="98">
        <v>18223</v>
      </c>
      <c r="I9" s="129">
        <v>2571</v>
      </c>
      <c r="J9" s="198">
        <v>60219</v>
      </c>
      <c r="K9" s="129">
        <v>8194</v>
      </c>
      <c r="L9" s="198">
        <v>90536</v>
      </c>
      <c r="M9" s="129">
        <v>11806</v>
      </c>
      <c r="N9" s="236">
        <f>+H9+J9+L9</f>
        <v>168978</v>
      </c>
      <c r="O9" s="76">
        <f>+I9+K9+M9</f>
        <v>22571</v>
      </c>
      <c r="P9" s="86">
        <f>O9/F9</f>
        <v>235.11458333333334</v>
      </c>
      <c r="Q9" s="226">
        <f>N9/O9</f>
        <v>7.4865092375171685</v>
      </c>
      <c r="R9" s="130">
        <f>+L9+N9+P9</f>
        <v>259749.11458333334</v>
      </c>
      <c r="S9" s="196">
        <f t="shared" si="0"/>
        <v>-0.34945687776045115</v>
      </c>
      <c r="T9" s="198">
        <v>597865</v>
      </c>
      <c r="U9" s="129">
        <v>80773</v>
      </c>
      <c r="V9" s="209">
        <f t="shared" si="1"/>
        <v>7.401792678246443</v>
      </c>
      <c r="X9" s="152"/>
    </row>
    <row r="10" spans="1:25" s="154" customFormat="1" ht="18">
      <c r="A10" s="161">
        <v>4</v>
      </c>
      <c r="B10" s="179"/>
      <c r="C10" s="78" t="s">
        <v>204</v>
      </c>
      <c r="D10" s="77">
        <v>38828</v>
      </c>
      <c r="E10" s="192" t="s">
        <v>147</v>
      </c>
      <c r="F10" s="156">
        <v>43</v>
      </c>
      <c r="G10" s="95">
        <v>1</v>
      </c>
      <c r="H10" s="99">
        <v>27453.5</v>
      </c>
      <c r="I10" s="79">
        <v>3802</v>
      </c>
      <c r="J10" s="194">
        <v>38397.5</v>
      </c>
      <c r="K10" s="79">
        <v>5110</v>
      </c>
      <c r="L10" s="194">
        <v>68128</v>
      </c>
      <c r="M10" s="79">
        <v>8861</v>
      </c>
      <c r="N10" s="237">
        <f>SUM(H10+J10+L10)</f>
        <v>133979</v>
      </c>
      <c r="O10" s="79">
        <f>SUM(I10+K10+M10)</f>
        <v>17773</v>
      </c>
      <c r="P10" s="86">
        <f>O10/F10</f>
        <v>413.3255813953488</v>
      </c>
      <c r="Q10" s="226">
        <f>N10/O10</f>
        <v>7.538344680132786</v>
      </c>
      <c r="R10" s="100"/>
      <c r="S10" s="196">
        <f t="shared" si="0"/>
      </c>
      <c r="T10" s="194">
        <v>133979</v>
      </c>
      <c r="U10" s="79">
        <v>17773</v>
      </c>
      <c r="V10" s="210">
        <f t="shared" si="1"/>
        <v>7.538344680132786</v>
      </c>
      <c r="W10" s="153"/>
      <c r="Y10" s="153"/>
    </row>
    <row r="11" spans="1:24" s="155" customFormat="1" ht="18">
      <c r="A11" s="161">
        <v>5</v>
      </c>
      <c r="B11" s="179"/>
      <c r="C11" s="73" t="s">
        <v>145</v>
      </c>
      <c r="D11" s="72">
        <v>38814</v>
      </c>
      <c r="E11" s="197" t="s">
        <v>76</v>
      </c>
      <c r="F11" s="136">
        <v>109</v>
      </c>
      <c r="G11" s="94">
        <v>3</v>
      </c>
      <c r="H11" s="98">
        <v>22095.5</v>
      </c>
      <c r="I11" s="129">
        <v>3070</v>
      </c>
      <c r="J11" s="198">
        <v>28533</v>
      </c>
      <c r="K11" s="129">
        <v>4486</v>
      </c>
      <c r="L11" s="198">
        <v>42939</v>
      </c>
      <c r="M11" s="129">
        <v>6626</v>
      </c>
      <c r="N11" s="236">
        <f aca="true" t="shared" si="2" ref="N11:O16">+H11+J11+L11</f>
        <v>93567.5</v>
      </c>
      <c r="O11" s="76">
        <f t="shared" si="2"/>
        <v>14182</v>
      </c>
      <c r="P11" s="75">
        <f>IF(N11&lt;&gt;0,O11/F11,"")</f>
        <v>130.11009174311926</v>
      </c>
      <c r="Q11" s="127">
        <f>IF(N11&lt;&gt;0,N11/O11,"")</f>
        <v>6.597623748413482</v>
      </c>
      <c r="R11" s="98">
        <v>167760.5</v>
      </c>
      <c r="S11" s="196">
        <f t="shared" si="0"/>
        <v>-0.44225547730246395</v>
      </c>
      <c r="T11" s="198">
        <v>807238</v>
      </c>
      <c r="U11" s="129">
        <v>122485</v>
      </c>
      <c r="V11" s="209">
        <f t="shared" si="1"/>
        <v>6.590504959790994</v>
      </c>
      <c r="W11" s="153"/>
      <c r="X11" s="153"/>
    </row>
    <row r="12" spans="1:24" s="155" customFormat="1" ht="18">
      <c r="A12" s="161">
        <v>6</v>
      </c>
      <c r="B12" s="179"/>
      <c r="C12" s="73" t="s">
        <v>132</v>
      </c>
      <c r="D12" s="72">
        <v>38807</v>
      </c>
      <c r="E12" s="71" t="s">
        <v>143</v>
      </c>
      <c r="F12" s="136">
        <v>115</v>
      </c>
      <c r="G12" s="94">
        <v>4</v>
      </c>
      <c r="H12" s="98">
        <v>18118</v>
      </c>
      <c r="I12" s="129">
        <v>2734</v>
      </c>
      <c r="J12" s="198">
        <v>28128</v>
      </c>
      <c r="K12" s="129">
        <v>4249</v>
      </c>
      <c r="L12" s="198">
        <v>44673</v>
      </c>
      <c r="M12" s="129">
        <v>6662</v>
      </c>
      <c r="N12" s="236">
        <f t="shared" si="2"/>
        <v>90919</v>
      </c>
      <c r="O12" s="76">
        <f t="shared" si="2"/>
        <v>13645</v>
      </c>
      <c r="P12" s="86">
        <f>O12/F12</f>
        <v>118.65217391304348</v>
      </c>
      <c r="Q12" s="226">
        <f>N12/O12</f>
        <v>6.663173323561744</v>
      </c>
      <c r="R12" s="130">
        <v>190050</v>
      </c>
      <c r="S12" s="196">
        <f t="shared" si="0"/>
        <v>-0.5216048408313602</v>
      </c>
      <c r="T12" s="198">
        <v>1895403</v>
      </c>
      <c r="U12" s="129">
        <v>253971</v>
      </c>
      <c r="V12" s="209">
        <f t="shared" si="1"/>
        <v>7.463068618070567</v>
      </c>
      <c r="W12" s="191"/>
      <c r="X12" s="191"/>
    </row>
    <row r="13" spans="1:24" s="155" customFormat="1" ht="18">
      <c r="A13" s="161">
        <v>7</v>
      </c>
      <c r="B13" s="179"/>
      <c r="C13" s="73" t="s">
        <v>206</v>
      </c>
      <c r="D13" s="72">
        <v>38828</v>
      </c>
      <c r="E13" s="71" t="s">
        <v>80</v>
      </c>
      <c r="F13" s="136">
        <v>48</v>
      </c>
      <c r="G13" s="94">
        <v>1</v>
      </c>
      <c r="H13" s="98">
        <v>15089</v>
      </c>
      <c r="I13" s="129">
        <v>1641</v>
      </c>
      <c r="J13" s="198">
        <v>22928</v>
      </c>
      <c r="K13" s="129">
        <v>2537</v>
      </c>
      <c r="L13" s="198">
        <v>48420</v>
      </c>
      <c r="M13" s="129">
        <v>5174</v>
      </c>
      <c r="N13" s="236">
        <f t="shared" si="2"/>
        <v>86437</v>
      </c>
      <c r="O13" s="76">
        <f t="shared" si="2"/>
        <v>9352</v>
      </c>
      <c r="P13" s="86">
        <f>O13/F13</f>
        <v>194.83333333333334</v>
      </c>
      <c r="Q13" s="226">
        <f>N13/O13</f>
        <v>9.242621899059024</v>
      </c>
      <c r="R13" s="98"/>
      <c r="S13" s="196">
        <f t="shared" si="0"/>
      </c>
      <c r="T13" s="198">
        <v>86437</v>
      </c>
      <c r="U13" s="129">
        <v>9352</v>
      </c>
      <c r="V13" s="209">
        <f t="shared" si="1"/>
        <v>9.242621899059024</v>
      </c>
      <c r="W13" s="153"/>
      <c r="X13" s="153"/>
    </row>
    <row r="14" spans="1:24" s="155" customFormat="1" ht="18">
      <c r="A14" s="161">
        <v>8</v>
      </c>
      <c r="B14" s="179"/>
      <c r="C14" s="73" t="s">
        <v>207</v>
      </c>
      <c r="D14" s="72">
        <v>38821</v>
      </c>
      <c r="E14" s="197" t="s">
        <v>76</v>
      </c>
      <c r="F14" s="136">
        <v>54</v>
      </c>
      <c r="G14" s="94">
        <v>2</v>
      </c>
      <c r="H14" s="98">
        <v>10123</v>
      </c>
      <c r="I14" s="129">
        <v>1332</v>
      </c>
      <c r="J14" s="198">
        <v>14059.5</v>
      </c>
      <c r="K14" s="129">
        <v>1912</v>
      </c>
      <c r="L14" s="198">
        <v>28760</v>
      </c>
      <c r="M14" s="129">
        <v>3680</v>
      </c>
      <c r="N14" s="236">
        <f t="shared" si="2"/>
        <v>52942.5</v>
      </c>
      <c r="O14" s="76">
        <f t="shared" si="2"/>
        <v>6924</v>
      </c>
      <c r="P14" s="75">
        <f>IF(N14&lt;&gt;0,O14/F14,"")</f>
        <v>128.22222222222223</v>
      </c>
      <c r="Q14" s="127">
        <f>IF(N14&lt;&gt;0,N14/O14,"")</f>
        <v>7.6462305025996535</v>
      </c>
      <c r="R14" s="98">
        <v>98266.5</v>
      </c>
      <c r="S14" s="196">
        <f t="shared" si="0"/>
        <v>-0.4612355176993177</v>
      </c>
      <c r="T14" s="198">
        <v>208458.5</v>
      </c>
      <c r="U14" s="129">
        <v>28033</v>
      </c>
      <c r="V14" s="209">
        <f t="shared" si="1"/>
        <v>7.436182356508401</v>
      </c>
      <c r="W14" s="153"/>
      <c r="X14" s="153"/>
    </row>
    <row r="15" spans="1:24" s="155" customFormat="1" ht="18">
      <c r="A15" s="161">
        <v>9</v>
      </c>
      <c r="B15" s="179"/>
      <c r="C15" s="73" t="s">
        <v>192</v>
      </c>
      <c r="D15" s="72">
        <v>38821</v>
      </c>
      <c r="E15" s="197" t="s">
        <v>76</v>
      </c>
      <c r="F15" s="136">
        <v>32</v>
      </c>
      <c r="G15" s="94">
        <v>2</v>
      </c>
      <c r="H15" s="98">
        <v>13128</v>
      </c>
      <c r="I15" s="129">
        <v>1347</v>
      </c>
      <c r="J15" s="198">
        <v>14899</v>
      </c>
      <c r="K15" s="129">
        <v>1602</v>
      </c>
      <c r="L15" s="198">
        <v>24232</v>
      </c>
      <c r="M15" s="129">
        <v>2557</v>
      </c>
      <c r="N15" s="236">
        <f t="shared" si="2"/>
        <v>52259</v>
      </c>
      <c r="O15" s="76">
        <f t="shared" si="2"/>
        <v>5506</v>
      </c>
      <c r="P15" s="75">
        <f>IF(N15&lt;&gt;0,O15/F15,"")</f>
        <v>172.0625</v>
      </c>
      <c r="Q15" s="127">
        <f>IF(N15&lt;&gt;0,N15/O15,"")</f>
        <v>9.491282237559027</v>
      </c>
      <c r="R15" s="98">
        <v>81322</v>
      </c>
      <c r="S15" s="196">
        <f t="shared" si="0"/>
        <v>-0.35738176631169916</v>
      </c>
      <c r="T15" s="198">
        <v>175186</v>
      </c>
      <c r="U15" s="129">
        <v>18596</v>
      </c>
      <c r="V15" s="209">
        <f t="shared" si="1"/>
        <v>9.42062809206281</v>
      </c>
      <c r="W15" s="153"/>
      <c r="X15" s="153"/>
    </row>
    <row r="16" spans="1:24" s="155" customFormat="1" ht="18.75" thickBot="1">
      <c r="A16" s="161">
        <v>10</v>
      </c>
      <c r="B16" s="181"/>
      <c r="C16" s="113" t="s">
        <v>208</v>
      </c>
      <c r="D16" s="112">
        <v>38828</v>
      </c>
      <c r="E16" s="111" t="s">
        <v>143</v>
      </c>
      <c r="F16" s="182">
        <v>46</v>
      </c>
      <c r="G16" s="114">
        <v>1</v>
      </c>
      <c r="H16" s="115">
        <v>9342</v>
      </c>
      <c r="I16" s="135">
        <v>1148</v>
      </c>
      <c r="J16" s="212">
        <v>14847</v>
      </c>
      <c r="K16" s="135">
        <v>1970</v>
      </c>
      <c r="L16" s="212">
        <v>22588</v>
      </c>
      <c r="M16" s="135">
        <v>2801</v>
      </c>
      <c r="N16" s="238">
        <f t="shared" si="2"/>
        <v>46777</v>
      </c>
      <c r="O16" s="118">
        <f t="shared" si="2"/>
        <v>5919</v>
      </c>
      <c r="P16" s="125">
        <f>O16/F16</f>
        <v>128.67391304347825</v>
      </c>
      <c r="Q16" s="227">
        <f>N16/O16</f>
        <v>7.902855212029059</v>
      </c>
      <c r="R16" s="134"/>
      <c r="S16" s="213">
        <f t="shared" si="0"/>
      </c>
      <c r="T16" s="212">
        <f>+N16</f>
        <v>46777</v>
      </c>
      <c r="U16" s="135">
        <f>+O16</f>
        <v>5919</v>
      </c>
      <c r="V16" s="214">
        <f>+Q16</f>
        <v>7.902855212029059</v>
      </c>
      <c r="W16" s="153"/>
      <c r="X16" s="153"/>
    </row>
    <row r="17" spans="1:28" s="60" customFormat="1" ht="19.5" thickBot="1">
      <c r="A17" s="137"/>
      <c r="B17" s="162"/>
      <c r="C17" s="163"/>
      <c r="D17" s="164"/>
      <c r="E17" s="164"/>
      <c r="F17" s="166"/>
      <c r="G17" s="166"/>
      <c r="H17" s="167"/>
      <c r="I17" s="168"/>
      <c r="J17" s="167"/>
      <c r="K17" s="168"/>
      <c r="L17" s="167"/>
      <c r="M17" s="168"/>
      <c r="N17" s="169"/>
      <c r="O17" s="170"/>
      <c r="P17" s="171"/>
      <c r="Q17" s="172"/>
      <c r="R17" s="167"/>
      <c r="S17" s="173"/>
      <c r="T17" s="167"/>
      <c r="U17" s="173"/>
      <c r="V17" s="173"/>
      <c r="W17" s="58"/>
      <c r="X17" s="59"/>
      <c r="Y17" s="58"/>
      <c r="Z17" s="58"/>
      <c r="AA17" s="58"/>
      <c r="AB17" s="58"/>
    </row>
    <row r="18" spans="1:28" s="91" customFormat="1" ht="15.75" thickBot="1">
      <c r="A18" s="140"/>
      <c r="B18" s="328" t="s">
        <v>115</v>
      </c>
      <c r="C18" s="329"/>
      <c r="D18" s="329"/>
      <c r="E18" s="329"/>
      <c r="F18" s="142">
        <f>SUM(F7:F17)</f>
        <v>722</v>
      </c>
      <c r="G18" s="141"/>
      <c r="H18" s="143"/>
      <c r="I18" s="144"/>
      <c r="J18" s="143"/>
      <c r="K18" s="144"/>
      <c r="L18" s="143"/>
      <c r="M18" s="144"/>
      <c r="N18" s="143">
        <f>SUM(N7:N17)</f>
        <v>1977847</v>
      </c>
      <c r="O18" s="144">
        <f>SUM(O7:O17)</f>
        <v>261281</v>
      </c>
      <c r="P18" s="145">
        <f>N18/F18</f>
        <v>2739.4002770083102</v>
      </c>
      <c r="Q18" s="146">
        <f>N18/O18</f>
        <v>7.569807984507102</v>
      </c>
      <c r="R18" s="143"/>
      <c r="S18" s="147"/>
      <c r="T18" s="160"/>
      <c r="U18" s="148"/>
      <c r="V18" s="149"/>
      <c r="X18" s="92"/>
      <c r="AB18" s="91" t="s">
        <v>116</v>
      </c>
    </row>
    <row r="19" spans="18:22" ht="18">
      <c r="R19" s="342" t="s">
        <v>117</v>
      </c>
      <c r="S19" s="342"/>
      <c r="T19" s="342"/>
      <c r="U19" s="342"/>
      <c r="V19" s="342"/>
    </row>
    <row r="20" spans="3:22" ht="12" customHeight="1">
      <c r="C20" s="220"/>
      <c r="D20" s="220"/>
      <c r="E20" s="220"/>
      <c r="F20" s="219"/>
      <c r="G20" s="219"/>
      <c r="R20" s="343"/>
      <c r="S20" s="343"/>
      <c r="T20" s="343"/>
      <c r="U20" s="343"/>
      <c r="V20" s="343"/>
    </row>
    <row r="21" spans="18:22" ht="18">
      <c r="R21" s="343"/>
      <c r="S21" s="343"/>
      <c r="T21" s="343"/>
      <c r="U21" s="343"/>
      <c r="V21" s="343"/>
    </row>
    <row r="22" spans="1:22" ht="18">
      <c r="A22" s="344" t="s">
        <v>118</v>
      </c>
      <c r="B22" s="345"/>
      <c r="C22" s="345"/>
      <c r="D22" s="345"/>
      <c r="E22" s="345"/>
      <c r="F22" s="345"/>
      <c r="G22" s="345"/>
      <c r="H22" s="345"/>
      <c r="I22" s="345"/>
      <c r="J22" s="345"/>
      <c r="K22" s="345"/>
      <c r="L22" s="345"/>
      <c r="M22" s="345"/>
      <c r="N22" s="345"/>
      <c r="O22" s="345"/>
      <c r="P22" s="345"/>
      <c r="Q22" s="345"/>
      <c r="R22" s="345"/>
      <c r="S22" s="345"/>
      <c r="T22" s="345"/>
      <c r="U22" s="345"/>
      <c r="V22" s="345"/>
    </row>
    <row r="23" spans="1:22" ht="18">
      <c r="A23" s="345"/>
      <c r="B23" s="345"/>
      <c r="C23" s="345"/>
      <c r="D23" s="345"/>
      <c r="E23" s="345"/>
      <c r="F23" s="345"/>
      <c r="G23" s="345"/>
      <c r="H23" s="345"/>
      <c r="I23" s="345"/>
      <c r="J23" s="345"/>
      <c r="K23" s="345"/>
      <c r="L23" s="345"/>
      <c r="M23" s="345"/>
      <c r="N23" s="345"/>
      <c r="O23" s="345"/>
      <c r="P23" s="345"/>
      <c r="Q23" s="345"/>
      <c r="R23" s="345"/>
      <c r="S23" s="345"/>
      <c r="T23" s="345"/>
      <c r="U23" s="345"/>
      <c r="V23" s="345"/>
    </row>
    <row r="24" spans="1:22" ht="18">
      <c r="A24" s="345"/>
      <c r="B24" s="345"/>
      <c r="C24" s="345"/>
      <c r="D24" s="345"/>
      <c r="E24" s="345"/>
      <c r="F24" s="345"/>
      <c r="G24" s="345"/>
      <c r="H24" s="345"/>
      <c r="I24" s="345"/>
      <c r="J24" s="345"/>
      <c r="K24" s="345"/>
      <c r="L24" s="345"/>
      <c r="M24" s="345"/>
      <c r="N24" s="345"/>
      <c r="O24" s="345"/>
      <c r="P24" s="345"/>
      <c r="Q24" s="345"/>
      <c r="R24" s="345"/>
      <c r="S24" s="345"/>
      <c r="T24" s="345"/>
      <c r="U24" s="345"/>
      <c r="V24" s="345"/>
    </row>
    <row r="25" spans="1:22" ht="4.5" customHeight="1">
      <c r="A25" s="345"/>
      <c r="B25" s="345"/>
      <c r="C25" s="345"/>
      <c r="D25" s="345"/>
      <c r="E25" s="345"/>
      <c r="F25" s="345"/>
      <c r="G25" s="345"/>
      <c r="H25" s="345"/>
      <c r="I25" s="345"/>
      <c r="J25" s="345"/>
      <c r="K25" s="345"/>
      <c r="L25" s="345"/>
      <c r="M25" s="345"/>
      <c r="N25" s="345"/>
      <c r="O25" s="345"/>
      <c r="P25" s="345"/>
      <c r="Q25" s="345"/>
      <c r="R25" s="345"/>
      <c r="S25" s="345"/>
      <c r="T25" s="345"/>
      <c r="U25" s="345"/>
      <c r="V25" s="345"/>
    </row>
  </sheetData>
  <mergeCells count="19">
    <mergeCell ref="A1:V1"/>
    <mergeCell ref="A2:V2"/>
    <mergeCell ref="M3:V3"/>
    <mergeCell ref="A4:V4"/>
    <mergeCell ref="G5:G6"/>
    <mergeCell ref="H5:I5"/>
    <mergeCell ref="C5:C6"/>
    <mergeCell ref="D5:D6"/>
    <mergeCell ref="E5:E6"/>
    <mergeCell ref="A22:V25"/>
    <mergeCell ref="H3:L3"/>
    <mergeCell ref="T5:V5"/>
    <mergeCell ref="B18:E18"/>
    <mergeCell ref="R19:V21"/>
    <mergeCell ref="J5:K5"/>
    <mergeCell ref="L5:M5"/>
    <mergeCell ref="N5:Q5"/>
    <mergeCell ref="R5:S5"/>
    <mergeCell ref="F5:F6"/>
  </mergeCells>
  <printOptions/>
  <pageMargins left="0.75" right="0.75" top="1" bottom="1" header="0.5" footer="0.5"/>
  <pageSetup orientation="landscape" paperSize="9" scale="80" r:id="rId2"/>
  <ignoredErrors>
    <ignoredError sqref="P8:V9 N10:O16 P10:S16 V10:V16 T10:U15" formula="1"/>
    <ignoredError sqref="T16:U16" formula="1" unlockedFormula="1"/>
  </ignoredErrors>
  <drawing r:id="rId1"/>
</worksheet>
</file>

<file path=xl/worksheets/sheet2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39</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+'Aug.4-6 (we32)'!N37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40</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+'Aug.11-13 (we33)'!N37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41</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+'Aug.18-20 (we34)'!N37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42</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+'Aug.25-27 (we35)'!N37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43</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+'Sep.1-3 (we36)'!N37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44</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+'Sep.8-10 (we37)'!N37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45</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+'Sep.15-17 (we38)'!N37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V37"/>
  <sheetViews>
    <sheetView zoomScale="90" zoomScaleNormal="90" workbookViewId="0" topLeftCell="A1">
      <pane xSplit="7" ySplit="6" topLeftCell="H7" activePane="bottomRight" state="frozen"/>
      <selection pane="topLeft" activeCell="A3" sqref="A3:V3"/>
      <selection pane="topRight" activeCell="A3" sqref="A3:V3"/>
      <selection pane="bottomLeft" activeCell="A3" sqref="A3:V3"/>
      <selection pane="bottomRight"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46</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+'Sep.22-24 (we39)'!N37</f>
        <v>0</v>
      </c>
      <c r="Q37" s="17" t="e">
        <f t="shared" si="1"/>
        <v>#DIV/0!</v>
      </c>
      <c r="R37" s="17" t="e">
        <f t="shared" si="2"/>
        <v>#DIV/0!</v>
      </c>
      <c r="S37" s="17" t="e">
        <f t="shared" si="2"/>
        <v>#DIV/0!</v>
      </c>
      <c r="T37" s="17"/>
      <c r="U37" s="17"/>
      <c r="V37" s="17"/>
    </row>
  </sheetData>
  <mergeCells count="21">
    <mergeCell ref="E4:E6"/>
    <mergeCell ref="R4:R6"/>
    <mergeCell ref="G4:G6"/>
    <mergeCell ref="T4:T6"/>
    <mergeCell ref="A1:V1"/>
    <mergeCell ref="A2:V2"/>
    <mergeCell ref="A3:V3"/>
    <mergeCell ref="A4:A6"/>
    <mergeCell ref="B4:B6"/>
    <mergeCell ref="C4:C6"/>
    <mergeCell ref="D4:D6"/>
    <mergeCell ref="S4:S6"/>
    <mergeCell ref="F4:F6"/>
    <mergeCell ref="U4:U6"/>
    <mergeCell ref="V4:V6"/>
    <mergeCell ref="H5:I5"/>
    <mergeCell ref="J5:K5"/>
    <mergeCell ref="L5:M5"/>
    <mergeCell ref="N5:O5"/>
    <mergeCell ref="P5:Q5"/>
    <mergeCell ref="H4:O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47</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+'Sep.29-Oct.1(we40)'!N37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48</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+'Oct.6-8 (we41)'!N37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D94"/>
  <sheetViews>
    <sheetView zoomScale="50" zoomScaleNormal="50" workbookViewId="0" topLeftCell="A1">
      <selection activeCell="A1" sqref="A1:IV16384"/>
    </sheetView>
  </sheetViews>
  <sheetFormatPr defaultColWidth="9.140625" defaultRowHeight="12.75"/>
  <cols>
    <col min="1" max="1" width="3.57421875" style="122" bestFit="1" customWidth="1"/>
    <col min="2" max="2" width="1.7109375" style="61" customWidth="1"/>
    <col min="3" max="3" width="38.7109375" style="57" bestFit="1" customWidth="1"/>
    <col min="4" max="4" width="9.8515625" style="57" bestFit="1" customWidth="1"/>
    <col min="5" max="5" width="13.8515625" style="57" bestFit="1" customWidth="1"/>
    <col min="6" max="6" width="14.7109375" style="62" bestFit="1" customWidth="1"/>
    <col min="7" max="7" width="5.57421875" style="63" bestFit="1" customWidth="1"/>
    <col min="8" max="8" width="7.28125" style="63" bestFit="1" customWidth="1"/>
    <col min="9" max="9" width="7.8515625" style="57" customWidth="1"/>
    <col min="10" max="10" width="12.140625" style="57" bestFit="1" customWidth="1"/>
    <col min="11" max="11" width="8.421875" style="57" bestFit="1" customWidth="1"/>
    <col min="12" max="12" width="12.140625" style="57" bestFit="1" customWidth="1"/>
    <col min="13" max="13" width="8.421875" style="57" bestFit="1" customWidth="1"/>
    <col min="14" max="14" width="12.140625" style="57" bestFit="1" customWidth="1"/>
    <col min="15" max="15" width="8.421875" style="57" bestFit="1" customWidth="1"/>
    <col min="16" max="16" width="14.421875" style="90" bestFit="1" customWidth="1"/>
    <col min="17" max="17" width="9.28125" style="57" bestFit="1" customWidth="1"/>
    <col min="18" max="18" width="8.140625" style="57" bestFit="1" customWidth="1"/>
    <col min="19" max="19" width="7.28125" style="57" bestFit="1" customWidth="1"/>
    <col min="20" max="20" width="14.140625" style="89" bestFit="1" customWidth="1"/>
    <col min="21" max="21" width="8.421875" style="57" bestFit="1" customWidth="1"/>
    <col min="22" max="22" width="15.57421875" style="89" bestFit="1" customWidth="1"/>
    <col min="23" max="23" width="11.57421875" style="57" bestFit="1" customWidth="1"/>
    <col min="24" max="24" width="6.140625" style="57" bestFit="1" customWidth="1"/>
    <col min="25" max="25" width="38.57421875" style="57" customWidth="1"/>
    <col min="26" max="26" width="38.57421875" style="53" customWidth="1"/>
    <col min="27" max="29" width="38.57421875" style="57" customWidth="1"/>
    <col min="30" max="30" width="2.7109375" style="57" bestFit="1" customWidth="1"/>
    <col min="31" max="16384" width="38.57421875" style="57" customWidth="1"/>
  </cols>
  <sheetData>
    <row r="1" spans="1:24" ht="38.25">
      <c r="A1" s="331" t="s">
        <v>240</v>
      </c>
      <c r="B1" s="332"/>
      <c r="C1" s="332"/>
      <c r="D1" s="332"/>
      <c r="E1" s="332"/>
      <c r="F1" s="332"/>
      <c r="G1" s="332"/>
      <c r="H1" s="332"/>
      <c r="I1" s="332"/>
      <c r="J1" s="332"/>
      <c r="K1" s="332"/>
      <c r="L1" s="332"/>
      <c r="M1" s="332"/>
      <c r="N1" s="332"/>
      <c r="O1" s="332"/>
      <c r="P1" s="332"/>
      <c r="Q1" s="332"/>
      <c r="R1" s="332"/>
      <c r="S1" s="332"/>
      <c r="T1" s="332"/>
      <c r="U1" s="332"/>
      <c r="V1" s="332"/>
      <c r="W1" s="332"/>
      <c r="X1" s="333"/>
    </row>
    <row r="2" spans="1:24" ht="56.25" customHeight="1">
      <c r="A2" s="323" t="s">
        <v>235</v>
      </c>
      <c r="B2" s="324"/>
      <c r="C2" s="324"/>
      <c r="D2" s="324"/>
      <c r="E2" s="324"/>
      <c r="F2" s="324"/>
      <c r="G2" s="324"/>
      <c r="H2" s="324"/>
      <c r="I2" s="324"/>
      <c r="J2" s="324"/>
      <c r="K2" s="324"/>
      <c r="L2" s="324"/>
      <c r="M2" s="324"/>
      <c r="N2" s="324"/>
      <c r="O2" s="324"/>
      <c r="P2" s="324"/>
      <c r="Q2" s="324"/>
      <c r="R2" s="324"/>
      <c r="S2" s="324"/>
      <c r="T2" s="324"/>
      <c r="U2" s="324"/>
      <c r="V2" s="324"/>
      <c r="W2" s="324"/>
      <c r="X2" s="322"/>
    </row>
    <row r="3" spans="1:24" ht="42.75" customHeight="1">
      <c r="A3" s="217"/>
      <c r="B3" s="218"/>
      <c r="C3" s="239" t="s">
        <v>239</v>
      </c>
      <c r="D3" s="218"/>
      <c r="E3" s="218"/>
      <c r="F3" s="218"/>
      <c r="G3" s="218"/>
      <c r="H3" s="218"/>
      <c r="I3" s="218"/>
      <c r="J3" s="218"/>
      <c r="K3" s="218"/>
      <c r="L3" s="218"/>
      <c r="M3" s="218"/>
      <c r="N3" s="218"/>
      <c r="O3" s="334" t="s">
        <v>253</v>
      </c>
      <c r="P3" s="334"/>
      <c r="Q3" s="334"/>
      <c r="R3" s="334"/>
      <c r="S3" s="334"/>
      <c r="T3" s="334"/>
      <c r="U3" s="334"/>
      <c r="V3" s="334"/>
      <c r="W3" s="334"/>
      <c r="X3" s="335"/>
    </row>
    <row r="4" spans="1:24" s="54" customFormat="1" ht="27.75" thickBot="1">
      <c r="A4" s="336" t="s">
        <v>202</v>
      </c>
      <c r="B4" s="337"/>
      <c r="C4" s="337"/>
      <c r="D4" s="337"/>
      <c r="E4" s="337"/>
      <c r="F4" s="337"/>
      <c r="G4" s="337"/>
      <c r="H4" s="337"/>
      <c r="I4" s="337"/>
      <c r="J4" s="337"/>
      <c r="K4" s="337"/>
      <c r="L4" s="337"/>
      <c r="M4" s="337"/>
      <c r="N4" s="337"/>
      <c r="O4" s="337"/>
      <c r="P4" s="337"/>
      <c r="Q4" s="338"/>
      <c r="R4" s="338"/>
      <c r="S4" s="338"/>
      <c r="T4" s="338"/>
      <c r="U4" s="338"/>
      <c r="V4" s="338"/>
      <c r="W4" s="338"/>
      <c r="X4" s="339"/>
    </row>
    <row r="5" spans="1:26" s="55" customFormat="1" ht="18">
      <c r="A5" s="215"/>
      <c r="B5" s="216"/>
      <c r="C5" s="347" t="s">
        <v>0</v>
      </c>
      <c r="D5" s="340" t="s">
        <v>96</v>
      </c>
      <c r="E5" s="340" t="s">
        <v>2</v>
      </c>
      <c r="F5" s="340" t="s">
        <v>188</v>
      </c>
      <c r="G5" s="326" t="s">
        <v>97</v>
      </c>
      <c r="H5" s="326" t="s">
        <v>98</v>
      </c>
      <c r="I5" s="326" t="s">
        <v>99</v>
      </c>
      <c r="J5" s="330" t="s">
        <v>4</v>
      </c>
      <c r="K5" s="330"/>
      <c r="L5" s="330" t="s">
        <v>7</v>
      </c>
      <c r="M5" s="330"/>
      <c r="N5" s="330" t="s">
        <v>8</v>
      </c>
      <c r="O5" s="330"/>
      <c r="P5" s="330" t="s">
        <v>100</v>
      </c>
      <c r="Q5" s="330"/>
      <c r="R5" s="330"/>
      <c r="S5" s="330"/>
      <c r="T5" s="330" t="s">
        <v>101</v>
      </c>
      <c r="U5" s="330"/>
      <c r="V5" s="330" t="s">
        <v>102</v>
      </c>
      <c r="W5" s="330"/>
      <c r="X5" s="346"/>
      <c r="Z5" s="56"/>
    </row>
    <row r="6" spans="1:26" s="55" customFormat="1" ht="27.75" thickBot="1">
      <c r="A6" s="138"/>
      <c r="B6" s="64"/>
      <c r="C6" s="348"/>
      <c r="D6" s="349"/>
      <c r="E6" s="341"/>
      <c r="F6" s="341"/>
      <c r="G6" s="327"/>
      <c r="H6" s="327"/>
      <c r="I6" s="327"/>
      <c r="J6" s="67" t="s">
        <v>82</v>
      </c>
      <c r="K6" s="67" t="s">
        <v>16</v>
      </c>
      <c r="L6" s="67" t="s">
        <v>82</v>
      </c>
      <c r="M6" s="67" t="s">
        <v>16</v>
      </c>
      <c r="N6" s="67" t="s">
        <v>82</v>
      </c>
      <c r="O6" s="67" t="s">
        <v>16</v>
      </c>
      <c r="P6" s="65" t="s">
        <v>82</v>
      </c>
      <c r="Q6" s="65" t="s">
        <v>16</v>
      </c>
      <c r="R6" s="66" t="s">
        <v>103</v>
      </c>
      <c r="S6" s="66" t="s">
        <v>104</v>
      </c>
      <c r="T6" s="139" t="s">
        <v>82</v>
      </c>
      <c r="U6" s="68" t="s">
        <v>11</v>
      </c>
      <c r="V6" s="139" t="s">
        <v>82</v>
      </c>
      <c r="W6" s="67" t="s">
        <v>16</v>
      </c>
      <c r="X6" s="69" t="s">
        <v>104</v>
      </c>
      <c r="Z6" s="56"/>
    </row>
    <row r="7" spans="1:26" s="55" customFormat="1" ht="20.25" customHeight="1">
      <c r="A7" s="161">
        <v>1</v>
      </c>
      <c r="B7" s="70"/>
      <c r="C7" s="245" t="s">
        <v>241</v>
      </c>
      <c r="D7" s="246">
        <v>38821</v>
      </c>
      <c r="E7" s="247" t="s">
        <v>78</v>
      </c>
      <c r="F7" s="245" t="s">
        <v>148</v>
      </c>
      <c r="G7" s="248">
        <v>118</v>
      </c>
      <c r="H7" s="248">
        <v>118</v>
      </c>
      <c r="I7" s="264">
        <v>3</v>
      </c>
      <c r="J7" s="258">
        <v>119876</v>
      </c>
      <c r="K7" s="250">
        <v>17837</v>
      </c>
      <c r="L7" s="249">
        <v>272973.5</v>
      </c>
      <c r="M7" s="250">
        <v>36983</v>
      </c>
      <c r="N7" s="249">
        <v>293271</v>
      </c>
      <c r="O7" s="271">
        <v>38979</v>
      </c>
      <c r="P7" s="265">
        <f>SUM(J7+L7+N7)</f>
        <v>686120.5</v>
      </c>
      <c r="Q7" s="254">
        <f>SUM(K7+M7+O7)</f>
        <v>93799</v>
      </c>
      <c r="R7" s="206">
        <f>Q7/H7</f>
        <v>794.9067796610169</v>
      </c>
      <c r="S7" s="225">
        <f>P7/Q7</f>
        <v>7.314795466902632</v>
      </c>
      <c r="T7" s="258">
        <v>1018053.5</v>
      </c>
      <c r="U7" s="109">
        <f aca="true" t="shared" si="0" ref="U7:U39">IF(T7&lt;&gt;0,-(T7-P7)/T7,"")</f>
        <v>-0.3260467156195622</v>
      </c>
      <c r="V7" s="258">
        <v>4178521.5</v>
      </c>
      <c r="W7" s="250">
        <v>588308</v>
      </c>
      <c r="X7" s="208">
        <f aca="true" t="shared" si="1" ref="X7:X17">V7/W7</f>
        <v>7.102608667568688</v>
      </c>
      <c r="Z7" s="56"/>
    </row>
    <row r="8" spans="1:26" s="151" customFormat="1" ht="20.25" customHeight="1">
      <c r="A8" s="161">
        <v>2</v>
      </c>
      <c r="B8" s="178"/>
      <c r="C8" s="71" t="s">
        <v>242</v>
      </c>
      <c r="D8" s="72">
        <v>38835</v>
      </c>
      <c r="E8" s="197" t="s">
        <v>80</v>
      </c>
      <c r="F8" s="71" t="s">
        <v>172</v>
      </c>
      <c r="G8" s="136">
        <v>71</v>
      </c>
      <c r="H8" s="136">
        <v>76</v>
      </c>
      <c r="I8" s="94">
        <v>1</v>
      </c>
      <c r="J8" s="259">
        <v>76914</v>
      </c>
      <c r="K8" s="129">
        <v>8657</v>
      </c>
      <c r="L8" s="242">
        <v>136434</v>
      </c>
      <c r="M8" s="129">
        <v>14816</v>
      </c>
      <c r="N8" s="242">
        <v>159406</v>
      </c>
      <c r="O8" s="105">
        <v>17316</v>
      </c>
      <c r="P8" s="266">
        <f>+J8+L8+N8</f>
        <v>372754</v>
      </c>
      <c r="Q8" s="184">
        <f>+K8+M8+O8</f>
        <v>40789</v>
      </c>
      <c r="R8" s="75">
        <f>IF(P8&lt;&gt;0,Q8/H8,"")</f>
        <v>536.6973684210526</v>
      </c>
      <c r="S8" s="127">
        <f>IF(P8&lt;&gt;0,P8/Q8,"")</f>
        <v>9.138591286866557</v>
      </c>
      <c r="T8" s="272"/>
      <c r="U8" s="110">
        <f t="shared" si="0"/>
      </c>
      <c r="V8" s="259">
        <v>372754</v>
      </c>
      <c r="W8" s="129">
        <v>40789</v>
      </c>
      <c r="X8" s="209">
        <f t="shared" si="1"/>
        <v>9.138591286866557</v>
      </c>
      <c r="Z8" s="152"/>
    </row>
    <row r="9" spans="1:26" s="151" customFormat="1" ht="20.25" customHeight="1">
      <c r="A9" s="161">
        <v>3</v>
      </c>
      <c r="B9" s="178"/>
      <c r="C9" s="200" t="s">
        <v>243</v>
      </c>
      <c r="D9" s="85">
        <v>38835</v>
      </c>
      <c r="E9" s="240" t="s">
        <v>78</v>
      </c>
      <c r="F9" s="200" t="s">
        <v>158</v>
      </c>
      <c r="G9" s="150">
        <v>65</v>
      </c>
      <c r="H9" s="150">
        <v>65</v>
      </c>
      <c r="I9" s="96">
        <v>1</v>
      </c>
      <c r="J9" s="260">
        <v>51159.5</v>
      </c>
      <c r="K9" s="157">
        <v>6987</v>
      </c>
      <c r="L9" s="241">
        <v>89001</v>
      </c>
      <c r="M9" s="157">
        <v>11314</v>
      </c>
      <c r="N9" s="241">
        <v>108784.5</v>
      </c>
      <c r="O9" s="188">
        <v>13899</v>
      </c>
      <c r="P9" s="267">
        <f>SUM(J9+L9+N9)</f>
        <v>248945</v>
      </c>
      <c r="Q9" s="255">
        <f>SUM(K9+M9+O9)</f>
        <v>32200</v>
      </c>
      <c r="R9" s="86">
        <f>Q9/H9</f>
        <v>495.38461538461536</v>
      </c>
      <c r="S9" s="226">
        <f>P9/Q9</f>
        <v>7.731211180124224</v>
      </c>
      <c r="T9" s="260"/>
      <c r="U9" s="110">
        <f t="shared" si="0"/>
      </c>
      <c r="V9" s="260">
        <f>248945</f>
        <v>248945</v>
      </c>
      <c r="W9" s="157">
        <f>32200</f>
        <v>32200</v>
      </c>
      <c r="X9" s="210">
        <f t="shared" si="1"/>
        <v>7.731211180124224</v>
      </c>
      <c r="Z9" s="152"/>
    </row>
    <row r="10" spans="1:27" s="154" customFormat="1" ht="20.25" customHeight="1">
      <c r="A10" s="161">
        <v>4</v>
      </c>
      <c r="B10" s="179"/>
      <c r="C10" s="71" t="s">
        <v>203</v>
      </c>
      <c r="D10" s="72">
        <v>38828</v>
      </c>
      <c r="E10" s="197" t="s">
        <v>76</v>
      </c>
      <c r="F10" s="71" t="s">
        <v>171</v>
      </c>
      <c r="G10" s="136">
        <v>59</v>
      </c>
      <c r="H10" s="136">
        <v>59</v>
      </c>
      <c r="I10" s="94">
        <v>2</v>
      </c>
      <c r="J10" s="259">
        <v>31857</v>
      </c>
      <c r="K10" s="129">
        <v>3735</v>
      </c>
      <c r="L10" s="242">
        <v>56814</v>
      </c>
      <c r="M10" s="129">
        <v>6468</v>
      </c>
      <c r="N10" s="242">
        <v>76396</v>
      </c>
      <c r="O10" s="105">
        <v>8709</v>
      </c>
      <c r="P10" s="266">
        <f aca="true" t="shared" si="2" ref="P10:Q12">+J10+L10+N10</f>
        <v>165067</v>
      </c>
      <c r="Q10" s="184">
        <f t="shared" si="2"/>
        <v>18912</v>
      </c>
      <c r="R10" s="75">
        <f>IF(P10&lt;&gt;0,Q10/H10,"")</f>
        <v>320.54237288135596</v>
      </c>
      <c r="S10" s="127">
        <f>IF(P10&lt;&gt;0,P10/Q10,"")</f>
        <v>8.728162013536378</v>
      </c>
      <c r="T10" s="259">
        <v>234172.5</v>
      </c>
      <c r="U10" s="110">
        <f t="shared" si="0"/>
        <v>-0.29510510414331315</v>
      </c>
      <c r="V10" s="259">
        <v>530740.5</v>
      </c>
      <c r="W10" s="129">
        <v>64125</v>
      </c>
      <c r="X10" s="209">
        <f t="shared" si="1"/>
        <v>8.276654970760234</v>
      </c>
      <c r="Y10" s="153"/>
      <c r="AA10" s="153"/>
    </row>
    <row r="11" spans="1:26" s="155" customFormat="1" ht="20.25" customHeight="1">
      <c r="A11" s="161">
        <v>5</v>
      </c>
      <c r="B11" s="179"/>
      <c r="C11" s="71" t="s">
        <v>244</v>
      </c>
      <c r="D11" s="72">
        <v>38815</v>
      </c>
      <c r="E11" s="197" t="s">
        <v>80</v>
      </c>
      <c r="F11" s="71" t="s">
        <v>152</v>
      </c>
      <c r="G11" s="136">
        <v>94</v>
      </c>
      <c r="H11" s="136">
        <v>94</v>
      </c>
      <c r="I11" s="94">
        <v>3</v>
      </c>
      <c r="J11" s="259">
        <v>14408</v>
      </c>
      <c r="K11" s="129">
        <v>2480</v>
      </c>
      <c r="L11" s="242">
        <v>45176</v>
      </c>
      <c r="M11" s="129">
        <v>6160</v>
      </c>
      <c r="N11" s="242">
        <v>48755</v>
      </c>
      <c r="O11" s="105">
        <v>6531</v>
      </c>
      <c r="P11" s="266">
        <f t="shared" si="2"/>
        <v>108339</v>
      </c>
      <c r="Q11" s="184">
        <f t="shared" si="2"/>
        <v>15171</v>
      </c>
      <c r="R11" s="75">
        <f>IF(P11&lt;&gt;0,Q11/H11,"")</f>
        <v>161.39361702127658</v>
      </c>
      <c r="S11" s="127">
        <f>IF(P11&lt;&gt;0,P11/Q11,"")</f>
        <v>7.141190429108167</v>
      </c>
      <c r="T11" s="272">
        <v>168978</v>
      </c>
      <c r="U11" s="110">
        <f t="shared" si="0"/>
        <v>-0.35885736604765117</v>
      </c>
      <c r="V11" s="259">
        <v>800330</v>
      </c>
      <c r="W11" s="129">
        <v>110745</v>
      </c>
      <c r="X11" s="209">
        <f t="shared" si="1"/>
        <v>7.226782247505531</v>
      </c>
      <c r="Y11" s="153"/>
      <c r="Z11" s="153"/>
    </row>
    <row r="12" spans="1:26" s="155" customFormat="1" ht="20.25" customHeight="1">
      <c r="A12" s="161">
        <v>6</v>
      </c>
      <c r="B12" s="179"/>
      <c r="C12" s="71" t="s">
        <v>245</v>
      </c>
      <c r="D12" s="72">
        <v>38835</v>
      </c>
      <c r="E12" s="197" t="s">
        <v>76</v>
      </c>
      <c r="F12" s="71" t="s">
        <v>155</v>
      </c>
      <c r="G12" s="136">
        <v>40</v>
      </c>
      <c r="H12" s="136">
        <v>44</v>
      </c>
      <c r="I12" s="94">
        <v>1</v>
      </c>
      <c r="J12" s="259">
        <v>19499.5</v>
      </c>
      <c r="K12" s="129">
        <v>2190</v>
      </c>
      <c r="L12" s="242">
        <v>37106.5</v>
      </c>
      <c r="M12" s="129">
        <v>3904</v>
      </c>
      <c r="N12" s="242">
        <v>44174</v>
      </c>
      <c r="O12" s="105">
        <v>4765</v>
      </c>
      <c r="P12" s="266">
        <f t="shared" si="2"/>
        <v>100780</v>
      </c>
      <c r="Q12" s="184">
        <f t="shared" si="2"/>
        <v>10859</v>
      </c>
      <c r="R12" s="75">
        <f>IF(P12&lt;&gt;0,Q12/H12,"")</f>
        <v>246.79545454545453</v>
      </c>
      <c r="S12" s="127">
        <f>IF(P12&lt;&gt;0,P12/Q12,"")</f>
        <v>9.28078091905332</v>
      </c>
      <c r="T12" s="259"/>
      <c r="U12" s="110">
        <f t="shared" si="0"/>
      </c>
      <c r="V12" s="259">
        <v>100780</v>
      </c>
      <c r="W12" s="129">
        <v>10859</v>
      </c>
      <c r="X12" s="209">
        <f t="shared" si="1"/>
        <v>9.28078091905332</v>
      </c>
      <c r="Y12" s="191"/>
      <c r="Z12" s="191"/>
    </row>
    <row r="13" spans="1:26" s="155" customFormat="1" ht="20.25" customHeight="1">
      <c r="A13" s="161">
        <v>7</v>
      </c>
      <c r="B13" s="179"/>
      <c r="C13" s="200" t="s">
        <v>204</v>
      </c>
      <c r="D13" s="85">
        <v>38828</v>
      </c>
      <c r="E13" s="240" t="s">
        <v>78</v>
      </c>
      <c r="F13" s="200" t="s">
        <v>205</v>
      </c>
      <c r="G13" s="150">
        <v>43</v>
      </c>
      <c r="H13" s="150">
        <v>43</v>
      </c>
      <c r="I13" s="96">
        <v>2</v>
      </c>
      <c r="J13" s="260">
        <v>17923</v>
      </c>
      <c r="K13" s="157">
        <v>2595</v>
      </c>
      <c r="L13" s="241">
        <v>37239.5</v>
      </c>
      <c r="M13" s="157">
        <v>4888</v>
      </c>
      <c r="N13" s="241">
        <v>45591.5</v>
      </c>
      <c r="O13" s="188">
        <v>5917</v>
      </c>
      <c r="P13" s="267">
        <f>SUM(J13+L13+N13)</f>
        <v>100754</v>
      </c>
      <c r="Q13" s="255">
        <f>SUM(K13+M13+O13)</f>
        <v>13400</v>
      </c>
      <c r="R13" s="86">
        <f>Q13/H13</f>
        <v>311.6279069767442</v>
      </c>
      <c r="S13" s="226">
        <f>P13/Q13</f>
        <v>7.518955223880597</v>
      </c>
      <c r="T13" s="260">
        <v>133979</v>
      </c>
      <c r="U13" s="110">
        <f t="shared" si="0"/>
        <v>-0.24798662476955344</v>
      </c>
      <c r="V13" s="260">
        <v>322591.5</v>
      </c>
      <c r="W13" s="157">
        <v>44865</v>
      </c>
      <c r="X13" s="210">
        <f t="shared" si="1"/>
        <v>7.190270812437312</v>
      </c>
      <c r="Y13" s="153"/>
      <c r="Z13" s="153"/>
    </row>
    <row r="14" spans="1:26" s="155" customFormat="1" ht="20.25" customHeight="1">
      <c r="A14" s="161">
        <v>8</v>
      </c>
      <c r="B14" s="179"/>
      <c r="C14" s="71" t="s">
        <v>206</v>
      </c>
      <c r="D14" s="72">
        <v>38828</v>
      </c>
      <c r="E14" s="197" t="s">
        <v>80</v>
      </c>
      <c r="F14" s="71" t="s">
        <v>152</v>
      </c>
      <c r="G14" s="136">
        <v>46</v>
      </c>
      <c r="H14" s="136">
        <v>46</v>
      </c>
      <c r="I14" s="94">
        <v>2</v>
      </c>
      <c r="J14" s="259">
        <v>11946</v>
      </c>
      <c r="K14" s="129">
        <v>1304</v>
      </c>
      <c r="L14" s="242">
        <v>27445</v>
      </c>
      <c r="M14" s="129">
        <v>2885</v>
      </c>
      <c r="N14" s="242">
        <v>30595</v>
      </c>
      <c r="O14" s="105">
        <v>3247</v>
      </c>
      <c r="P14" s="266">
        <f>+J14+L14+N14</f>
        <v>69986</v>
      </c>
      <c r="Q14" s="184">
        <f>+K14+M14+O14</f>
        <v>7436</v>
      </c>
      <c r="R14" s="75">
        <f>IF(P14&lt;&gt;0,Q14/H14,"")</f>
        <v>161.65217391304347</v>
      </c>
      <c r="S14" s="127">
        <f>IF(P14&lt;&gt;0,P14/Q14,"")</f>
        <v>9.411780527165142</v>
      </c>
      <c r="T14" s="259">
        <v>86437</v>
      </c>
      <c r="U14" s="110">
        <f t="shared" si="0"/>
        <v>-0.19032358827816792</v>
      </c>
      <c r="V14" s="259">
        <v>211009</v>
      </c>
      <c r="W14" s="129">
        <v>23675</v>
      </c>
      <c r="X14" s="209">
        <f t="shared" si="1"/>
        <v>8.91273495248152</v>
      </c>
      <c r="Y14" s="153"/>
      <c r="Z14" s="153"/>
    </row>
    <row r="15" spans="1:26" s="155" customFormat="1" ht="20.25" customHeight="1">
      <c r="A15" s="161">
        <v>9</v>
      </c>
      <c r="B15" s="179"/>
      <c r="C15" s="71" t="s">
        <v>132</v>
      </c>
      <c r="D15" s="72">
        <v>38807</v>
      </c>
      <c r="E15" s="240" t="s">
        <v>143</v>
      </c>
      <c r="F15" s="71" t="s">
        <v>144</v>
      </c>
      <c r="G15" s="136">
        <v>115</v>
      </c>
      <c r="H15" s="136">
        <v>115</v>
      </c>
      <c r="I15" s="94">
        <v>5</v>
      </c>
      <c r="J15" s="259">
        <v>11152</v>
      </c>
      <c r="K15" s="129">
        <v>2071</v>
      </c>
      <c r="L15" s="242">
        <v>18313</v>
      </c>
      <c r="M15" s="129">
        <v>3370</v>
      </c>
      <c r="N15" s="242">
        <v>24139</v>
      </c>
      <c r="O15" s="105">
        <v>4187</v>
      </c>
      <c r="P15" s="266">
        <f>+J15+L15+N15</f>
        <v>53604</v>
      </c>
      <c r="Q15" s="184">
        <f>+K15+M15+O15</f>
        <v>9628</v>
      </c>
      <c r="R15" s="75">
        <f>IF(P15&lt;&gt;0,Q15/H15,"")</f>
        <v>83.72173913043478</v>
      </c>
      <c r="S15" s="127">
        <f>IF(P15&lt;&gt;0,P15/Q15,"")</f>
        <v>5.5675114250103865</v>
      </c>
      <c r="T15" s="272">
        <v>91532</v>
      </c>
      <c r="U15" s="110">
        <f t="shared" si="0"/>
        <v>-0.4143687453568151</v>
      </c>
      <c r="V15" s="259">
        <v>2007969</v>
      </c>
      <c r="W15" s="129">
        <v>273605</v>
      </c>
      <c r="X15" s="209">
        <f t="shared" si="1"/>
        <v>7.33893386451271</v>
      </c>
      <c r="Y15" s="153"/>
      <c r="Z15" s="153"/>
    </row>
    <row r="16" spans="1:26" s="155" customFormat="1" ht="20.25" customHeight="1">
      <c r="A16" s="161">
        <v>10</v>
      </c>
      <c r="B16" s="179"/>
      <c r="C16" s="200" t="s">
        <v>246</v>
      </c>
      <c r="D16" s="85">
        <v>38835</v>
      </c>
      <c r="E16" s="240" t="s">
        <v>78</v>
      </c>
      <c r="F16" s="200" t="s">
        <v>148</v>
      </c>
      <c r="G16" s="150">
        <v>15</v>
      </c>
      <c r="H16" s="150">
        <v>15</v>
      </c>
      <c r="I16" s="96">
        <v>1</v>
      </c>
      <c r="J16" s="260">
        <v>8383</v>
      </c>
      <c r="K16" s="157">
        <v>901</v>
      </c>
      <c r="L16" s="241">
        <v>17173.5</v>
      </c>
      <c r="M16" s="157">
        <v>1836</v>
      </c>
      <c r="N16" s="241">
        <v>16226.5</v>
      </c>
      <c r="O16" s="188">
        <v>1684</v>
      </c>
      <c r="P16" s="267">
        <f>SUM(J16+L16+N16)</f>
        <v>41783</v>
      </c>
      <c r="Q16" s="255">
        <f>SUM(K16+M16+O16)</f>
        <v>4421</v>
      </c>
      <c r="R16" s="86">
        <f>Q16/H16</f>
        <v>294.73333333333335</v>
      </c>
      <c r="S16" s="226">
        <f>P16/Q16</f>
        <v>9.451029178918796</v>
      </c>
      <c r="T16" s="260"/>
      <c r="U16" s="110">
        <f t="shared" si="0"/>
      </c>
      <c r="V16" s="260">
        <v>41783</v>
      </c>
      <c r="W16" s="157">
        <v>4421</v>
      </c>
      <c r="X16" s="210">
        <f t="shared" si="1"/>
        <v>9.451029178918796</v>
      </c>
      <c r="Y16" s="153"/>
      <c r="Z16" s="153"/>
    </row>
    <row r="17" spans="1:26" s="155" customFormat="1" ht="20.25" customHeight="1">
      <c r="A17" s="161">
        <v>11</v>
      </c>
      <c r="B17" s="179"/>
      <c r="C17" s="71" t="s">
        <v>145</v>
      </c>
      <c r="D17" s="72">
        <v>38814</v>
      </c>
      <c r="E17" s="197" t="s">
        <v>76</v>
      </c>
      <c r="F17" s="71" t="s">
        <v>146</v>
      </c>
      <c r="G17" s="136">
        <v>124</v>
      </c>
      <c r="H17" s="136">
        <v>58</v>
      </c>
      <c r="I17" s="94">
        <v>4</v>
      </c>
      <c r="J17" s="259">
        <v>9338.5</v>
      </c>
      <c r="K17" s="129">
        <v>1974</v>
      </c>
      <c r="L17" s="242">
        <v>9387.5</v>
      </c>
      <c r="M17" s="129">
        <v>1702</v>
      </c>
      <c r="N17" s="242">
        <v>10929</v>
      </c>
      <c r="O17" s="105">
        <v>1909</v>
      </c>
      <c r="P17" s="266">
        <f aca="true" t="shared" si="3" ref="P17:Q21">+J17+L17+N17</f>
        <v>29655</v>
      </c>
      <c r="Q17" s="184">
        <f t="shared" si="3"/>
        <v>5585</v>
      </c>
      <c r="R17" s="75">
        <f>IF(P17&lt;&gt;0,Q17/H17,"")</f>
        <v>96.29310344827586</v>
      </c>
      <c r="S17" s="127">
        <f>IF(P17&lt;&gt;0,P17/Q17,"")</f>
        <v>5.309758281110116</v>
      </c>
      <c r="T17" s="259">
        <v>93987.5</v>
      </c>
      <c r="U17" s="110">
        <f t="shared" si="0"/>
        <v>-0.6844793190583854</v>
      </c>
      <c r="V17" s="259">
        <v>935746.5</v>
      </c>
      <c r="W17" s="129">
        <v>146152</v>
      </c>
      <c r="X17" s="209">
        <f t="shared" si="1"/>
        <v>6.402556927034868</v>
      </c>
      <c r="Y17" s="153"/>
      <c r="Z17" s="153"/>
    </row>
    <row r="18" spans="1:26" s="155" customFormat="1" ht="20.25" customHeight="1">
      <c r="A18" s="161">
        <v>12</v>
      </c>
      <c r="B18" s="179"/>
      <c r="C18" s="71" t="s">
        <v>208</v>
      </c>
      <c r="D18" s="72">
        <v>38828</v>
      </c>
      <c r="E18" s="240" t="s">
        <v>143</v>
      </c>
      <c r="F18" s="71" t="s">
        <v>169</v>
      </c>
      <c r="G18" s="136">
        <v>46</v>
      </c>
      <c r="H18" s="136">
        <v>46</v>
      </c>
      <c r="I18" s="94">
        <v>2</v>
      </c>
      <c r="J18" s="259">
        <v>5711</v>
      </c>
      <c r="K18" s="129">
        <v>731</v>
      </c>
      <c r="L18" s="242">
        <v>9225</v>
      </c>
      <c r="M18" s="129">
        <v>1211</v>
      </c>
      <c r="N18" s="242">
        <v>9956</v>
      </c>
      <c r="O18" s="105">
        <v>1321</v>
      </c>
      <c r="P18" s="266">
        <f t="shared" si="3"/>
        <v>24892</v>
      </c>
      <c r="Q18" s="184">
        <f t="shared" si="3"/>
        <v>3263</v>
      </c>
      <c r="R18" s="75">
        <f>IF(P18&lt;&gt;0,Q18/H18,"")</f>
        <v>70.93478260869566</v>
      </c>
      <c r="S18" s="127">
        <f>IF(P18&lt;&gt;0,P18/Q18,"")</f>
        <v>7.628562672387374</v>
      </c>
      <c r="T18" s="272">
        <v>46777</v>
      </c>
      <c r="U18" s="110">
        <f t="shared" si="0"/>
        <v>-0.46785813540842724</v>
      </c>
      <c r="V18" s="259">
        <v>103018</v>
      </c>
      <c r="W18" s="129">
        <v>13535</v>
      </c>
      <c r="X18" s="209">
        <f>+V18/W18</f>
        <v>7.611230144070928</v>
      </c>
      <c r="Y18" s="153"/>
      <c r="Z18" s="153"/>
    </row>
    <row r="19" spans="1:26" s="155" customFormat="1" ht="20.25" customHeight="1">
      <c r="A19" s="161">
        <v>13</v>
      </c>
      <c r="B19" s="179"/>
      <c r="C19" s="71" t="s">
        <v>192</v>
      </c>
      <c r="D19" s="72">
        <v>38821</v>
      </c>
      <c r="E19" s="197" t="s">
        <v>76</v>
      </c>
      <c r="F19" s="71" t="s">
        <v>177</v>
      </c>
      <c r="G19" s="136">
        <v>32</v>
      </c>
      <c r="H19" s="136">
        <v>24</v>
      </c>
      <c r="I19" s="94">
        <v>3</v>
      </c>
      <c r="J19" s="259">
        <v>3489</v>
      </c>
      <c r="K19" s="129">
        <v>422</v>
      </c>
      <c r="L19" s="242">
        <v>8159</v>
      </c>
      <c r="M19" s="129">
        <v>982</v>
      </c>
      <c r="N19" s="242">
        <v>10464.5</v>
      </c>
      <c r="O19" s="105">
        <v>1235</v>
      </c>
      <c r="P19" s="266">
        <f t="shared" si="3"/>
        <v>22112.5</v>
      </c>
      <c r="Q19" s="184">
        <f t="shared" si="3"/>
        <v>2639</v>
      </c>
      <c r="R19" s="75">
        <f>IF(P19&lt;&gt;0,Q19/H19,"")</f>
        <v>109.95833333333333</v>
      </c>
      <c r="S19" s="127">
        <f>IF(P19&lt;&gt;0,P19/Q19,"")</f>
        <v>8.37912087912088</v>
      </c>
      <c r="T19" s="259">
        <v>52279</v>
      </c>
      <c r="U19" s="110">
        <f t="shared" si="0"/>
        <v>-0.5770290173874787</v>
      </c>
      <c r="V19" s="259">
        <v>233375</v>
      </c>
      <c r="W19" s="129">
        <v>25291</v>
      </c>
      <c r="X19" s="209">
        <f>V19/W19</f>
        <v>9.227590842592226</v>
      </c>
      <c r="Y19" s="153"/>
      <c r="Z19" s="153"/>
    </row>
    <row r="20" spans="1:26" s="155" customFormat="1" ht="20.25" customHeight="1">
      <c r="A20" s="161">
        <v>14</v>
      </c>
      <c r="B20" s="179"/>
      <c r="C20" s="71" t="s">
        <v>207</v>
      </c>
      <c r="D20" s="72">
        <v>38821</v>
      </c>
      <c r="E20" s="197" t="s">
        <v>76</v>
      </c>
      <c r="F20" s="71" t="s">
        <v>161</v>
      </c>
      <c r="G20" s="136">
        <v>54</v>
      </c>
      <c r="H20" s="136">
        <v>44</v>
      </c>
      <c r="I20" s="94">
        <v>3</v>
      </c>
      <c r="J20" s="259">
        <v>3177</v>
      </c>
      <c r="K20" s="129">
        <v>486</v>
      </c>
      <c r="L20" s="242">
        <v>8423.5</v>
      </c>
      <c r="M20" s="129">
        <v>1210</v>
      </c>
      <c r="N20" s="242">
        <v>9185</v>
      </c>
      <c r="O20" s="105">
        <v>1320</v>
      </c>
      <c r="P20" s="266">
        <f t="shared" si="3"/>
        <v>20785.5</v>
      </c>
      <c r="Q20" s="184">
        <f t="shared" si="3"/>
        <v>3016</v>
      </c>
      <c r="R20" s="75">
        <f>IF(P20&lt;&gt;0,Q20/H20,"")</f>
        <v>68.54545454545455</v>
      </c>
      <c r="S20" s="127">
        <f>IF(P20&lt;&gt;0,P20/Q20,"")</f>
        <v>6.891744031830239</v>
      </c>
      <c r="T20" s="259">
        <v>53153.5</v>
      </c>
      <c r="U20" s="110">
        <f t="shared" si="0"/>
        <v>-0.6089533144571854</v>
      </c>
      <c r="V20" s="259">
        <v>262555</v>
      </c>
      <c r="W20" s="129">
        <v>36037</v>
      </c>
      <c r="X20" s="209">
        <f>V20/W20</f>
        <v>7.2857063573549405</v>
      </c>
      <c r="Y20" s="153"/>
      <c r="Z20" s="153"/>
    </row>
    <row r="21" spans="1:26" s="155" customFormat="1" ht="20.25" customHeight="1">
      <c r="A21" s="161">
        <v>15</v>
      </c>
      <c r="B21" s="179"/>
      <c r="C21" s="71" t="s">
        <v>133</v>
      </c>
      <c r="D21" s="72">
        <v>38807</v>
      </c>
      <c r="E21" s="197" t="s">
        <v>76</v>
      </c>
      <c r="F21" s="71" t="s">
        <v>79</v>
      </c>
      <c r="G21" s="136">
        <v>77</v>
      </c>
      <c r="H21" s="136">
        <v>45</v>
      </c>
      <c r="I21" s="94">
        <v>5</v>
      </c>
      <c r="J21" s="259">
        <v>4139</v>
      </c>
      <c r="K21" s="129">
        <v>792</v>
      </c>
      <c r="L21" s="242">
        <v>7355.5</v>
      </c>
      <c r="M21" s="129">
        <v>1428</v>
      </c>
      <c r="N21" s="242">
        <v>8435</v>
      </c>
      <c r="O21" s="105">
        <v>1610</v>
      </c>
      <c r="P21" s="266">
        <f t="shared" si="3"/>
        <v>19929.5</v>
      </c>
      <c r="Q21" s="184">
        <f t="shared" si="3"/>
        <v>3830</v>
      </c>
      <c r="R21" s="75">
        <f>IF(P21&lt;&gt;0,Q21/H21,"")</f>
        <v>85.11111111111111</v>
      </c>
      <c r="S21" s="127">
        <f>IF(P21&lt;&gt;0,P21/Q21,"")</f>
        <v>5.203524804177546</v>
      </c>
      <c r="T21" s="259">
        <v>23975</v>
      </c>
      <c r="U21" s="110">
        <f t="shared" si="0"/>
        <v>-0.16873826903023983</v>
      </c>
      <c r="V21" s="259">
        <v>850848</v>
      </c>
      <c r="W21" s="129">
        <v>113218</v>
      </c>
      <c r="X21" s="209">
        <f>V21/W21</f>
        <v>7.515130102987158</v>
      </c>
      <c r="Y21" s="153"/>
      <c r="Z21" s="153"/>
    </row>
    <row r="22" spans="1:26" s="155" customFormat="1" ht="20.25" customHeight="1">
      <c r="A22" s="161">
        <v>16</v>
      </c>
      <c r="B22" s="179"/>
      <c r="C22" s="200" t="s">
        <v>153</v>
      </c>
      <c r="D22" s="85">
        <v>38814</v>
      </c>
      <c r="E22" s="240" t="s">
        <v>78</v>
      </c>
      <c r="F22" s="200" t="s">
        <v>209</v>
      </c>
      <c r="G22" s="150">
        <v>50</v>
      </c>
      <c r="H22" s="150">
        <v>45</v>
      </c>
      <c r="I22" s="96">
        <v>4</v>
      </c>
      <c r="J22" s="260">
        <v>3315</v>
      </c>
      <c r="K22" s="157">
        <v>514</v>
      </c>
      <c r="L22" s="241">
        <v>6456</v>
      </c>
      <c r="M22" s="157">
        <v>1053</v>
      </c>
      <c r="N22" s="241">
        <v>6769</v>
      </c>
      <c r="O22" s="188">
        <v>1099</v>
      </c>
      <c r="P22" s="267">
        <f>SUM(J22+L22+N22)</f>
        <v>16540</v>
      </c>
      <c r="Q22" s="255">
        <f>SUM(K22+M22+O22)</f>
        <v>2666</v>
      </c>
      <c r="R22" s="86">
        <f>Q22/H22</f>
        <v>59.24444444444445</v>
      </c>
      <c r="S22" s="226">
        <f>P22/Q22</f>
        <v>6.2040510127531885</v>
      </c>
      <c r="T22" s="260">
        <v>33844</v>
      </c>
      <c r="U22" s="110">
        <f t="shared" si="0"/>
        <v>-0.5112870819052121</v>
      </c>
      <c r="V22" s="260">
        <v>347859.5</v>
      </c>
      <c r="W22" s="157">
        <v>43578</v>
      </c>
      <c r="X22" s="210">
        <f>V22/W22</f>
        <v>7.982456744228739</v>
      </c>
      <c r="Y22" s="153"/>
      <c r="Z22" s="153"/>
    </row>
    <row r="23" spans="1:26" s="155" customFormat="1" ht="20.25" customHeight="1">
      <c r="A23" s="161">
        <v>17</v>
      </c>
      <c r="B23" s="179"/>
      <c r="C23" s="71" t="s">
        <v>247</v>
      </c>
      <c r="D23" s="72">
        <v>38835</v>
      </c>
      <c r="E23" s="71" t="s">
        <v>95</v>
      </c>
      <c r="F23" s="71" t="s">
        <v>248</v>
      </c>
      <c r="G23" s="136">
        <v>8</v>
      </c>
      <c r="H23" s="136">
        <v>8</v>
      </c>
      <c r="I23" s="94">
        <v>1</v>
      </c>
      <c r="J23" s="259">
        <v>2421</v>
      </c>
      <c r="K23" s="129">
        <v>280</v>
      </c>
      <c r="L23" s="242">
        <v>4961</v>
      </c>
      <c r="M23" s="129">
        <v>544</v>
      </c>
      <c r="N23" s="242">
        <v>5456.5</v>
      </c>
      <c r="O23" s="105">
        <v>636</v>
      </c>
      <c r="P23" s="266">
        <f>+J23+L23+N23</f>
        <v>12838.5</v>
      </c>
      <c r="Q23" s="184">
        <f>+K23+M23+O23</f>
        <v>1460</v>
      </c>
      <c r="R23" s="75">
        <f>IF(P23&lt;&gt;0,Q23/H23,"")</f>
        <v>182.5</v>
      </c>
      <c r="S23" s="127">
        <f>IF(P23&lt;&gt;0,P23/Q23,"")</f>
        <v>8.793493150684931</v>
      </c>
      <c r="T23" s="273"/>
      <c r="U23" s="110">
        <f t="shared" si="0"/>
      </c>
      <c r="V23" s="272">
        <v>12838.5</v>
      </c>
      <c r="W23" s="86">
        <v>1460</v>
      </c>
      <c r="X23" s="209">
        <f>IF(V23&lt;&gt;0,V23/W23,"")</f>
        <v>8.793493150684931</v>
      </c>
      <c r="Y23" s="153"/>
      <c r="Z23" s="153"/>
    </row>
    <row r="24" spans="1:26" s="155" customFormat="1" ht="20.25" customHeight="1">
      <c r="A24" s="161">
        <v>18</v>
      </c>
      <c r="B24" s="179"/>
      <c r="C24" s="200" t="s">
        <v>128</v>
      </c>
      <c r="D24" s="85">
        <v>38800</v>
      </c>
      <c r="E24" s="240" t="s">
        <v>78</v>
      </c>
      <c r="F24" s="200" t="s">
        <v>148</v>
      </c>
      <c r="G24" s="150">
        <v>92</v>
      </c>
      <c r="H24" s="150">
        <v>23</v>
      </c>
      <c r="I24" s="96">
        <v>6</v>
      </c>
      <c r="J24" s="260">
        <v>2653</v>
      </c>
      <c r="K24" s="157">
        <v>792</v>
      </c>
      <c r="L24" s="241">
        <v>4942.5</v>
      </c>
      <c r="M24" s="157">
        <v>1239</v>
      </c>
      <c r="N24" s="241">
        <v>4579.5</v>
      </c>
      <c r="O24" s="188">
        <v>1167</v>
      </c>
      <c r="P24" s="267">
        <f>J24+L24+N24</f>
        <v>12175</v>
      </c>
      <c r="Q24" s="255">
        <f>K24+M24+O24</f>
        <v>3198</v>
      </c>
      <c r="R24" s="86">
        <f>Q24/H24</f>
        <v>139.04347826086956</v>
      </c>
      <c r="S24" s="226">
        <f>P24/Q24</f>
        <v>3.8070669168230142</v>
      </c>
      <c r="T24" s="260">
        <v>24973.5</v>
      </c>
      <c r="U24" s="110">
        <f t="shared" si="0"/>
        <v>-0.5124832322261598</v>
      </c>
      <c r="V24" s="260">
        <v>1135890</v>
      </c>
      <c r="W24" s="157">
        <v>162127</v>
      </c>
      <c r="X24" s="210">
        <f>V24/W24</f>
        <v>7.006174172099651</v>
      </c>
      <c r="Y24" s="153"/>
      <c r="Z24" s="153"/>
    </row>
    <row r="25" spans="1:26" s="155" customFormat="1" ht="20.25" customHeight="1">
      <c r="A25" s="161">
        <v>19</v>
      </c>
      <c r="B25" s="179"/>
      <c r="C25" s="71" t="s">
        <v>129</v>
      </c>
      <c r="D25" s="72">
        <v>38800</v>
      </c>
      <c r="E25" s="71" t="s">
        <v>150</v>
      </c>
      <c r="F25" s="71" t="s">
        <v>151</v>
      </c>
      <c r="G25" s="136">
        <v>58</v>
      </c>
      <c r="H25" s="136">
        <v>45</v>
      </c>
      <c r="I25" s="94">
        <v>6</v>
      </c>
      <c r="J25" s="259">
        <v>3077</v>
      </c>
      <c r="K25" s="129">
        <v>693</v>
      </c>
      <c r="L25" s="242">
        <v>4298.5</v>
      </c>
      <c r="M25" s="129">
        <v>853</v>
      </c>
      <c r="N25" s="242">
        <v>4498.5</v>
      </c>
      <c r="O25" s="105">
        <v>893</v>
      </c>
      <c r="P25" s="266">
        <f>+J25+L25+N25</f>
        <v>11874</v>
      </c>
      <c r="Q25" s="184">
        <f>+K25+M25+O25</f>
        <v>2439</v>
      </c>
      <c r="R25" s="75">
        <f>IF(P25&lt;&gt;0,Q25/H25,"")</f>
        <v>54.2</v>
      </c>
      <c r="S25" s="127">
        <f>IF(P25&lt;&gt;0,P25/Q25,"")</f>
        <v>4.868388683886839</v>
      </c>
      <c r="T25" s="259">
        <v>20546</v>
      </c>
      <c r="U25" s="110">
        <f t="shared" si="0"/>
        <v>-0.4220772899834518</v>
      </c>
      <c r="V25" s="272">
        <f>350945.5+222517.5+139156.5+40897.5+38142.5+11874</f>
        <v>803533.5</v>
      </c>
      <c r="W25" s="86">
        <f>46256+31606+20219+8293+8608+2439</f>
        <v>117421</v>
      </c>
      <c r="X25" s="209">
        <f>IF(V25&lt;&gt;0,V25/W25,"")</f>
        <v>6.843183927917494</v>
      </c>
      <c r="Y25" s="153"/>
      <c r="Z25" s="153"/>
    </row>
    <row r="26" spans="1:26" s="155" customFormat="1" ht="20.25" customHeight="1">
      <c r="A26" s="161">
        <v>20</v>
      </c>
      <c r="B26" s="179"/>
      <c r="C26" s="71" t="s">
        <v>149</v>
      </c>
      <c r="D26" s="72">
        <v>38814</v>
      </c>
      <c r="E26" s="71" t="s">
        <v>150</v>
      </c>
      <c r="F26" s="71" t="s">
        <v>151</v>
      </c>
      <c r="G26" s="136">
        <v>56</v>
      </c>
      <c r="H26" s="136">
        <v>30</v>
      </c>
      <c r="I26" s="94">
        <v>4</v>
      </c>
      <c r="J26" s="259">
        <v>1720</v>
      </c>
      <c r="K26" s="129">
        <v>352</v>
      </c>
      <c r="L26" s="242">
        <v>3391.5</v>
      </c>
      <c r="M26" s="129">
        <v>695</v>
      </c>
      <c r="N26" s="242">
        <v>3622.5</v>
      </c>
      <c r="O26" s="105">
        <v>673</v>
      </c>
      <c r="P26" s="266">
        <f>+J26+L26+N26</f>
        <v>8734</v>
      </c>
      <c r="Q26" s="184">
        <f>+K26+M26+O26</f>
        <v>1720</v>
      </c>
      <c r="R26" s="75">
        <f>IF(P26&lt;&gt;0,Q26/H26,"")</f>
        <v>57.333333333333336</v>
      </c>
      <c r="S26" s="127">
        <f>IF(P26&lt;&gt;0,P26/Q26,"")</f>
        <v>5.0779069767441865</v>
      </c>
      <c r="T26" s="259">
        <v>20500.5</v>
      </c>
      <c r="U26" s="110">
        <f t="shared" si="0"/>
        <v>-0.5739616106924221</v>
      </c>
      <c r="V26" s="272">
        <f>217941.5+99459+32613+8734</f>
        <v>358747.5</v>
      </c>
      <c r="W26" s="86">
        <f>30137+15034+5570+1720</f>
        <v>52461</v>
      </c>
      <c r="X26" s="209">
        <f>IF(V26&lt;&gt;0,V26/W26,"")</f>
        <v>6.838365643049122</v>
      </c>
      <c r="Y26" s="153"/>
      <c r="Z26" s="153"/>
    </row>
    <row r="27" spans="1:26" s="155" customFormat="1" ht="20.25" customHeight="1">
      <c r="A27" s="161">
        <v>21</v>
      </c>
      <c r="B27" s="179"/>
      <c r="C27" s="200" t="s">
        <v>137</v>
      </c>
      <c r="D27" s="85">
        <v>38793</v>
      </c>
      <c r="E27" s="240" t="s">
        <v>78</v>
      </c>
      <c r="F27" s="200" t="s">
        <v>162</v>
      </c>
      <c r="G27" s="150">
        <v>50</v>
      </c>
      <c r="H27" s="150">
        <v>13</v>
      </c>
      <c r="I27" s="96">
        <v>7</v>
      </c>
      <c r="J27" s="260">
        <v>2062</v>
      </c>
      <c r="K27" s="157">
        <v>581</v>
      </c>
      <c r="L27" s="241">
        <v>2731</v>
      </c>
      <c r="M27" s="157">
        <v>742</v>
      </c>
      <c r="N27" s="241">
        <v>3244</v>
      </c>
      <c r="O27" s="188">
        <v>838</v>
      </c>
      <c r="P27" s="267">
        <f>J27+L27+N27</f>
        <v>8037</v>
      </c>
      <c r="Q27" s="255">
        <f>K27+M27+O27</f>
        <v>2161</v>
      </c>
      <c r="R27" s="86">
        <f>Q27/H27</f>
        <v>166.23076923076923</v>
      </c>
      <c r="S27" s="226">
        <f>P27/Q27</f>
        <v>3.7191115224433133</v>
      </c>
      <c r="T27" s="260">
        <v>7863.5</v>
      </c>
      <c r="U27" s="110">
        <f t="shared" si="0"/>
        <v>0.022063966427163476</v>
      </c>
      <c r="V27" s="261">
        <v>422663</v>
      </c>
      <c r="W27" s="86">
        <v>60838</v>
      </c>
      <c r="X27" s="210">
        <f aca="true" t="shared" si="4" ref="X27:X32">V27/W27</f>
        <v>6.947351983957395</v>
      </c>
      <c r="Y27" s="153"/>
      <c r="Z27" s="153"/>
    </row>
    <row r="28" spans="1:26" s="155" customFormat="1" ht="20.25" customHeight="1">
      <c r="A28" s="161">
        <v>22</v>
      </c>
      <c r="B28" s="179"/>
      <c r="C28" s="200" t="s">
        <v>255</v>
      </c>
      <c r="D28" s="85">
        <v>38828</v>
      </c>
      <c r="E28" s="240" t="s">
        <v>81</v>
      </c>
      <c r="F28" s="200" t="s">
        <v>258</v>
      </c>
      <c r="G28" s="150">
        <v>5</v>
      </c>
      <c r="H28" s="150">
        <v>5</v>
      </c>
      <c r="I28" s="96">
        <v>2</v>
      </c>
      <c r="J28" s="260">
        <v>1219</v>
      </c>
      <c r="K28" s="157">
        <v>135</v>
      </c>
      <c r="L28" s="241">
        <v>3012</v>
      </c>
      <c r="M28" s="157">
        <v>353</v>
      </c>
      <c r="N28" s="241">
        <v>3252</v>
      </c>
      <c r="O28" s="188">
        <v>387</v>
      </c>
      <c r="P28" s="267">
        <f>J28+L28+N28</f>
        <v>7483</v>
      </c>
      <c r="Q28" s="255">
        <f>K28+M28+O28</f>
        <v>875</v>
      </c>
      <c r="R28" s="86">
        <f>Q28/H28</f>
        <v>175</v>
      </c>
      <c r="S28" s="226">
        <f>P28/Q28</f>
        <v>8.552</v>
      </c>
      <c r="T28" s="260">
        <v>9521</v>
      </c>
      <c r="U28" s="110">
        <f t="shared" si="0"/>
        <v>-0.214053145677975</v>
      </c>
      <c r="V28" s="261">
        <v>25520</v>
      </c>
      <c r="W28" s="86">
        <v>3454</v>
      </c>
      <c r="X28" s="210">
        <f t="shared" si="4"/>
        <v>7.388535031847134</v>
      </c>
      <c r="Y28" s="153"/>
      <c r="Z28" s="153"/>
    </row>
    <row r="29" spans="1:26" s="155" customFormat="1" ht="20.25" customHeight="1">
      <c r="A29" s="161">
        <v>23</v>
      </c>
      <c r="B29" s="179"/>
      <c r="C29" s="71" t="s">
        <v>174</v>
      </c>
      <c r="D29" s="72">
        <v>38751</v>
      </c>
      <c r="E29" s="197" t="s">
        <v>80</v>
      </c>
      <c r="F29" s="71" t="s">
        <v>169</v>
      </c>
      <c r="G29" s="136">
        <v>51</v>
      </c>
      <c r="H29" s="136">
        <v>6</v>
      </c>
      <c r="I29" s="94">
        <v>12</v>
      </c>
      <c r="J29" s="259">
        <v>1250</v>
      </c>
      <c r="K29" s="129">
        <v>260</v>
      </c>
      <c r="L29" s="242">
        <v>2551</v>
      </c>
      <c r="M29" s="129">
        <v>507</v>
      </c>
      <c r="N29" s="242">
        <v>2918</v>
      </c>
      <c r="O29" s="105">
        <v>561</v>
      </c>
      <c r="P29" s="266">
        <f>+J29+L29+N29</f>
        <v>6719</v>
      </c>
      <c r="Q29" s="184">
        <f>+K29+M29+O29</f>
        <v>1328</v>
      </c>
      <c r="R29" s="75">
        <f>IF(P29&lt;&gt;0,Q29/H29,"")</f>
        <v>221.33333333333334</v>
      </c>
      <c r="S29" s="127">
        <f>IF(P29&lt;&gt;0,P29/Q29,"")</f>
        <v>5.059487951807229</v>
      </c>
      <c r="T29" s="259">
        <v>1704</v>
      </c>
      <c r="U29" s="110">
        <f t="shared" si="0"/>
        <v>2.943075117370892</v>
      </c>
      <c r="V29" s="259">
        <v>1319930</v>
      </c>
      <c r="W29" s="129">
        <v>171445</v>
      </c>
      <c r="X29" s="209">
        <f t="shared" si="4"/>
        <v>7.698853859838432</v>
      </c>
      <c r="Y29" s="153"/>
      <c r="Z29" s="153"/>
    </row>
    <row r="30" spans="1:24" s="158" customFormat="1" ht="20.25" customHeight="1">
      <c r="A30" s="161">
        <v>24</v>
      </c>
      <c r="B30" s="180"/>
      <c r="C30" s="200" t="s">
        <v>135</v>
      </c>
      <c r="D30" s="85">
        <v>38807</v>
      </c>
      <c r="E30" s="240" t="s">
        <v>78</v>
      </c>
      <c r="F30" s="200" t="s">
        <v>148</v>
      </c>
      <c r="G30" s="150">
        <v>20</v>
      </c>
      <c r="H30" s="150">
        <v>17</v>
      </c>
      <c r="I30" s="96">
        <v>5</v>
      </c>
      <c r="J30" s="260">
        <v>1544</v>
      </c>
      <c r="K30" s="157">
        <v>281</v>
      </c>
      <c r="L30" s="241">
        <v>2397</v>
      </c>
      <c r="M30" s="157">
        <v>452</v>
      </c>
      <c r="N30" s="241">
        <v>2596</v>
      </c>
      <c r="O30" s="188">
        <v>472</v>
      </c>
      <c r="P30" s="267">
        <f>J30+L30+N30</f>
        <v>6537</v>
      </c>
      <c r="Q30" s="255">
        <f>K30+M30+O30</f>
        <v>1205</v>
      </c>
      <c r="R30" s="86">
        <f>Q30/H30</f>
        <v>70.88235294117646</v>
      </c>
      <c r="S30" s="226">
        <f>P30/Q30</f>
        <v>5.424896265560166</v>
      </c>
      <c r="T30" s="260">
        <v>5405</v>
      </c>
      <c r="U30" s="110">
        <f t="shared" si="0"/>
        <v>0.20943570767807584</v>
      </c>
      <c r="V30" s="260">
        <v>170683</v>
      </c>
      <c r="W30" s="157">
        <v>21924</v>
      </c>
      <c r="X30" s="210">
        <f t="shared" si="4"/>
        <v>7.785212552453932</v>
      </c>
    </row>
    <row r="31" spans="1:24" s="158" customFormat="1" ht="20.25" customHeight="1">
      <c r="A31" s="161">
        <v>25</v>
      </c>
      <c r="B31" s="180"/>
      <c r="C31" s="71" t="s">
        <v>134</v>
      </c>
      <c r="D31" s="72">
        <v>38807</v>
      </c>
      <c r="E31" s="197" t="s">
        <v>80</v>
      </c>
      <c r="F31" s="71" t="s">
        <v>152</v>
      </c>
      <c r="G31" s="136">
        <v>62</v>
      </c>
      <c r="H31" s="136">
        <v>21</v>
      </c>
      <c r="I31" s="94">
        <v>5</v>
      </c>
      <c r="J31" s="259">
        <v>1433</v>
      </c>
      <c r="K31" s="129">
        <v>267</v>
      </c>
      <c r="L31" s="242">
        <v>2661</v>
      </c>
      <c r="M31" s="129">
        <v>514</v>
      </c>
      <c r="N31" s="242">
        <v>2406</v>
      </c>
      <c r="O31" s="105">
        <v>434</v>
      </c>
      <c r="P31" s="266">
        <f>+J31+L31+N31</f>
        <v>6500</v>
      </c>
      <c r="Q31" s="184">
        <f>+K31+M31+O31</f>
        <v>1215</v>
      </c>
      <c r="R31" s="75">
        <f>IF(P31&lt;&gt;0,Q31/H31,"")</f>
        <v>57.857142857142854</v>
      </c>
      <c r="S31" s="127">
        <f>IF(P31&lt;&gt;0,P31/Q31,"")</f>
        <v>5.349794238683128</v>
      </c>
      <c r="T31" s="272">
        <v>11201</v>
      </c>
      <c r="U31" s="110">
        <f t="shared" si="0"/>
        <v>-0.4196946701187394</v>
      </c>
      <c r="V31" s="259">
        <v>530627</v>
      </c>
      <c r="W31" s="129">
        <v>67718</v>
      </c>
      <c r="X31" s="209">
        <f t="shared" si="4"/>
        <v>7.835833899406362</v>
      </c>
    </row>
    <row r="32" spans="1:24" s="158" customFormat="1" ht="20.25" customHeight="1">
      <c r="A32" s="161">
        <v>26</v>
      </c>
      <c r="B32" s="180"/>
      <c r="C32" s="200" t="s">
        <v>64</v>
      </c>
      <c r="D32" s="85">
        <v>38758</v>
      </c>
      <c r="E32" s="240" t="s">
        <v>78</v>
      </c>
      <c r="F32" s="200" t="s">
        <v>159</v>
      </c>
      <c r="G32" s="150">
        <v>58</v>
      </c>
      <c r="H32" s="150">
        <v>7</v>
      </c>
      <c r="I32" s="96">
        <v>12</v>
      </c>
      <c r="J32" s="260">
        <v>922.5</v>
      </c>
      <c r="K32" s="157">
        <v>201</v>
      </c>
      <c r="L32" s="241">
        <v>2461.5</v>
      </c>
      <c r="M32" s="157">
        <v>485</v>
      </c>
      <c r="N32" s="241">
        <v>3012.5</v>
      </c>
      <c r="O32" s="188">
        <v>609</v>
      </c>
      <c r="P32" s="267">
        <f>J32+L32+N32</f>
        <v>6396.5</v>
      </c>
      <c r="Q32" s="255">
        <f>K32+M32+O32</f>
        <v>1295</v>
      </c>
      <c r="R32" s="86">
        <f>Q32/H32</f>
        <v>185</v>
      </c>
      <c r="S32" s="226">
        <f>P32/Q32</f>
        <v>4.9393822393822395</v>
      </c>
      <c r="T32" s="260">
        <v>9846.5</v>
      </c>
      <c r="U32" s="110">
        <f t="shared" si="0"/>
        <v>-0.3503783070126441</v>
      </c>
      <c r="V32" s="260">
        <v>3270435</v>
      </c>
      <c r="W32" s="157">
        <v>529428</v>
      </c>
      <c r="X32" s="210">
        <f t="shared" si="4"/>
        <v>6.177298896167184</v>
      </c>
    </row>
    <row r="33" spans="1:24" s="158" customFormat="1" ht="20.25" customHeight="1">
      <c r="A33" s="161">
        <v>27</v>
      </c>
      <c r="B33" s="180"/>
      <c r="C33" s="200" t="s">
        <v>108</v>
      </c>
      <c r="D33" s="85">
        <v>38793</v>
      </c>
      <c r="E33" s="200" t="s">
        <v>77</v>
      </c>
      <c r="F33" s="200" t="s">
        <v>164</v>
      </c>
      <c r="G33" s="150">
        <v>33</v>
      </c>
      <c r="H33" s="150">
        <v>10</v>
      </c>
      <c r="I33" s="96">
        <v>7</v>
      </c>
      <c r="J33" s="260">
        <v>1472</v>
      </c>
      <c r="K33" s="157">
        <v>1263</v>
      </c>
      <c r="L33" s="241">
        <v>1846</v>
      </c>
      <c r="M33" s="157">
        <v>1334</v>
      </c>
      <c r="N33" s="241">
        <v>1564</v>
      </c>
      <c r="O33" s="188">
        <v>1270</v>
      </c>
      <c r="P33" s="267">
        <f>+N33+L33+J33</f>
        <v>4882</v>
      </c>
      <c r="Q33" s="255">
        <f>+O33+M33+K33</f>
        <v>3867</v>
      </c>
      <c r="R33" s="157">
        <f>Q33/H33</f>
        <v>386.7</v>
      </c>
      <c r="S33" s="274">
        <f>P33/Q33</f>
        <v>1.2624773726402896</v>
      </c>
      <c r="T33" s="260">
        <v>3456</v>
      </c>
      <c r="U33" s="110">
        <f t="shared" si="0"/>
        <v>0.41261574074074076</v>
      </c>
      <c r="V33" s="260">
        <v>139813</v>
      </c>
      <c r="W33" s="157">
        <v>24884</v>
      </c>
      <c r="X33" s="251">
        <f>+V33/W33</f>
        <v>5.618590258800836</v>
      </c>
    </row>
    <row r="34" spans="1:26" s="155" customFormat="1" ht="20.25" customHeight="1">
      <c r="A34" s="161">
        <v>28</v>
      </c>
      <c r="B34" s="179"/>
      <c r="C34" s="71" t="s">
        <v>84</v>
      </c>
      <c r="D34" s="72">
        <v>38765</v>
      </c>
      <c r="E34" s="197" t="s">
        <v>76</v>
      </c>
      <c r="F34" s="71" t="s">
        <v>81</v>
      </c>
      <c r="G34" s="136">
        <v>24</v>
      </c>
      <c r="H34" s="136">
        <v>5</v>
      </c>
      <c r="I34" s="94">
        <v>9</v>
      </c>
      <c r="J34" s="259">
        <v>731</v>
      </c>
      <c r="K34" s="129">
        <v>117</v>
      </c>
      <c r="L34" s="242">
        <v>1831</v>
      </c>
      <c r="M34" s="129">
        <v>268</v>
      </c>
      <c r="N34" s="242">
        <v>2007</v>
      </c>
      <c r="O34" s="105">
        <v>281</v>
      </c>
      <c r="P34" s="266">
        <f>+J34+L34+N34</f>
        <v>4569</v>
      </c>
      <c r="Q34" s="184">
        <f>+K34+M34+O34</f>
        <v>666</v>
      </c>
      <c r="R34" s="75">
        <f>IF(P34&lt;&gt;0,Q34/H34,"")</f>
        <v>133.2</v>
      </c>
      <c r="S34" s="127">
        <f>IF(P34&lt;&gt;0,P34/Q34,"")</f>
        <v>6.86036036036036</v>
      </c>
      <c r="T34" s="259">
        <v>0</v>
      </c>
      <c r="U34" s="110">
        <f t="shared" si="0"/>
      </c>
      <c r="V34" s="259">
        <v>722808</v>
      </c>
      <c r="W34" s="129">
        <v>82261</v>
      </c>
      <c r="X34" s="209">
        <f aca="true" t="shared" si="5" ref="X34:X41">V34/W34</f>
        <v>8.786764080183806</v>
      </c>
      <c r="Y34" s="153"/>
      <c r="Z34" s="153"/>
    </row>
    <row r="35" spans="1:26" s="155" customFormat="1" ht="20.25" customHeight="1">
      <c r="A35" s="161">
        <v>29</v>
      </c>
      <c r="B35" s="179"/>
      <c r="C35" s="200" t="s">
        <v>138</v>
      </c>
      <c r="D35" s="85">
        <v>38744</v>
      </c>
      <c r="E35" s="199" t="s">
        <v>94</v>
      </c>
      <c r="F35" s="200" t="s">
        <v>230</v>
      </c>
      <c r="G35" s="150">
        <v>7</v>
      </c>
      <c r="H35" s="150">
        <v>7</v>
      </c>
      <c r="I35" s="96">
        <v>12</v>
      </c>
      <c r="J35" s="261">
        <v>1046</v>
      </c>
      <c r="K35" s="86">
        <v>150</v>
      </c>
      <c r="L35" s="243">
        <v>1701</v>
      </c>
      <c r="M35" s="86">
        <v>255</v>
      </c>
      <c r="N35" s="243">
        <v>1600.5</v>
      </c>
      <c r="O35" s="108">
        <v>233</v>
      </c>
      <c r="P35" s="268">
        <f>J35+L35+N35</f>
        <v>4347.5</v>
      </c>
      <c r="Q35" s="183">
        <f>K35+M35+O35</f>
        <v>638</v>
      </c>
      <c r="R35" s="86">
        <f>Q35/H35</f>
        <v>91.14285714285714</v>
      </c>
      <c r="S35" s="226">
        <f>P35/Q35</f>
        <v>6.814263322884012</v>
      </c>
      <c r="T35" s="261">
        <v>7313.5</v>
      </c>
      <c r="U35" s="110">
        <f t="shared" si="0"/>
        <v>-0.4055513775893895</v>
      </c>
      <c r="V35" s="261">
        <v>64807.5</v>
      </c>
      <c r="W35" s="86">
        <v>9731</v>
      </c>
      <c r="X35" s="210">
        <f t="shared" si="5"/>
        <v>6.659901346213133</v>
      </c>
      <c r="Y35" s="153"/>
      <c r="Z35" s="153"/>
    </row>
    <row r="36" spans="1:26" s="155" customFormat="1" ht="20.25" customHeight="1">
      <c r="A36" s="161">
        <v>30</v>
      </c>
      <c r="B36" s="179"/>
      <c r="C36" s="200" t="s">
        <v>156</v>
      </c>
      <c r="D36" s="85">
        <v>38814</v>
      </c>
      <c r="E36" s="199" t="s">
        <v>94</v>
      </c>
      <c r="F36" s="200" t="s">
        <v>157</v>
      </c>
      <c r="G36" s="150">
        <v>14</v>
      </c>
      <c r="H36" s="150">
        <v>13</v>
      </c>
      <c r="I36" s="96">
        <v>4</v>
      </c>
      <c r="J36" s="261">
        <v>826</v>
      </c>
      <c r="K36" s="86">
        <v>162</v>
      </c>
      <c r="L36" s="243">
        <v>1467</v>
      </c>
      <c r="M36" s="86">
        <v>275</v>
      </c>
      <c r="N36" s="243">
        <v>1648</v>
      </c>
      <c r="O36" s="108">
        <v>303</v>
      </c>
      <c r="P36" s="268">
        <f>J36+L36+N36</f>
        <v>3941</v>
      </c>
      <c r="Q36" s="183">
        <f>K36+M36+O36</f>
        <v>740</v>
      </c>
      <c r="R36" s="86">
        <f>Q36/H36</f>
        <v>56.92307692307692</v>
      </c>
      <c r="S36" s="226">
        <f>P36/Q36</f>
        <v>5.325675675675676</v>
      </c>
      <c r="T36" s="261">
        <v>3609</v>
      </c>
      <c r="U36" s="110">
        <f t="shared" si="0"/>
        <v>0.09199224161817678</v>
      </c>
      <c r="V36" s="261">
        <v>66397.5</v>
      </c>
      <c r="W36" s="86">
        <v>8184</v>
      </c>
      <c r="X36" s="210">
        <f t="shared" si="5"/>
        <v>8.11308651026393</v>
      </c>
      <c r="Y36" s="153"/>
      <c r="Z36" s="153"/>
    </row>
    <row r="37" spans="1:26" s="155" customFormat="1" ht="20.25" customHeight="1">
      <c r="A37" s="161">
        <v>31</v>
      </c>
      <c r="B37" s="179"/>
      <c r="C37" s="71" t="s">
        <v>106</v>
      </c>
      <c r="D37" s="72">
        <v>38793</v>
      </c>
      <c r="E37" s="197" t="s">
        <v>76</v>
      </c>
      <c r="F37" s="71" t="s">
        <v>79</v>
      </c>
      <c r="G37" s="136">
        <v>20</v>
      </c>
      <c r="H37" s="136">
        <v>8</v>
      </c>
      <c r="I37" s="94">
        <v>7</v>
      </c>
      <c r="J37" s="259">
        <v>1034</v>
      </c>
      <c r="K37" s="129">
        <v>226</v>
      </c>
      <c r="L37" s="242">
        <v>1364</v>
      </c>
      <c r="M37" s="129">
        <v>331</v>
      </c>
      <c r="N37" s="242">
        <v>1415.5</v>
      </c>
      <c r="O37" s="105">
        <v>321</v>
      </c>
      <c r="P37" s="266">
        <f>+J37+L37+N37</f>
        <v>3813.5</v>
      </c>
      <c r="Q37" s="184">
        <f>+K37+M37+O37</f>
        <v>878</v>
      </c>
      <c r="R37" s="75">
        <f>IF(P37&lt;&gt;0,Q37/H37,"")</f>
        <v>109.75</v>
      </c>
      <c r="S37" s="127">
        <f>IF(P37&lt;&gt;0,P37/Q37,"")</f>
        <v>4.343394077448747</v>
      </c>
      <c r="T37" s="259">
        <v>5616.5</v>
      </c>
      <c r="U37" s="110">
        <f t="shared" si="0"/>
        <v>-0.3210184278465236</v>
      </c>
      <c r="V37" s="259">
        <v>729142.75</v>
      </c>
      <c r="W37" s="129">
        <v>91407</v>
      </c>
      <c r="X37" s="209">
        <f t="shared" si="5"/>
        <v>7.976880873456081</v>
      </c>
      <c r="Y37" s="153"/>
      <c r="Z37" s="153"/>
    </row>
    <row r="38" spans="1:26" s="155" customFormat="1" ht="20.25" customHeight="1">
      <c r="A38" s="161">
        <v>32</v>
      </c>
      <c r="B38" s="179"/>
      <c r="C38" s="71" t="s">
        <v>60</v>
      </c>
      <c r="D38" s="72">
        <v>38786</v>
      </c>
      <c r="E38" s="197" t="s">
        <v>76</v>
      </c>
      <c r="F38" s="71" t="s">
        <v>161</v>
      </c>
      <c r="G38" s="136">
        <v>36</v>
      </c>
      <c r="H38" s="136">
        <v>5</v>
      </c>
      <c r="I38" s="94">
        <v>8</v>
      </c>
      <c r="J38" s="259">
        <v>793</v>
      </c>
      <c r="K38" s="129">
        <v>158</v>
      </c>
      <c r="L38" s="242">
        <v>1305.5</v>
      </c>
      <c r="M38" s="129">
        <v>259</v>
      </c>
      <c r="N38" s="242">
        <v>1608.5</v>
      </c>
      <c r="O38" s="105">
        <v>317</v>
      </c>
      <c r="P38" s="266">
        <f>+J38+L38+N38</f>
        <v>3707</v>
      </c>
      <c r="Q38" s="184">
        <f>+K38+M38+O38</f>
        <v>734</v>
      </c>
      <c r="R38" s="75">
        <f>IF(P38&lt;&gt;0,Q38/H38,"")</f>
        <v>146.8</v>
      </c>
      <c r="S38" s="127">
        <f>IF(P38&lt;&gt;0,P38/Q38,"")</f>
        <v>5.050408719346049</v>
      </c>
      <c r="T38" s="259">
        <v>4166</v>
      </c>
      <c r="U38" s="110">
        <f t="shared" si="0"/>
        <v>-0.11017762842054729</v>
      </c>
      <c r="V38" s="259">
        <v>1601626.5</v>
      </c>
      <c r="W38" s="129">
        <v>229426</v>
      </c>
      <c r="X38" s="209">
        <f t="shared" si="5"/>
        <v>6.981015665181801</v>
      </c>
      <c r="Y38" s="153"/>
      <c r="Z38" s="153"/>
    </row>
    <row r="39" spans="1:26" s="155" customFormat="1" ht="20.25" customHeight="1">
      <c r="A39" s="161">
        <v>33</v>
      </c>
      <c r="B39" s="179"/>
      <c r="C39" s="200" t="s">
        <v>63</v>
      </c>
      <c r="D39" s="85">
        <v>38674</v>
      </c>
      <c r="E39" s="240" t="s">
        <v>78</v>
      </c>
      <c r="F39" s="200" t="s">
        <v>158</v>
      </c>
      <c r="G39" s="150">
        <v>72</v>
      </c>
      <c r="H39" s="150">
        <v>7</v>
      </c>
      <c r="I39" s="96">
        <v>24</v>
      </c>
      <c r="J39" s="260">
        <v>611</v>
      </c>
      <c r="K39" s="157">
        <v>105</v>
      </c>
      <c r="L39" s="241">
        <v>1304</v>
      </c>
      <c r="M39" s="157">
        <v>226</v>
      </c>
      <c r="N39" s="241">
        <v>1624.5</v>
      </c>
      <c r="O39" s="188">
        <v>276</v>
      </c>
      <c r="P39" s="267">
        <f>J39+L39+N39</f>
        <v>3539.5</v>
      </c>
      <c r="Q39" s="255">
        <f>K39+M39+O39</f>
        <v>607</v>
      </c>
      <c r="R39" s="86">
        <f>Q39/H39</f>
        <v>86.71428571428571</v>
      </c>
      <c r="S39" s="226">
        <f>P39/Q39</f>
        <v>5.8311367380560135</v>
      </c>
      <c r="T39" s="260">
        <v>7145.5</v>
      </c>
      <c r="U39" s="110">
        <f t="shared" si="0"/>
        <v>-0.5046532782870338</v>
      </c>
      <c r="V39" s="260">
        <v>25024568</v>
      </c>
      <c r="W39" s="157">
        <v>3713994</v>
      </c>
      <c r="X39" s="210">
        <f t="shared" si="5"/>
        <v>6.737912877619081</v>
      </c>
      <c r="Y39" s="153"/>
      <c r="Z39" s="153"/>
    </row>
    <row r="40" spans="1:26" s="155" customFormat="1" ht="20.25" customHeight="1">
      <c r="A40" s="161">
        <v>34</v>
      </c>
      <c r="B40" s="179"/>
      <c r="C40" s="71" t="s">
        <v>119</v>
      </c>
      <c r="D40" s="72">
        <v>38800</v>
      </c>
      <c r="E40" s="197" t="s">
        <v>76</v>
      </c>
      <c r="F40" s="71" t="s">
        <v>155</v>
      </c>
      <c r="G40" s="136">
        <v>36</v>
      </c>
      <c r="H40" s="136">
        <v>13</v>
      </c>
      <c r="I40" s="94">
        <v>6</v>
      </c>
      <c r="J40" s="259">
        <v>804</v>
      </c>
      <c r="K40" s="129">
        <v>153</v>
      </c>
      <c r="L40" s="242">
        <v>1128</v>
      </c>
      <c r="M40" s="129">
        <v>229</v>
      </c>
      <c r="N40" s="242">
        <v>1440</v>
      </c>
      <c r="O40" s="105">
        <v>274</v>
      </c>
      <c r="P40" s="266">
        <f>+J40+L40+N40</f>
        <v>3372</v>
      </c>
      <c r="Q40" s="184">
        <f>+K40+M40+O40</f>
        <v>656</v>
      </c>
      <c r="R40" s="75">
        <f>IF(P40&lt;&gt;0,Q40/H40,"")</f>
        <v>50.46153846153846</v>
      </c>
      <c r="S40" s="127">
        <f>IF(P40&lt;&gt;0,P40/Q40,"")</f>
        <v>5.140243902439025</v>
      </c>
      <c r="T40" s="259">
        <v>1595</v>
      </c>
      <c r="U40" s="110">
        <f aca="true" t="shared" si="6" ref="U40:U73">IF(T40&lt;&gt;0,-(T40-P40)/T40,"")</f>
        <v>1.1141065830721004</v>
      </c>
      <c r="V40" s="259">
        <v>495548.5</v>
      </c>
      <c r="W40" s="129">
        <v>58399</v>
      </c>
      <c r="X40" s="209">
        <f t="shared" si="5"/>
        <v>8.485564821315434</v>
      </c>
      <c r="Y40" s="153"/>
      <c r="Z40" s="153"/>
    </row>
    <row r="41" spans="1:26" s="155" customFormat="1" ht="20.25" customHeight="1">
      <c r="A41" s="161">
        <v>35</v>
      </c>
      <c r="B41" s="179"/>
      <c r="C41" s="200" t="s">
        <v>249</v>
      </c>
      <c r="D41" s="85">
        <v>38835</v>
      </c>
      <c r="E41" s="199" t="s">
        <v>94</v>
      </c>
      <c r="F41" s="200" t="s">
        <v>250</v>
      </c>
      <c r="G41" s="150">
        <v>5</v>
      </c>
      <c r="H41" s="150">
        <v>5</v>
      </c>
      <c r="I41" s="96">
        <v>1</v>
      </c>
      <c r="J41" s="261">
        <v>422</v>
      </c>
      <c r="K41" s="86">
        <v>44</v>
      </c>
      <c r="L41" s="243">
        <v>1465.5</v>
      </c>
      <c r="M41" s="86">
        <v>157</v>
      </c>
      <c r="N41" s="243">
        <v>1451.5</v>
      </c>
      <c r="O41" s="108">
        <v>151</v>
      </c>
      <c r="P41" s="268">
        <f>J41+L41+N41</f>
        <v>3339</v>
      </c>
      <c r="Q41" s="183">
        <f>K41+M41+O41</f>
        <v>352</v>
      </c>
      <c r="R41" s="86">
        <f>Q41/H41</f>
        <v>70.4</v>
      </c>
      <c r="S41" s="226">
        <f>P41/Q41</f>
        <v>9.485795454545455</v>
      </c>
      <c r="T41" s="261"/>
      <c r="U41" s="110">
        <f t="shared" si="6"/>
      </c>
      <c r="V41" s="261">
        <v>3836.5</v>
      </c>
      <c r="W41" s="86">
        <v>455</v>
      </c>
      <c r="X41" s="210">
        <f t="shared" si="5"/>
        <v>8.431868131868132</v>
      </c>
      <c r="Y41" s="153"/>
      <c r="Z41" s="153"/>
    </row>
    <row r="42" spans="1:25" s="155" customFormat="1" ht="20.25" customHeight="1">
      <c r="A42" s="161">
        <v>36</v>
      </c>
      <c r="B42" s="179"/>
      <c r="C42" s="200" t="s">
        <v>62</v>
      </c>
      <c r="D42" s="85">
        <v>38765</v>
      </c>
      <c r="E42" s="200" t="s">
        <v>77</v>
      </c>
      <c r="F42" s="200" t="s">
        <v>163</v>
      </c>
      <c r="G42" s="150">
        <v>164</v>
      </c>
      <c r="H42" s="150">
        <v>5</v>
      </c>
      <c r="I42" s="96">
        <v>11</v>
      </c>
      <c r="J42" s="260">
        <v>685</v>
      </c>
      <c r="K42" s="157">
        <v>585</v>
      </c>
      <c r="L42" s="241">
        <v>964.5</v>
      </c>
      <c r="M42" s="157">
        <v>754</v>
      </c>
      <c r="N42" s="241">
        <v>1016</v>
      </c>
      <c r="O42" s="188">
        <v>762</v>
      </c>
      <c r="P42" s="267">
        <f>+N42+L42+J42</f>
        <v>2665.5</v>
      </c>
      <c r="Q42" s="255">
        <f>+O42+M42+K42</f>
        <v>2101</v>
      </c>
      <c r="R42" s="157">
        <f>Q42/H42</f>
        <v>420.2</v>
      </c>
      <c r="S42" s="274">
        <f>P42/Q42</f>
        <v>1.2686815801999047</v>
      </c>
      <c r="T42" s="260">
        <v>2352</v>
      </c>
      <c r="U42" s="110">
        <f t="shared" si="6"/>
        <v>0.13329081632653061</v>
      </c>
      <c r="V42" s="260">
        <v>4202129</v>
      </c>
      <c r="W42" s="157">
        <v>636616</v>
      </c>
      <c r="X42" s="251">
        <f>+V42/W42</f>
        <v>6.600727911331163</v>
      </c>
      <c r="Y42" s="153"/>
    </row>
    <row r="43" spans="1:27" s="155" customFormat="1" ht="20.25" customHeight="1">
      <c r="A43" s="161">
        <v>37</v>
      </c>
      <c r="B43" s="179"/>
      <c r="C43" s="200" t="s">
        <v>212</v>
      </c>
      <c r="D43" s="85">
        <v>38828</v>
      </c>
      <c r="E43" s="199" t="s">
        <v>94</v>
      </c>
      <c r="F43" s="200" t="s">
        <v>213</v>
      </c>
      <c r="G43" s="150">
        <v>6</v>
      </c>
      <c r="H43" s="150">
        <v>6</v>
      </c>
      <c r="I43" s="96">
        <v>2</v>
      </c>
      <c r="J43" s="261">
        <v>631</v>
      </c>
      <c r="K43" s="86">
        <v>88</v>
      </c>
      <c r="L43" s="243">
        <v>1073.5</v>
      </c>
      <c r="M43" s="86">
        <v>131</v>
      </c>
      <c r="N43" s="243">
        <v>931</v>
      </c>
      <c r="O43" s="108">
        <v>122</v>
      </c>
      <c r="P43" s="268">
        <f>J43+L43+N43</f>
        <v>2635.5</v>
      </c>
      <c r="Q43" s="183">
        <f>K43+M43+O43</f>
        <v>341</v>
      </c>
      <c r="R43" s="86">
        <f>Q43/H43</f>
        <v>56.833333333333336</v>
      </c>
      <c r="S43" s="226">
        <f>P43/Q43</f>
        <v>7.728739002932551</v>
      </c>
      <c r="T43" s="261">
        <v>5572.5</v>
      </c>
      <c r="U43" s="110">
        <f t="shared" si="6"/>
        <v>-0.5270524899057873</v>
      </c>
      <c r="V43" s="261">
        <v>11599.5</v>
      </c>
      <c r="W43" s="86">
        <v>1396</v>
      </c>
      <c r="X43" s="210">
        <f>V43/W43</f>
        <v>8.309097421203438</v>
      </c>
      <c r="Y43" s="153"/>
      <c r="AA43" s="153"/>
    </row>
    <row r="44" spans="1:27" s="154" customFormat="1" ht="20.25" customHeight="1">
      <c r="A44" s="161">
        <v>38</v>
      </c>
      <c r="B44" s="179"/>
      <c r="C44" s="71" t="s">
        <v>130</v>
      </c>
      <c r="D44" s="72">
        <v>38793</v>
      </c>
      <c r="E44" s="71" t="s">
        <v>150</v>
      </c>
      <c r="F44" s="71" t="s">
        <v>168</v>
      </c>
      <c r="G44" s="136">
        <v>71</v>
      </c>
      <c r="H44" s="136">
        <v>3</v>
      </c>
      <c r="I44" s="94">
        <v>7</v>
      </c>
      <c r="J44" s="259">
        <v>460</v>
      </c>
      <c r="K44" s="129">
        <v>80</v>
      </c>
      <c r="L44" s="242">
        <v>971.5</v>
      </c>
      <c r="M44" s="129">
        <v>168</v>
      </c>
      <c r="N44" s="242">
        <v>1135</v>
      </c>
      <c r="O44" s="105">
        <v>191</v>
      </c>
      <c r="P44" s="266">
        <f>+J44+L44+N44</f>
        <v>2566.5</v>
      </c>
      <c r="Q44" s="184">
        <f>+K44+M44+O44</f>
        <v>439</v>
      </c>
      <c r="R44" s="75">
        <f>IF(P44&lt;&gt;0,Q44/H44,"")</f>
        <v>146.33333333333334</v>
      </c>
      <c r="S44" s="127">
        <f>IF(P44&lt;&gt;0,P44/Q44,"")</f>
        <v>5.84624145785877</v>
      </c>
      <c r="T44" s="259">
        <v>2312</v>
      </c>
      <c r="U44" s="110">
        <f t="shared" si="6"/>
        <v>0.11007785467128027</v>
      </c>
      <c r="V44" s="272">
        <f>139188.5+65126.5+15320+6439+3617+3772+2566.5</f>
        <v>236029.5</v>
      </c>
      <c r="W44" s="86">
        <f>20151+10232+2945+1343+1021+739+439</f>
        <v>36870</v>
      </c>
      <c r="X44" s="209">
        <f>IF(V44&lt;&gt;0,V44/W44,"")</f>
        <v>6.40166802278275</v>
      </c>
      <c r="Y44" s="153"/>
      <c r="AA44" s="153"/>
    </row>
    <row r="45" spans="1:25" s="154" customFormat="1" ht="20.25" customHeight="1">
      <c r="A45" s="161">
        <v>39</v>
      </c>
      <c r="B45" s="179"/>
      <c r="C45" s="71" t="s">
        <v>67</v>
      </c>
      <c r="D45" s="72">
        <v>38772</v>
      </c>
      <c r="E45" s="197" t="s">
        <v>80</v>
      </c>
      <c r="F45" s="71" t="s">
        <v>169</v>
      </c>
      <c r="G45" s="136">
        <v>62</v>
      </c>
      <c r="H45" s="136">
        <v>5</v>
      </c>
      <c r="I45" s="94">
        <v>10</v>
      </c>
      <c r="J45" s="259">
        <v>641</v>
      </c>
      <c r="K45" s="129">
        <v>136</v>
      </c>
      <c r="L45" s="242">
        <v>1040</v>
      </c>
      <c r="M45" s="129">
        <v>219</v>
      </c>
      <c r="N45" s="242">
        <v>823</v>
      </c>
      <c r="O45" s="105">
        <v>168</v>
      </c>
      <c r="P45" s="266">
        <f>+J45+L45+N45</f>
        <v>2504</v>
      </c>
      <c r="Q45" s="184">
        <f>+K45+M45+O45</f>
        <v>523</v>
      </c>
      <c r="R45" s="75">
        <f>IF(P45&lt;&gt;0,Q45/H45,"")</f>
        <v>104.6</v>
      </c>
      <c r="S45" s="127">
        <f>IF(P45&lt;&gt;0,P45/Q45,"")</f>
        <v>4.7877629063097515</v>
      </c>
      <c r="T45" s="259">
        <v>1279</v>
      </c>
      <c r="U45" s="110">
        <f t="shared" si="6"/>
        <v>0.9577795152462861</v>
      </c>
      <c r="V45" s="259">
        <v>819749</v>
      </c>
      <c r="W45" s="129">
        <v>107781</v>
      </c>
      <c r="X45" s="209">
        <f>V45/W45</f>
        <v>7.605691170057803</v>
      </c>
      <c r="Y45" s="153"/>
    </row>
    <row r="46" spans="1:27" s="154" customFormat="1" ht="20.25" customHeight="1">
      <c r="A46" s="161">
        <v>40</v>
      </c>
      <c r="B46" s="179"/>
      <c r="C46" s="200" t="s">
        <v>122</v>
      </c>
      <c r="D46" s="85">
        <v>38758</v>
      </c>
      <c r="E46" s="199" t="s">
        <v>94</v>
      </c>
      <c r="F46" s="200" t="s">
        <v>176</v>
      </c>
      <c r="G46" s="150">
        <v>4</v>
      </c>
      <c r="H46" s="150">
        <v>4</v>
      </c>
      <c r="I46" s="96">
        <v>12</v>
      </c>
      <c r="J46" s="261">
        <v>433.5</v>
      </c>
      <c r="K46" s="86">
        <v>128</v>
      </c>
      <c r="L46" s="243">
        <v>713.5</v>
      </c>
      <c r="M46" s="86">
        <v>181</v>
      </c>
      <c r="N46" s="243">
        <v>697.5</v>
      </c>
      <c r="O46" s="108">
        <v>182</v>
      </c>
      <c r="P46" s="268">
        <f>J46+L46+N46</f>
        <v>1844.5</v>
      </c>
      <c r="Q46" s="183">
        <f>K46+M46+O46</f>
        <v>491</v>
      </c>
      <c r="R46" s="86">
        <f>Q46/H46</f>
        <v>122.75</v>
      </c>
      <c r="S46" s="226">
        <f>P46/Q46</f>
        <v>3.756619144602851</v>
      </c>
      <c r="T46" s="261">
        <v>1494</v>
      </c>
      <c r="U46" s="110">
        <f t="shared" si="6"/>
        <v>0.23460508701472557</v>
      </c>
      <c r="V46" s="261">
        <v>46169</v>
      </c>
      <c r="W46" s="86">
        <v>7884</v>
      </c>
      <c r="X46" s="210">
        <f>V46/W46</f>
        <v>5.8560375443937085</v>
      </c>
      <c r="Y46" s="153"/>
      <c r="AA46" s="153"/>
    </row>
    <row r="47" spans="1:25" s="155" customFormat="1" ht="20.25" customHeight="1">
      <c r="A47" s="161">
        <v>41</v>
      </c>
      <c r="B47" s="179"/>
      <c r="C47" s="71" t="s">
        <v>120</v>
      </c>
      <c r="D47" s="72">
        <v>38800</v>
      </c>
      <c r="E47" s="197" t="s">
        <v>76</v>
      </c>
      <c r="F47" s="71" t="s">
        <v>161</v>
      </c>
      <c r="G47" s="136">
        <v>12</v>
      </c>
      <c r="H47" s="136">
        <v>6</v>
      </c>
      <c r="I47" s="94">
        <v>6</v>
      </c>
      <c r="J47" s="259">
        <v>449</v>
      </c>
      <c r="K47" s="129">
        <v>75</v>
      </c>
      <c r="L47" s="242">
        <v>578</v>
      </c>
      <c r="M47" s="129">
        <v>105</v>
      </c>
      <c r="N47" s="242">
        <v>738</v>
      </c>
      <c r="O47" s="105">
        <v>128</v>
      </c>
      <c r="P47" s="266">
        <f aca="true" t="shared" si="7" ref="P47:Q49">+J47+L47+N47</f>
        <v>1765</v>
      </c>
      <c r="Q47" s="184">
        <f t="shared" si="7"/>
        <v>308</v>
      </c>
      <c r="R47" s="75">
        <f>IF(P47&lt;&gt;0,Q47/H47,"")</f>
        <v>51.333333333333336</v>
      </c>
      <c r="S47" s="127">
        <f>IF(P47&lt;&gt;0,P47/Q47,"")</f>
        <v>5.73051948051948</v>
      </c>
      <c r="T47" s="259">
        <v>1405</v>
      </c>
      <c r="U47" s="110">
        <f t="shared" si="6"/>
        <v>0.25622775800711745</v>
      </c>
      <c r="V47" s="259">
        <v>166609.5</v>
      </c>
      <c r="W47" s="129">
        <v>18504</v>
      </c>
      <c r="X47" s="209">
        <f>V47/W47</f>
        <v>9.003972114137484</v>
      </c>
      <c r="Y47" s="153"/>
    </row>
    <row r="48" spans="1:25" s="154" customFormat="1" ht="20.25" customHeight="1">
      <c r="A48" s="161">
        <v>42</v>
      </c>
      <c r="B48" s="179"/>
      <c r="C48" s="71" t="s">
        <v>109</v>
      </c>
      <c r="D48" s="72">
        <v>38793</v>
      </c>
      <c r="E48" s="71" t="s">
        <v>95</v>
      </c>
      <c r="F48" s="71" t="s">
        <v>248</v>
      </c>
      <c r="G48" s="136">
        <v>4</v>
      </c>
      <c r="H48" s="136">
        <v>4</v>
      </c>
      <c r="I48" s="94">
        <v>7</v>
      </c>
      <c r="J48" s="259">
        <v>397.5</v>
      </c>
      <c r="K48" s="129">
        <v>62</v>
      </c>
      <c r="L48" s="242">
        <v>630</v>
      </c>
      <c r="M48" s="129">
        <v>106</v>
      </c>
      <c r="N48" s="242">
        <v>578</v>
      </c>
      <c r="O48" s="105">
        <v>95</v>
      </c>
      <c r="P48" s="266">
        <f t="shared" si="7"/>
        <v>1605.5</v>
      </c>
      <c r="Q48" s="184">
        <f t="shared" si="7"/>
        <v>263</v>
      </c>
      <c r="R48" s="75">
        <f>IF(P48&lt;&gt;0,Q48/H48,"")</f>
        <v>65.75</v>
      </c>
      <c r="S48" s="127">
        <f>IF(P48&lt;&gt;0,P48/Q48,"")</f>
        <v>6.104562737642586</v>
      </c>
      <c r="T48" s="273">
        <v>2435</v>
      </c>
      <c r="U48" s="110">
        <f t="shared" si="6"/>
        <v>-0.3406570841889117</v>
      </c>
      <c r="V48" s="272">
        <v>96046</v>
      </c>
      <c r="W48" s="86">
        <v>11117</v>
      </c>
      <c r="X48" s="209">
        <f>IF(V48&lt;&gt;0,V48/W48,"")</f>
        <v>8.639561032652693</v>
      </c>
      <c r="Y48" s="153"/>
    </row>
    <row r="49" spans="1:25" s="154" customFormat="1" ht="20.25" customHeight="1">
      <c r="A49" s="161">
        <v>43</v>
      </c>
      <c r="B49" s="179"/>
      <c r="C49" s="71" t="s">
        <v>85</v>
      </c>
      <c r="D49" s="72">
        <v>38744</v>
      </c>
      <c r="E49" s="197" t="s">
        <v>80</v>
      </c>
      <c r="F49" s="71" t="s">
        <v>182</v>
      </c>
      <c r="G49" s="136">
        <v>71</v>
      </c>
      <c r="H49" s="136">
        <v>2</v>
      </c>
      <c r="I49" s="94">
        <v>13</v>
      </c>
      <c r="J49" s="259">
        <v>351</v>
      </c>
      <c r="K49" s="129">
        <v>83</v>
      </c>
      <c r="L49" s="242">
        <v>542</v>
      </c>
      <c r="M49" s="129">
        <v>127</v>
      </c>
      <c r="N49" s="242">
        <v>703</v>
      </c>
      <c r="O49" s="105">
        <v>159</v>
      </c>
      <c r="P49" s="266">
        <f t="shared" si="7"/>
        <v>1596</v>
      </c>
      <c r="Q49" s="184">
        <f t="shared" si="7"/>
        <v>369</v>
      </c>
      <c r="R49" s="75">
        <f>IF(P49&lt;&gt;0,Q49/H49,"")</f>
        <v>184.5</v>
      </c>
      <c r="S49" s="127">
        <f>IF(P49&lt;&gt;0,P49/Q49,"")</f>
        <v>4.32520325203252</v>
      </c>
      <c r="T49" s="259"/>
      <c r="U49" s="110">
        <f t="shared" si="6"/>
      </c>
      <c r="V49" s="259">
        <v>1842144</v>
      </c>
      <c r="W49" s="129">
        <v>228280</v>
      </c>
      <c r="X49" s="209">
        <f>V49/W49</f>
        <v>8.069668827755388</v>
      </c>
      <c r="Y49" s="153"/>
    </row>
    <row r="50" spans="1:25" s="154" customFormat="1" ht="20.25" customHeight="1">
      <c r="A50" s="161">
        <v>44</v>
      </c>
      <c r="B50" s="179"/>
      <c r="C50" s="200" t="s">
        <v>61</v>
      </c>
      <c r="D50" s="85">
        <v>38751</v>
      </c>
      <c r="E50" s="200" t="s">
        <v>77</v>
      </c>
      <c r="F50" s="200" t="s">
        <v>160</v>
      </c>
      <c r="G50" s="150">
        <v>277</v>
      </c>
      <c r="H50" s="150">
        <v>5</v>
      </c>
      <c r="I50" s="96">
        <v>13</v>
      </c>
      <c r="J50" s="260">
        <v>165</v>
      </c>
      <c r="K50" s="157">
        <v>55</v>
      </c>
      <c r="L50" s="241">
        <v>384</v>
      </c>
      <c r="M50" s="157">
        <v>128</v>
      </c>
      <c r="N50" s="241">
        <v>765</v>
      </c>
      <c r="O50" s="188">
        <v>255</v>
      </c>
      <c r="P50" s="267">
        <f>+N50+L50+J50</f>
        <v>1314</v>
      </c>
      <c r="Q50" s="255">
        <f>+O50+M50+K50</f>
        <v>438</v>
      </c>
      <c r="R50" s="157">
        <f>Q50/H50</f>
        <v>87.6</v>
      </c>
      <c r="S50" s="274">
        <f>P50/Q50</f>
        <v>3</v>
      </c>
      <c r="T50" s="260">
        <v>6310</v>
      </c>
      <c r="U50" s="110">
        <f t="shared" si="6"/>
        <v>-0.7917591125198098</v>
      </c>
      <c r="V50" s="260">
        <v>27397950</v>
      </c>
      <c r="W50" s="157">
        <v>4235096.666666667</v>
      </c>
      <c r="X50" s="251">
        <f>+V50/W50</f>
        <v>6.469262016057878</v>
      </c>
      <c r="Y50" s="153"/>
    </row>
    <row r="51" spans="1:25" s="154" customFormat="1" ht="20.25" customHeight="1">
      <c r="A51" s="161">
        <v>45</v>
      </c>
      <c r="B51" s="179"/>
      <c r="C51" s="200" t="s">
        <v>124</v>
      </c>
      <c r="D51" s="85">
        <v>38716</v>
      </c>
      <c r="E51" s="199" t="s">
        <v>94</v>
      </c>
      <c r="F51" s="200" t="s">
        <v>219</v>
      </c>
      <c r="G51" s="150">
        <v>9</v>
      </c>
      <c r="H51" s="150">
        <v>4</v>
      </c>
      <c r="I51" s="96">
        <v>17</v>
      </c>
      <c r="J51" s="261">
        <v>196</v>
      </c>
      <c r="K51" s="86">
        <v>34</v>
      </c>
      <c r="L51" s="243">
        <v>735</v>
      </c>
      <c r="M51" s="86">
        <v>108</v>
      </c>
      <c r="N51" s="243">
        <v>319.5</v>
      </c>
      <c r="O51" s="108">
        <v>49</v>
      </c>
      <c r="P51" s="268">
        <f>J51+L51+N51</f>
        <v>1250.5</v>
      </c>
      <c r="Q51" s="183">
        <f>K51+M51+O51</f>
        <v>191</v>
      </c>
      <c r="R51" s="86">
        <f>Q51/H51</f>
        <v>47.75</v>
      </c>
      <c r="S51" s="226">
        <f>P51/Q51</f>
        <v>6.547120418848167</v>
      </c>
      <c r="T51" s="261">
        <v>780</v>
      </c>
      <c r="U51" s="110">
        <f t="shared" si="6"/>
        <v>0.6032051282051282</v>
      </c>
      <c r="V51" s="261">
        <v>98098.5</v>
      </c>
      <c r="W51" s="86">
        <v>14453</v>
      </c>
      <c r="X51" s="210">
        <f>V51/W51</f>
        <v>6.787414377637861</v>
      </c>
      <c r="Y51" s="153"/>
    </row>
    <row r="52" spans="1:25" s="154" customFormat="1" ht="20.25" customHeight="1">
      <c r="A52" s="161">
        <v>46</v>
      </c>
      <c r="B52" s="179"/>
      <c r="C52" s="71" t="s">
        <v>83</v>
      </c>
      <c r="D52" s="72">
        <v>38758</v>
      </c>
      <c r="E52" s="197" t="s">
        <v>76</v>
      </c>
      <c r="F52" s="71" t="s">
        <v>161</v>
      </c>
      <c r="G52" s="136">
        <v>61</v>
      </c>
      <c r="H52" s="136">
        <v>2</v>
      </c>
      <c r="I52" s="94">
        <v>12</v>
      </c>
      <c r="J52" s="259">
        <v>212</v>
      </c>
      <c r="K52" s="129">
        <v>32</v>
      </c>
      <c r="L52" s="242">
        <v>351.5</v>
      </c>
      <c r="M52" s="129">
        <v>54</v>
      </c>
      <c r="N52" s="242">
        <v>450</v>
      </c>
      <c r="O52" s="105">
        <v>69</v>
      </c>
      <c r="P52" s="266">
        <f>+J52+L52+N52</f>
        <v>1013.5</v>
      </c>
      <c r="Q52" s="184">
        <f>+K52+M52+O52</f>
        <v>155</v>
      </c>
      <c r="R52" s="75">
        <f>IF(P52&lt;&gt;0,Q52/H52,"")</f>
        <v>77.5</v>
      </c>
      <c r="S52" s="127">
        <f>IF(P52&lt;&gt;0,P52/Q52,"")</f>
        <v>6.538709677419355</v>
      </c>
      <c r="T52" s="259">
        <v>48</v>
      </c>
      <c r="U52" s="110">
        <f t="shared" si="6"/>
        <v>20.114583333333332</v>
      </c>
      <c r="V52" s="259">
        <v>1288903</v>
      </c>
      <c r="W52" s="129">
        <v>157669</v>
      </c>
      <c r="X52" s="209">
        <f>V52/W52</f>
        <v>8.174739485884986</v>
      </c>
      <c r="Y52" s="153"/>
    </row>
    <row r="53" spans="1:30" s="155" customFormat="1" ht="20.25" customHeight="1">
      <c r="A53" s="161">
        <v>47</v>
      </c>
      <c r="B53" s="179"/>
      <c r="C53" s="71" t="s">
        <v>92</v>
      </c>
      <c r="D53" s="72">
        <v>38716</v>
      </c>
      <c r="E53" s="197" t="s">
        <v>76</v>
      </c>
      <c r="F53" s="71" t="s">
        <v>161</v>
      </c>
      <c r="G53" s="136">
        <v>60</v>
      </c>
      <c r="H53" s="136">
        <v>2</v>
      </c>
      <c r="I53" s="94">
        <v>14</v>
      </c>
      <c r="J53" s="259">
        <v>239</v>
      </c>
      <c r="K53" s="129">
        <v>57</v>
      </c>
      <c r="L53" s="242">
        <v>366</v>
      </c>
      <c r="M53" s="129">
        <v>78</v>
      </c>
      <c r="N53" s="242">
        <v>318.5</v>
      </c>
      <c r="O53" s="105">
        <v>72</v>
      </c>
      <c r="P53" s="266">
        <f>+J53+L53+N53</f>
        <v>923.5</v>
      </c>
      <c r="Q53" s="184">
        <f>+K53+M53+O53</f>
        <v>207</v>
      </c>
      <c r="R53" s="75">
        <f>IF(P53&lt;&gt;0,Q53/H53,"")</f>
        <v>103.5</v>
      </c>
      <c r="S53" s="127">
        <f>IF(P53&lt;&gt;0,P53/Q53,"")</f>
        <v>4.461352657004831</v>
      </c>
      <c r="T53" s="259">
        <v>1120</v>
      </c>
      <c r="U53" s="110">
        <f t="shared" si="6"/>
        <v>-0.17544642857142856</v>
      </c>
      <c r="V53" s="259">
        <v>587822.5</v>
      </c>
      <c r="W53" s="129">
        <v>84265</v>
      </c>
      <c r="X53" s="209">
        <f>V53/W53</f>
        <v>6.975879665341482</v>
      </c>
      <c r="Y53" s="153"/>
      <c r="Z53" s="153"/>
      <c r="AA53" s="159"/>
      <c r="AB53" s="159"/>
      <c r="AC53" s="159"/>
      <c r="AD53" s="159"/>
    </row>
    <row r="54" spans="1:30" s="155" customFormat="1" ht="20.25" customHeight="1">
      <c r="A54" s="161">
        <v>48</v>
      </c>
      <c r="B54" s="179"/>
      <c r="C54" s="200" t="s">
        <v>87</v>
      </c>
      <c r="D54" s="85">
        <v>38723</v>
      </c>
      <c r="E54" s="200" t="s">
        <v>77</v>
      </c>
      <c r="F54" s="200" t="s">
        <v>187</v>
      </c>
      <c r="G54" s="150">
        <v>199</v>
      </c>
      <c r="H54" s="150">
        <v>2</v>
      </c>
      <c r="I54" s="96">
        <v>17</v>
      </c>
      <c r="J54" s="260">
        <v>216</v>
      </c>
      <c r="K54" s="157">
        <v>55</v>
      </c>
      <c r="L54" s="241">
        <v>383</v>
      </c>
      <c r="M54" s="157">
        <v>101</v>
      </c>
      <c r="N54" s="241">
        <v>312</v>
      </c>
      <c r="O54" s="188">
        <v>83</v>
      </c>
      <c r="P54" s="267">
        <f>+N54+L54+J54</f>
        <v>911</v>
      </c>
      <c r="Q54" s="255">
        <f>+O54+M54+K54</f>
        <v>239</v>
      </c>
      <c r="R54" s="157">
        <f>Q54/H54</f>
        <v>119.5</v>
      </c>
      <c r="S54" s="274">
        <f>P54/Q54</f>
        <v>3.811715481171548</v>
      </c>
      <c r="T54" s="260">
        <v>1041</v>
      </c>
      <c r="U54" s="110">
        <f t="shared" si="6"/>
        <v>-0.12487992315081652</v>
      </c>
      <c r="V54" s="260">
        <v>6506915.1</v>
      </c>
      <c r="W54" s="157">
        <v>994484</v>
      </c>
      <c r="X54" s="251">
        <f>+V54/W54</f>
        <v>6.543006322876989</v>
      </c>
      <c r="Y54" s="153"/>
      <c r="Z54" s="153"/>
      <c r="AA54" s="159"/>
      <c r="AB54" s="159"/>
      <c r="AC54" s="159"/>
      <c r="AD54" s="159"/>
    </row>
    <row r="55" spans="1:30" s="155" customFormat="1" ht="20.25" customHeight="1">
      <c r="A55" s="161">
        <v>49</v>
      </c>
      <c r="B55" s="179"/>
      <c r="C55" s="71" t="s">
        <v>131</v>
      </c>
      <c r="D55" s="72">
        <v>38751</v>
      </c>
      <c r="E55" s="197" t="s">
        <v>80</v>
      </c>
      <c r="F55" s="71" t="s">
        <v>143</v>
      </c>
      <c r="G55" s="136">
        <v>27</v>
      </c>
      <c r="H55" s="136">
        <v>3</v>
      </c>
      <c r="I55" s="94">
        <v>13</v>
      </c>
      <c r="J55" s="259">
        <v>233</v>
      </c>
      <c r="K55" s="129">
        <v>51</v>
      </c>
      <c r="L55" s="242">
        <v>320</v>
      </c>
      <c r="M55" s="129">
        <v>54</v>
      </c>
      <c r="N55" s="242">
        <v>346</v>
      </c>
      <c r="O55" s="105">
        <v>66</v>
      </c>
      <c r="P55" s="266">
        <f aca="true" t="shared" si="8" ref="P55:P64">+J55+L55+N55</f>
        <v>899</v>
      </c>
      <c r="Q55" s="184">
        <f aca="true" t="shared" si="9" ref="Q55:Q64">+K55+M55+O55</f>
        <v>171</v>
      </c>
      <c r="R55" s="75">
        <f aca="true" t="shared" si="10" ref="R55:R64">IF(P55&lt;&gt;0,Q55/H55,"")</f>
        <v>57</v>
      </c>
      <c r="S55" s="127">
        <f aca="true" t="shared" si="11" ref="S55:S64">IF(P55&lt;&gt;0,P55/Q55,"")</f>
        <v>5.257309941520468</v>
      </c>
      <c r="T55" s="259">
        <v>1404</v>
      </c>
      <c r="U55" s="110">
        <f t="shared" si="6"/>
        <v>-0.3596866096866097</v>
      </c>
      <c r="V55" s="259">
        <v>478127</v>
      </c>
      <c r="W55" s="129">
        <v>55493</v>
      </c>
      <c r="X55" s="209">
        <f>V55/W55</f>
        <v>8.615987602039898</v>
      </c>
      <c r="Y55" s="153"/>
      <c r="Z55" s="153"/>
      <c r="AA55" s="159"/>
      <c r="AB55" s="159"/>
      <c r="AC55" s="159"/>
      <c r="AD55" s="159"/>
    </row>
    <row r="56" spans="1:30" s="155" customFormat="1" ht="20.25" customHeight="1">
      <c r="A56" s="161">
        <v>50</v>
      </c>
      <c r="B56" s="179"/>
      <c r="C56" s="71" t="s">
        <v>110</v>
      </c>
      <c r="D56" s="72">
        <v>38667</v>
      </c>
      <c r="E56" s="197" t="s">
        <v>76</v>
      </c>
      <c r="F56" s="71" t="s">
        <v>79</v>
      </c>
      <c r="G56" s="136">
        <v>1</v>
      </c>
      <c r="H56" s="136">
        <v>1</v>
      </c>
      <c r="I56" s="94">
        <v>16</v>
      </c>
      <c r="J56" s="259">
        <v>290</v>
      </c>
      <c r="K56" s="129">
        <v>58</v>
      </c>
      <c r="L56" s="242">
        <v>290</v>
      </c>
      <c r="M56" s="129">
        <v>58</v>
      </c>
      <c r="N56" s="242">
        <v>290</v>
      </c>
      <c r="O56" s="105">
        <v>58</v>
      </c>
      <c r="P56" s="266">
        <f t="shared" si="8"/>
        <v>870</v>
      </c>
      <c r="Q56" s="184">
        <f t="shared" si="9"/>
        <v>174</v>
      </c>
      <c r="R56" s="75">
        <f t="shared" si="10"/>
        <v>174</v>
      </c>
      <c r="S56" s="127">
        <f t="shared" si="11"/>
        <v>5</v>
      </c>
      <c r="T56" s="259">
        <v>870</v>
      </c>
      <c r="U56" s="110">
        <f t="shared" si="6"/>
        <v>0</v>
      </c>
      <c r="V56" s="259">
        <v>30751</v>
      </c>
      <c r="W56" s="129">
        <v>5361</v>
      </c>
      <c r="X56" s="209">
        <f>V56/W56</f>
        <v>5.736056705838463</v>
      </c>
      <c r="Y56" s="153"/>
      <c r="Z56" s="153"/>
      <c r="AA56" s="159"/>
      <c r="AB56" s="159"/>
      <c r="AC56" s="159"/>
      <c r="AD56" s="159"/>
    </row>
    <row r="57" spans="1:30" s="155" customFormat="1" ht="20.25" customHeight="1">
      <c r="A57" s="161">
        <v>51</v>
      </c>
      <c r="B57" s="179"/>
      <c r="C57" s="71" t="s">
        <v>65</v>
      </c>
      <c r="D57" s="72">
        <v>38779</v>
      </c>
      <c r="E57" s="197" t="s">
        <v>76</v>
      </c>
      <c r="F57" s="71" t="s">
        <v>161</v>
      </c>
      <c r="G57" s="136">
        <v>96</v>
      </c>
      <c r="H57" s="136">
        <v>2</v>
      </c>
      <c r="I57" s="94">
        <v>7</v>
      </c>
      <c r="J57" s="259">
        <v>218</v>
      </c>
      <c r="K57" s="129">
        <v>41</v>
      </c>
      <c r="L57" s="242">
        <v>275.5</v>
      </c>
      <c r="M57" s="129">
        <v>56</v>
      </c>
      <c r="N57" s="242">
        <v>267</v>
      </c>
      <c r="O57" s="105">
        <v>54</v>
      </c>
      <c r="P57" s="266">
        <f t="shared" si="8"/>
        <v>760.5</v>
      </c>
      <c r="Q57" s="184">
        <f t="shared" si="9"/>
        <v>151</v>
      </c>
      <c r="R57" s="75">
        <f t="shared" si="10"/>
        <v>75.5</v>
      </c>
      <c r="S57" s="127">
        <f t="shared" si="11"/>
        <v>5.0364238410596025</v>
      </c>
      <c r="T57" s="259"/>
      <c r="U57" s="110">
        <f t="shared" si="6"/>
      </c>
      <c r="V57" s="259">
        <v>1086255</v>
      </c>
      <c r="W57" s="129">
        <v>143565</v>
      </c>
      <c r="X57" s="209">
        <f>V57/W57</f>
        <v>7.566294013164769</v>
      </c>
      <c r="Y57" s="153"/>
      <c r="Z57" s="153"/>
      <c r="AA57" s="159"/>
      <c r="AB57" s="159"/>
      <c r="AC57" s="159"/>
      <c r="AD57" s="159"/>
    </row>
    <row r="58" spans="1:30" s="155" customFormat="1" ht="20.25" customHeight="1">
      <c r="A58" s="161">
        <v>52</v>
      </c>
      <c r="B58" s="179"/>
      <c r="C58" s="71" t="s">
        <v>256</v>
      </c>
      <c r="D58" s="72">
        <v>38681</v>
      </c>
      <c r="E58" s="197" t="s">
        <v>81</v>
      </c>
      <c r="F58" s="71" t="s">
        <v>257</v>
      </c>
      <c r="G58" s="136">
        <v>29</v>
      </c>
      <c r="H58" s="136">
        <v>1</v>
      </c>
      <c r="I58" s="94">
        <v>10</v>
      </c>
      <c r="J58" s="259">
        <v>203</v>
      </c>
      <c r="K58" s="129">
        <v>67</v>
      </c>
      <c r="L58" s="242">
        <v>300</v>
      </c>
      <c r="M58" s="129">
        <v>100</v>
      </c>
      <c r="N58" s="242">
        <v>255</v>
      </c>
      <c r="O58" s="105">
        <v>85</v>
      </c>
      <c r="P58" s="266">
        <f t="shared" si="8"/>
        <v>758</v>
      </c>
      <c r="Q58" s="184">
        <f t="shared" si="9"/>
        <v>252</v>
      </c>
      <c r="R58" s="75">
        <f t="shared" si="10"/>
        <v>252</v>
      </c>
      <c r="S58" s="127">
        <f t="shared" si="11"/>
        <v>3.007936507936508</v>
      </c>
      <c r="T58" s="259"/>
      <c r="U58" s="110"/>
      <c r="V58" s="259">
        <v>165879</v>
      </c>
      <c r="W58" s="129">
        <v>20651</v>
      </c>
      <c r="X58" s="209">
        <f>V58/W58</f>
        <v>8.03249237325069</v>
      </c>
      <c r="Y58" s="153"/>
      <c r="Z58" s="153"/>
      <c r="AA58" s="159"/>
      <c r="AB58" s="159"/>
      <c r="AC58" s="159"/>
      <c r="AD58" s="159"/>
    </row>
    <row r="59" spans="1:30" s="155" customFormat="1" ht="20.25" customHeight="1">
      <c r="A59" s="161">
        <v>53</v>
      </c>
      <c r="B59" s="179"/>
      <c r="C59" s="71" t="s">
        <v>140</v>
      </c>
      <c r="D59" s="72">
        <v>38793</v>
      </c>
      <c r="E59" s="71" t="s">
        <v>150</v>
      </c>
      <c r="F59" s="71" t="s">
        <v>178</v>
      </c>
      <c r="G59" s="136">
        <v>2</v>
      </c>
      <c r="H59" s="136">
        <v>2</v>
      </c>
      <c r="I59" s="94">
        <v>6</v>
      </c>
      <c r="J59" s="259">
        <v>143</v>
      </c>
      <c r="K59" s="129">
        <v>21</v>
      </c>
      <c r="L59" s="242">
        <v>387.5</v>
      </c>
      <c r="M59" s="129">
        <v>56</v>
      </c>
      <c r="N59" s="242">
        <v>207</v>
      </c>
      <c r="O59" s="105">
        <v>29</v>
      </c>
      <c r="P59" s="266">
        <f t="shared" si="8"/>
        <v>737.5</v>
      </c>
      <c r="Q59" s="184">
        <f t="shared" si="9"/>
        <v>106</v>
      </c>
      <c r="R59" s="75">
        <f t="shared" si="10"/>
        <v>53</v>
      </c>
      <c r="S59" s="127">
        <f t="shared" si="11"/>
        <v>6.9575471698113205</v>
      </c>
      <c r="T59" s="259">
        <v>775</v>
      </c>
      <c r="U59" s="110">
        <f t="shared" si="6"/>
        <v>-0.04838709677419355</v>
      </c>
      <c r="V59" s="272">
        <f>21147.5+3690+1708+783+1453+737.5</f>
        <v>29519</v>
      </c>
      <c r="W59" s="86">
        <f>2248+452+253+99+248+106</f>
        <v>3406</v>
      </c>
      <c r="X59" s="209">
        <f>IF(V59&lt;&gt;0,V59/W59,"")</f>
        <v>8.666764533176748</v>
      </c>
      <c r="Y59" s="153"/>
      <c r="Z59" s="153"/>
      <c r="AA59" s="159"/>
      <c r="AB59" s="159"/>
      <c r="AC59" s="159"/>
      <c r="AD59" s="159"/>
    </row>
    <row r="60" spans="1:30" s="155" customFormat="1" ht="20.25" customHeight="1">
      <c r="A60" s="161">
        <v>54</v>
      </c>
      <c r="B60" s="179"/>
      <c r="C60" s="71" t="s">
        <v>114</v>
      </c>
      <c r="D60" s="72">
        <v>38702</v>
      </c>
      <c r="E60" s="71" t="s">
        <v>95</v>
      </c>
      <c r="F60" s="71" t="s">
        <v>158</v>
      </c>
      <c r="G60" s="136">
        <v>10</v>
      </c>
      <c r="H60" s="136">
        <v>3</v>
      </c>
      <c r="I60" s="94">
        <v>13</v>
      </c>
      <c r="J60" s="259">
        <v>145</v>
      </c>
      <c r="K60" s="129">
        <v>28</v>
      </c>
      <c r="L60" s="242">
        <v>307</v>
      </c>
      <c r="M60" s="129">
        <v>56</v>
      </c>
      <c r="N60" s="242">
        <v>273</v>
      </c>
      <c r="O60" s="105">
        <v>48</v>
      </c>
      <c r="P60" s="266">
        <f t="shared" si="8"/>
        <v>725</v>
      </c>
      <c r="Q60" s="184">
        <f t="shared" si="9"/>
        <v>132</v>
      </c>
      <c r="R60" s="75">
        <f t="shared" si="10"/>
        <v>44</v>
      </c>
      <c r="S60" s="127">
        <f t="shared" si="11"/>
        <v>5.492424242424242</v>
      </c>
      <c r="T60" s="273"/>
      <c r="U60" s="110">
        <f t="shared" si="6"/>
      </c>
      <c r="V60" s="272">
        <v>136106</v>
      </c>
      <c r="W60" s="86">
        <v>15840</v>
      </c>
      <c r="X60" s="209">
        <f>IF(V60&lt;&gt;0,V60/W60,"")</f>
        <v>8.592550505050506</v>
      </c>
      <c r="Y60" s="153"/>
      <c r="Z60" s="153"/>
      <c r="AA60" s="159"/>
      <c r="AB60" s="159"/>
      <c r="AC60" s="159"/>
      <c r="AD60" s="159"/>
    </row>
    <row r="61" spans="1:30" s="155" customFormat="1" ht="20.25" customHeight="1">
      <c r="A61" s="161">
        <v>55</v>
      </c>
      <c r="B61" s="179"/>
      <c r="C61" s="71" t="s">
        <v>68</v>
      </c>
      <c r="D61" s="72">
        <v>38527</v>
      </c>
      <c r="E61" s="197" t="s">
        <v>76</v>
      </c>
      <c r="F61" s="71" t="s">
        <v>171</v>
      </c>
      <c r="G61" s="136">
        <v>43</v>
      </c>
      <c r="H61" s="136">
        <v>1</v>
      </c>
      <c r="I61" s="94">
        <v>29</v>
      </c>
      <c r="J61" s="259">
        <v>205</v>
      </c>
      <c r="K61" s="129">
        <v>41</v>
      </c>
      <c r="L61" s="242">
        <v>205</v>
      </c>
      <c r="M61" s="129">
        <v>41</v>
      </c>
      <c r="N61" s="242">
        <v>205</v>
      </c>
      <c r="O61" s="105">
        <v>41</v>
      </c>
      <c r="P61" s="266">
        <f t="shared" si="8"/>
        <v>615</v>
      </c>
      <c r="Q61" s="184">
        <f t="shared" si="9"/>
        <v>123</v>
      </c>
      <c r="R61" s="75">
        <f t="shared" si="10"/>
        <v>123</v>
      </c>
      <c r="S61" s="127">
        <f t="shared" si="11"/>
        <v>5</v>
      </c>
      <c r="T61" s="259">
        <v>615</v>
      </c>
      <c r="U61" s="110">
        <f t="shared" si="6"/>
        <v>0</v>
      </c>
      <c r="V61" s="259">
        <v>743954.5</v>
      </c>
      <c r="W61" s="129">
        <v>94942</v>
      </c>
      <c r="X61" s="209">
        <f>V61/W61</f>
        <v>7.835884013397654</v>
      </c>
      <c r="Y61" s="153"/>
      <c r="Z61" s="153"/>
      <c r="AA61" s="159"/>
      <c r="AB61" s="159"/>
      <c r="AC61" s="159"/>
      <c r="AD61" s="159"/>
    </row>
    <row r="62" spans="1:30" s="155" customFormat="1" ht="20.25" customHeight="1">
      <c r="A62" s="161">
        <v>56</v>
      </c>
      <c r="B62" s="179"/>
      <c r="C62" s="71" t="s">
        <v>112</v>
      </c>
      <c r="D62" s="72">
        <v>38667</v>
      </c>
      <c r="E62" s="197" t="s">
        <v>76</v>
      </c>
      <c r="F62" s="71" t="s">
        <v>177</v>
      </c>
      <c r="G62" s="136">
        <v>76</v>
      </c>
      <c r="H62" s="136">
        <v>1</v>
      </c>
      <c r="I62" s="94">
        <v>17</v>
      </c>
      <c r="J62" s="259">
        <v>205</v>
      </c>
      <c r="K62" s="129">
        <v>41</v>
      </c>
      <c r="L62" s="242">
        <v>205</v>
      </c>
      <c r="M62" s="129">
        <v>41</v>
      </c>
      <c r="N62" s="242">
        <v>205</v>
      </c>
      <c r="O62" s="105">
        <v>41</v>
      </c>
      <c r="P62" s="266">
        <f t="shared" si="8"/>
        <v>615</v>
      </c>
      <c r="Q62" s="184">
        <f t="shared" si="9"/>
        <v>123</v>
      </c>
      <c r="R62" s="75">
        <f t="shared" si="10"/>
        <v>123</v>
      </c>
      <c r="S62" s="127">
        <f t="shared" si="11"/>
        <v>5</v>
      </c>
      <c r="T62" s="259">
        <v>615</v>
      </c>
      <c r="U62" s="110">
        <f t="shared" si="6"/>
        <v>0</v>
      </c>
      <c r="V62" s="259">
        <v>2495954.5</v>
      </c>
      <c r="W62" s="129">
        <v>381861</v>
      </c>
      <c r="X62" s="209">
        <f>V62/W62</f>
        <v>6.536290692162855</v>
      </c>
      <c r="Y62" s="153"/>
      <c r="Z62" s="153"/>
      <c r="AA62" s="159"/>
      <c r="AB62" s="159"/>
      <c r="AC62" s="159"/>
      <c r="AD62" s="159"/>
    </row>
    <row r="63" spans="1:30" s="155" customFormat="1" ht="20.25" customHeight="1">
      <c r="A63" s="161">
        <v>57</v>
      </c>
      <c r="B63" s="179"/>
      <c r="C63" s="71" t="s">
        <v>113</v>
      </c>
      <c r="D63" s="72">
        <v>38667</v>
      </c>
      <c r="E63" s="197" t="s">
        <v>76</v>
      </c>
      <c r="F63" s="71" t="s">
        <v>155</v>
      </c>
      <c r="G63" s="136">
        <v>51</v>
      </c>
      <c r="H63" s="136">
        <v>1</v>
      </c>
      <c r="I63" s="94">
        <v>23</v>
      </c>
      <c r="J63" s="259">
        <v>205</v>
      </c>
      <c r="K63" s="129">
        <v>41</v>
      </c>
      <c r="L63" s="242">
        <v>205</v>
      </c>
      <c r="M63" s="129">
        <v>41</v>
      </c>
      <c r="N63" s="242">
        <v>205</v>
      </c>
      <c r="O63" s="105">
        <v>41</v>
      </c>
      <c r="P63" s="266">
        <f t="shared" si="8"/>
        <v>615</v>
      </c>
      <c r="Q63" s="184">
        <f t="shared" si="9"/>
        <v>123</v>
      </c>
      <c r="R63" s="75">
        <f t="shared" si="10"/>
        <v>123</v>
      </c>
      <c r="S63" s="127">
        <f t="shared" si="11"/>
        <v>5</v>
      </c>
      <c r="T63" s="259">
        <v>615</v>
      </c>
      <c r="U63" s="110">
        <f t="shared" si="6"/>
        <v>0</v>
      </c>
      <c r="V63" s="259">
        <v>1001334.5</v>
      </c>
      <c r="W63" s="129">
        <v>141274</v>
      </c>
      <c r="X63" s="209">
        <f>V63/W63</f>
        <v>7.087889491343064</v>
      </c>
      <c r="Y63" s="153"/>
      <c r="Z63" s="153"/>
      <c r="AA63" s="159"/>
      <c r="AB63" s="159"/>
      <c r="AC63" s="159"/>
      <c r="AD63" s="159"/>
    </row>
    <row r="64" spans="1:30" s="155" customFormat="1" ht="20.25" customHeight="1">
      <c r="A64" s="161">
        <v>58</v>
      </c>
      <c r="B64" s="179"/>
      <c r="C64" s="71" t="s">
        <v>72</v>
      </c>
      <c r="D64" s="72">
        <v>38779</v>
      </c>
      <c r="E64" s="71" t="s">
        <v>95</v>
      </c>
      <c r="F64" s="71" t="s">
        <v>251</v>
      </c>
      <c r="G64" s="136">
        <v>10</v>
      </c>
      <c r="H64" s="136">
        <v>1</v>
      </c>
      <c r="I64" s="94">
        <v>7</v>
      </c>
      <c r="J64" s="259">
        <v>80</v>
      </c>
      <c r="K64" s="129">
        <v>16</v>
      </c>
      <c r="L64" s="242">
        <v>247</v>
      </c>
      <c r="M64" s="129">
        <v>39</v>
      </c>
      <c r="N64" s="242">
        <v>279</v>
      </c>
      <c r="O64" s="105">
        <v>42</v>
      </c>
      <c r="P64" s="266">
        <f t="shared" si="8"/>
        <v>606</v>
      </c>
      <c r="Q64" s="184">
        <f t="shared" si="9"/>
        <v>97</v>
      </c>
      <c r="R64" s="75">
        <f t="shared" si="10"/>
        <v>97</v>
      </c>
      <c r="S64" s="127">
        <f t="shared" si="11"/>
        <v>6.247422680412371</v>
      </c>
      <c r="T64" s="273"/>
      <c r="U64" s="110">
        <f t="shared" si="6"/>
      </c>
      <c r="V64" s="259">
        <v>93845</v>
      </c>
      <c r="W64" s="129">
        <v>11657</v>
      </c>
      <c r="X64" s="209">
        <f>IF(V64&lt;&gt;0,V64/W64,"")</f>
        <v>8.050527579994853</v>
      </c>
      <c r="Y64" s="153"/>
      <c r="Z64" s="153"/>
      <c r="AA64" s="159"/>
      <c r="AB64" s="159"/>
      <c r="AC64" s="159"/>
      <c r="AD64" s="159"/>
    </row>
    <row r="65" spans="1:30" s="155" customFormat="1" ht="20.25" customHeight="1">
      <c r="A65" s="161">
        <v>59</v>
      </c>
      <c r="B65" s="179"/>
      <c r="C65" s="200" t="s">
        <v>69</v>
      </c>
      <c r="D65" s="85">
        <v>38786</v>
      </c>
      <c r="E65" s="240" t="s">
        <v>78</v>
      </c>
      <c r="F65" s="200" t="s">
        <v>165</v>
      </c>
      <c r="G65" s="150">
        <v>30</v>
      </c>
      <c r="H65" s="150">
        <v>3</v>
      </c>
      <c r="I65" s="96">
        <v>8</v>
      </c>
      <c r="J65" s="260">
        <v>80</v>
      </c>
      <c r="K65" s="157">
        <v>15</v>
      </c>
      <c r="L65" s="241">
        <v>144.5</v>
      </c>
      <c r="M65" s="157">
        <v>25</v>
      </c>
      <c r="N65" s="241">
        <v>354.5</v>
      </c>
      <c r="O65" s="188">
        <v>62</v>
      </c>
      <c r="P65" s="267">
        <f>J65+L65+N65</f>
        <v>579</v>
      </c>
      <c r="Q65" s="255">
        <f>K65+M65+O65</f>
        <v>102</v>
      </c>
      <c r="R65" s="86">
        <f>Q65/H65</f>
        <v>34</v>
      </c>
      <c r="S65" s="226">
        <f>P65/Q65</f>
        <v>5.676470588235294</v>
      </c>
      <c r="T65" s="260">
        <v>2953</v>
      </c>
      <c r="U65" s="110">
        <f t="shared" si="6"/>
        <v>-0.8039282086014223</v>
      </c>
      <c r="V65" s="260">
        <v>189896.5</v>
      </c>
      <c r="W65" s="157">
        <v>28642</v>
      </c>
      <c r="X65" s="210">
        <f aca="true" t="shared" si="12" ref="X65:X71">V65/W65</f>
        <v>6.6300013965505205</v>
      </c>
      <c r="Y65" s="153"/>
      <c r="Z65" s="153"/>
      <c r="AA65" s="159"/>
      <c r="AB65" s="159"/>
      <c r="AC65" s="159"/>
      <c r="AD65" s="159"/>
    </row>
    <row r="66" spans="1:30" s="155" customFormat="1" ht="20.25" customHeight="1">
      <c r="A66" s="161">
        <v>60</v>
      </c>
      <c r="B66" s="179"/>
      <c r="C66" s="71" t="s">
        <v>111</v>
      </c>
      <c r="D66" s="72">
        <v>38695</v>
      </c>
      <c r="E66" s="197" t="s">
        <v>76</v>
      </c>
      <c r="F66" s="71" t="s">
        <v>107</v>
      </c>
      <c r="G66" s="136">
        <v>51</v>
      </c>
      <c r="H66" s="136">
        <v>1</v>
      </c>
      <c r="I66" s="94">
        <v>13</v>
      </c>
      <c r="J66" s="259">
        <v>108.5</v>
      </c>
      <c r="K66" s="129">
        <v>19</v>
      </c>
      <c r="L66" s="242">
        <v>201.5</v>
      </c>
      <c r="M66" s="129">
        <v>35</v>
      </c>
      <c r="N66" s="242">
        <v>261.5</v>
      </c>
      <c r="O66" s="105">
        <v>46</v>
      </c>
      <c r="P66" s="266">
        <f>+J66+L66+N66</f>
        <v>571.5</v>
      </c>
      <c r="Q66" s="184">
        <f>+K66+M66+O66</f>
        <v>100</v>
      </c>
      <c r="R66" s="75">
        <f>IF(P66&lt;&gt;0,Q66/H66,"")</f>
        <v>100</v>
      </c>
      <c r="S66" s="127">
        <f>IF(P66&lt;&gt;0,P66/Q66,"")</f>
        <v>5.715</v>
      </c>
      <c r="T66" s="259">
        <v>0</v>
      </c>
      <c r="U66" s="110">
        <f t="shared" si="6"/>
      </c>
      <c r="V66" s="259">
        <v>538178.5</v>
      </c>
      <c r="W66" s="129">
        <v>71634</v>
      </c>
      <c r="X66" s="209">
        <f t="shared" si="12"/>
        <v>7.512891922829941</v>
      </c>
      <c r="Y66" s="153"/>
      <c r="Z66" s="153"/>
      <c r="AA66" s="159"/>
      <c r="AB66" s="159"/>
      <c r="AC66" s="159"/>
      <c r="AD66" s="159"/>
    </row>
    <row r="67" spans="1:30" s="155" customFormat="1" ht="20.25" customHeight="1">
      <c r="A67" s="161">
        <v>61</v>
      </c>
      <c r="B67" s="179"/>
      <c r="C67" s="200" t="s">
        <v>123</v>
      </c>
      <c r="D67" s="85">
        <v>38618</v>
      </c>
      <c r="E67" s="199" t="s">
        <v>94</v>
      </c>
      <c r="F67" s="200" t="s">
        <v>252</v>
      </c>
      <c r="G67" s="150">
        <v>12</v>
      </c>
      <c r="H67" s="150">
        <v>3</v>
      </c>
      <c r="I67" s="96">
        <v>15</v>
      </c>
      <c r="J67" s="261">
        <v>118</v>
      </c>
      <c r="K67" s="86">
        <v>24</v>
      </c>
      <c r="L67" s="243">
        <v>181</v>
      </c>
      <c r="M67" s="86">
        <v>34</v>
      </c>
      <c r="N67" s="243">
        <v>247</v>
      </c>
      <c r="O67" s="108">
        <v>47</v>
      </c>
      <c r="P67" s="268">
        <f>J67+L67+N67</f>
        <v>546</v>
      </c>
      <c r="Q67" s="183">
        <f>K67+M67+O67</f>
        <v>105</v>
      </c>
      <c r="R67" s="86">
        <f>Q67/H67</f>
        <v>35</v>
      </c>
      <c r="S67" s="226">
        <f>P67/Q67</f>
        <v>5.2</v>
      </c>
      <c r="T67" s="261"/>
      <c r="U67" s="110">
        <f t="shared" si="6"/>
      </c>
      <c r="V67" s="261">
        <v>90273</v>
      </c>
      <c r="W67" s="86">
        <v>14221</v>
      </c>
      <c r="X67" s="210">
        <f t="shared" si="12"/>
        <v>6.347865832219957</v>
      </c>
      <c r="Y67" s="153"/>
      <c r="Z67" s="153"/>
      <c r="AA67" s="159"/>
      <c r="AB67" s="159"/>
      <c r="AC67" s="159"/>
      <c r="AD67" s="159"/>
    </row>
    <row r="68" spans="1:30" s="155" customFormat="1" ht="20.25" customHeight="1">
      <c r="A68" s="161">
        <v>62</v>
      </c>
      <c r="B68" s="179"/>
      <c r="C68" s="71" t="s">
        <v>217</v>
      </c>
      <c r="D68" s="72">
        <v>38786</v>
      </c>
      <c r="E68" s="197" t="s">
        <v>80</v>
      </c>
      <c r="F68" s="71" t="s">
        <v>172</v>
      </c>
      <c r="G68" s="136">
        <v>63</v>
      </c>
      <c r="H68" s="136">
        <v>2</v>
      </c>
      <c r="I68" s="94">
        <v>8</v>
      </c>
      <c r="J68" s="259">
        <v>106</v>
      </c>
      <c r="K68" s="129">
        <v>24</v>
      </c>
      <c r="L68" s="242">
        <v>216</v>
      </c>
      <c r="M68" s="129">
        <v>42</v>
      </c>
      <c r="N68" s="242">
        <v>204</v>
      </c>
      <c r="O68" s="105">
        <v>39</v>
      </c>
      <c r="P68" s="266">
        <f aca="true" t="shared" si="13" ref="P68:Q70">+J68+L68+N68</f>
        <v>526</v>
      </c>
      <c r="Q68" s="184">
        <f t="shared" si="13"/>
        <v>105</v>
      </c>
      <c r="R68" s="75">
        <f>IF(P68&lt;&gt;0,Q68/H68,"")</f>
        <v>52.5</v>
      </c>
      <c r="S68" s="127">
        <f>IF(P68&lt;&gt;0,P68/Q68,"")</f>
        <v>5.0095238095238095</v>
      </c>
      <c r="T68" s="259">
        <v>1375</v>
      </c>
      <c r="U68" s="110">
        <f t="shared" si="6"/>
        <v>-0.6174545454545455</v>
      </c>
      <c r="V68" s="259">
        <v>502829</v>
      </c>
      <c r="W68" s="129">
        <v>62779</v>
      </c>
      <c r="X68" s="209">
        <f t="shared" si="12"/>
        <v>8.009509549371606</v>
      </c>
      <c r="Y68" s="153"/>
      <c r="Z68" s="153"/>
      <c r="AA68" s="159"/>
      <c r="AB68" s="159"/>
      <c r="AC68" s="159"/>
      <c r="AD68" s="159"/>
    </row>
    <row r="69" spans="1:30" s="155" customFormat="1" ht="20.25" customHeight="1">
      <c r="A69" s="161">
        <v>63</v>
      </c>
      <c r="B69" s="179"/>
      <c r="C69" s="71" t="s">
        <v>73</v>
      </c>
      <c r="D69" s="72">
        <v>38786</v>
      </c>
      <c r="E69" s="197" t="s">
        <v>81</v>
      </c>
      <c r="F69" s="71" t="s">
        <v>173</v>
      </c>
      <c r="G69" s="136">
        <v>4</v>
      </c>
      <c r="H69" s="136">
        <v>2</v>
      </c>
      <c r="I69" s="94">
        <v>8</v>
      </c>
      <c r="J69" s="259">
        <v>139</v>
      </c>
      <c r="K69" s="129">
        <v>25</v>
      </c>
      <c r="L69" s="242">
        <v>230</v>
      </c>
      <c r="M69" s="129">
        <v>38</v>
      </c>
      <c r="N69" s="242">
        <v>145</v>
      </c>
      <c r="O69" s="105">
        <v>22</v>
      </c>
      <c r="P69" s="266">
        <f t="shared" si="13"/>
        <v>514</v>
      </c>
      <c r="Q69" s="184">
        <f t="shared" si="13"/>
        <v>85</v>
      </c>
      <c r="R69" s="75">
        <f>IF(P69&lt;&gt;0,Q69/H69,"")</f>
        <v>42.5</v>
      </c>
      <c r="S69" s="127">
        <f>IF(P69&lt;&gt;0,P69/Q69,"")</f>
        <v>6.047058823529412</v>
      </c>
      <c r="T69" s="259">
        <v>660</v>
      </c>
      <c r="U69" s="110">
        <f t="shared" si="6"/>
        <v>-0.22121212121212122</v>
      </c>
      <c r="V69" s="259">
        <v>48873</v>
      </c>
      <c r="W69" s="129">
        <v>5864</v>
      </c>
      <c r="X69" s="209">
        <f t="shared" si="12"/>
        <v>8.334413369713506</v>
      </c>
      <c r="Y69" s="153"/>
      <c r="Z69" s="153"/>
      <c r="AA69" s="159"/>
      <c r="AB69" s="159"/>
      <c r="AC69" s="159"/>
      <c r="AD69" s="159"/>
    </row>
    <row r="70" spans="1:30" s="155" customFormat="1" ht="20.25" customHeight="1">
      <c r="A70" s="161">
        <v>64</v>
      </c>
      <c r="B70" s="179"/>
      <c r="C70" s="71" t="s">
        <v>89</v>
      </c>
      <c r="D70" s="72">
        <v>38730</v>
      </c>
      <c r="E70" s="197" t="s">
        <v>76</v>
      </c>
      <c r="F70" s="71" t="s">
        <v>79</v>
      </c>
      <c r="G70" s="136">
        <v>62</v>
      </c>
      <c r="H70" s="136">
        <v>2</v>
      </c>
      <c r="I70" s="94">
        <v>15</v>
      </c>
      <c r="J70" s="259">
        <v>99</v>
      </c>
      <c r="K70" s="129">
        <v>17</v>
      </c>
      <c r="L70" s="242">
        <v>80</v>
      </c>
      <c r="M70" s="129">
        <v>12</v>
      </c>
      <c r="N70" s="242">
        <v>207</v>
      </c>
      <c r="O70" s="105">
        <v>33</v>
      </c>
      <c r="P70" s="266">
        <f t="shared" si="13"/>
        <v>386</v>
      </c>
      <c r="Q70" s="184">
        <f t="shared" si="13"/>
        <v>62</v>
      </c>
      <c r="R70" s="75">
        <f>IF(P70&lt;&gt;0,Q70/H70,"")</f>
        <v>31</v>
      </c>
      <c r="S70" s="127">
        <f>IF(P70&lt;&gt;0,P70/Q70,"")</f>
        <v>6.225806451612903</v>
      </c>
      <c r="T70" s="259">
        <v>118</v>
      </c>
      <c r="U70" s="110">
        <f t="shared" si="6"/>
        <v>2.2711864406779663</v>
      </c>
      <c r="V70" s="259">
        <v>1182466.5</v>
      </c>
      <c r="W70" s="129">
        <v>138997</v>
      </c>
      <c r="X70" s="209">
        <f t="shared" si="12"/>
        <v>8.507136844680101</v>
      </c>
      <c r="Y70" s="153"/>
      <c r="Z70" s="153"/>
      <c r="AA70" s="159"/>
      <c r="AB70" s="159"/>
      <c r="AC70" s="159"/>
      <c r="AD70" s="159"/>
    </row>
    <row r="71" spans="1:30" s="155" customFormat="1" ht="20.25" customHeight="1">
      <c r="A71" s="161">
        <v>65</v>
      </c>
      <c r="B71" s="179"/>
      <c r="C71" s="200" t="s">
        <v>71</v>
      </c>
      <c r="D71" s="85">
        <v>38772</v>
      </c>
      <c r="E71" s="240" t="s">
        <v>78</v>
      </c>
      <c r="F71" s="200" t="s">
        <v>148</v>
      </c>
      <c r="G71" s="150">
        <v>49</v>
      </c>
      <c r="H71" s="150">
        <v>1</v>
      </c>
      <c r="I71" s="96">
        <v>10</v>
      </c>
      <c r="J71" s="260">
        <v>77</v>
      </c>
      <c r="K71" s="157">
        <v>14</v>
      </c>
      <c r="L71" s="241">
        <v>88</v>
      </c>
      <c r="M71" s="157">
        <v>16</v>
      </c>
      <c r="N71" s="241">
        <v>198</v>
      </c>
      <c r="O71" s="188">
        <v>36</v>
      </c>
      <c r="P71" s="267">
        <f>J71+L71+N71</f>
        <v>363</v>
      </c>
      <c r="Q71" s="255">
        <f>K71+M71+O71</f>
        <v>66</v>
      </c>
      <c r="R71" s="86">
        <f>Q71/H71</f>
        <v>66</v>
      </c>
      <c r="S71" s="226">
        <f>P71/Q71</f>
        <v>5.5</v>
      </c>
      <c r="T71" s="260">
        <v>1023</v>
      </c>
      <c r="U71" s="110">
        <f t="shared" si="6"/>
        <v>-0.6451612903225806</v>
      </c>
      <c r="V71" s="260">
        <v>319645.5</v>
      </c>
      <c r="W71" s="157">
        <v>49411</v>
      </c>
      <c r="X71" s="210">
        <f t="shared" si="12"/>
        <v>6.4691161887029205</v>
      </c>
      <c r="Y71" s="153"/>
      <c r="Z71" s="153"/>
      <c r="AA71" s="159"/>
      <c r="AB71" s="159"/>
      <c r="AC71" s="159"/>
      <c r="AD71" s="159"/>
    </row>
    <row r="72" spans="1:30" s="155" customFormat="1" ht="20.25" customHeight="1">
      <c r="A72" s="161">
        <v>66</v>
      </c>
      <c r="B72" s="179"/>
      <c r="C72" s="71" t="s">
        <v>139</v>
      </c>
      <c r="D72" s="72">
        <v>38807</v>
      </c>
      <c r="E72" s="71" t="s">
        <v>95</v>
      </c>
      <c r="F72" s="71" t="s">
        <v>251</v>
      </c>
      <c r="G72" s="136">
        <v>2</v>
      </c>
      <c r="H72" s="136">
        <v>4</v>
      </c>
      <c r="I72" s="94">
        <v>1</v>
      </c>
      <c r="J72" s="259">
        <v>73</v>
      </c>
      <c r="K72" s="129">
        <v>9</v>
      </c>
      <c r="L72" s="242">
        <v>84</v>
      </c>
      <c r="M72" s="129">
        <v>12</v>
      </c>
      <c r="N72" s="242">
        <v>174</v>
      </c>
      <c r="O72" s="105">
        <v>22</v>
      </c>
      <c r="P72" s="266">
        <f aca="true" t="shared" si="14" ref="P72:Q74">+J72+L72+N72</f>
        <v>331</v>
      </c>
      <c r="Q72" s="184">
        <f t="shared" si="14"/>
        <v>43</v>
      </c>
      <c r="R72" s="75">
        <f>IF(P72&lt;&gt;0,Q72/H72,"")</f>
        <v>10.75</v>
      </c>
      <c r="S72" s="127">
        <f>IF(P72&lt;&gt;0,P72/Q72,"")</f>
        <v>7.6976744186046515</v>
      </c>
      <c r="T72" s="273"/>
      <c r="U72" s="110">
        <f t="shared" si="6"/>
      </c>
      <c r="V72" s="259">
        <v>4251.5</v>
      </c>
      <c r="W72" s="129">
        <v>659</v>
      </c>
      <c r="X72" s="209">
        <f>IF(V72&lt;&gt;0,V72/W72,"")</f>
        <v>6.45144157814871</v>
      </c>
      <c r="Y72" s="153"/>
      <c r="Z72" s="153"/>
      <c r="AA72" s="159"/>
      <c r="AB72" s="159"/>
      <c r="AC72" s="159"/>
      <c r="AD72" s="159"/>
    </row>
    <row r="73" spans="1:30" s="155" customFormat="1" ht="20.25" customHeight="1">
      <c r="A73" s="161">
        <v>67</v>
      </c>
      <c r="B73" s="179"/>
      <c r="C73" s="71" t="s">
        <v>86</v>
      </c>
      <c r="D73" s="72">
        <v>38758</v>
      </c>
      <c r="E73" s="197" t="s">
        <v>80</v>
      </c>
      <c r="F73" s="71" t="s">
        <v>169</v>
      </c>
      <c r="G73" s="136">
        <v>46</v>
      </c>
      <c r="H73" s="136">
        <v>1</v>
      </c>
      <c r="I73" s="94">
        <v>12</v>
      </c>
      <c r="J73" s="259">
        <v>224</v>
      </c>
      <c r="K73" s="129">
        <v>26</v>
      </c>
      <c r="L73" s="242">
        <v>40</v>
      </c>
      <c r="M73" s="129">
        <v>4</v>
      </c>
      <c r="N73" s="242">
        <v>30</v>
      </c>
      <c r="O73" s="105">
        <v>3</v>
      </c>
      <c r="P73" s="266">
        <f t="shared" si="14"/>
        <v>294</v>
      </c>
      <c r="Q73" s="184">
        <f t="shared" si="14"/>
        <v>33</v>
      </c>
      <c r="R73" s="75">
        <f>IF(P73&lt;&gt;0,Q73/H73,"")</f>
        <v>33</v>
      </c>
      <c r="S73" s="127">
        <f>IF(P73&lt;&gt;0,P73/Q73,"")</f>
        <v>8.909090909090908</v>
      </c>
      <c r="T73" s="259">
        <v>544</v>
      </c>
      <c r="U73" s="110">
        <f t="shared" si="6"/>
        <v>-0.45955882352941174</v>
      </c>
      <c r="V73" s="259">
        <v>181535</v>
      </c>
      <c r="W73" s="129">
        <v>24002</v>
      </c>
      <c r="X73" s="209">
        <f>V73/W73</f>
        <v>7.563328055995334</v>
      </c>
      <c r="Y73" s="153"/>
      <c r="Z73" s="153"/>
      <c r="AA73" s="159"/>
      <c r="AB73" s="159"/>
      <c r="AC73" s="159"/>
      <c r="AD73" s="159"/>
    </row>
    <row r="74" spans="1:30" s="155" customFormat="1" ht="20.25" customHeight="1">
      <c r="A74" s="161">
        <v>68</v>
      </c>
      <c r="B74" s="179"/>
      <c r="C74" s="71" t="s">
        <v>90</v>
      </c>
      <c r="D74" s="72">
        <v>38737</v>
      </c>
      <c r="E74" s="197" t="s">
        <v>80</v>
      </c>
      <c r="F74" s="71" t="s">
        <v>181</v>
      </c>
      <c r="G74" s="136">
        <v>28</v>
      </c>
      <c r="H74" s="136">
        <v>1</v>
      </c>
      <c r="I74" s="94"/>
      <c r="J74" s="259">
        <v>68</v>
      </c>
      <c r="K74" s="129">
        <v>17</v>
      </c>
      <c r="L74" s="242">
        <v>115</v>
      </c>
      <c r="M74" s="129">
        <v>28</v>
      </c>
      <c r="N74" s="242">
        <v>93</v>
      </c>
      <c r="O74" s="105">
        <v>22</v>
      </c>
      <c r="P74" s="266">
        <f t="shared" si="14"/>
        <v>276</v>
      </c>
      <c r="Q74" s="184">
        <f t="shared" si="14"/>
        <v>67</v>
      </c>
      <c r="R74" s="75">
        <f>IF(P74&lt;&gt;0,Q74/H74,"")</f>
        <v>67</v>
      </c>
      <c r="S74" s="127">
        <f>IF(P74&lt;&gt;0,P74/Q74,"")</f>
        <v>4.119402985074627</v>
      </c>
      <c r="T74" s="259"/>
      <c r="U74" s="110">
        <f aca="true" t="shared" si="15" ref="U74:U81">IF(T74&lt;&gt;0,-(T74-P74)/T74,"")</f>
      </c>
      <c r="V74" s="259">
        <v>246387</v>
      </c>
      <c r="W74" s="129">
        <v>30377</v>
      </c>
      <c r="X74" s="209">
        <f>V74/W74</f>
        <v>8.110972117062252</v>
      </c>
      <c r="Y74" s="153"/>
      <c r="Z74" s="153"/>
      <c r="AA74" s="159"/>
      <c r="AB74" s="159"/>
      <c r="AC74" s="159"/>
      <c r="AD74" s="159"/>
    </row>
    <row r="75" spans="1:30" s="155" customFormat="1" ht="20.25" customHeight="1">
      <c r="A75" s="161">
        <v>69</v>
      </c>
      <c r="B75" s="179"/>
      <c r="C75" s="200" t="s">
        <v>141</v>
      </c>
      <c r="D75" s="85">
        <v>38779</v>
      </c>
      <c r="E75" s="199" t="s">
        <v>94</v>
      </c>
      <c r="F75" s="200" t="s">
        <v>231</v>
      </c>
      <c r="G75" s="150">
        <v>10</v>
      </c>
      <c r="H75" s="150">
        <v>1</v>
      </c>
      <c r="I75" s="96">
        <v>9</v>
      </c>
      <c r="J75" s="261">
        <v>50</v>
      </c>
      <c r="K75" s="86">
        <v>4</v>
      </c>
      <c r="L75" s="243">
        <v>87.5</v>
      </c>
      <c r="M75" s="86">
        <v>7</v>
      </c>
      <c r="N75" s="243">
        <v>50</v>
      </c>
      <c r="O75" s="108">
        <v>6</v>
      </c>
      <c r="P75" s="268">
        <f>J75+L75+N75</f>
        <v>187.5</v>
      </c>
      <c r="Q75" s="183">
        <f>K75+M75+O75</f>
        <v>17</v>
      </c>
      <c r="R75" s="86">
        <f>Q75/H75</f>
        <v>17</v>
      </c>
      <c r="S75" s="226">
        <f>P75/Q75</f>
        <v>11.029411764705882</v>
      </c>
      <c r="T75" s="261">
        <v>3314.5</v>
      </c>
      <c r="U75" s="110">
        <f t="shared" si="15"/>
        <v>-0.9434303816563584</v>
      </c>
      <c r="V75" s="261">
        <v>41275.5</v>
      </c>
      <c r="W75" s="86">
        <v>7049</v>
      </c>
      <c r="X75" s="210">
        <f>V75/W75</f>
        <v>5.855511420059583</v>
      </c>
      <c r="Y75" s="153"/>
      <c r="Z75" s="153"/>
      <c r="AA75" s="159"/>
      <c r="AB75" s="159"/>
      <c r="AC75" s="159"/>
      <c r="AD75" s="159"/>
    </row>
    <row r="76" spans="1:30" s="155" customFormat="1" ht="20.25" customHeight="1">
      <c r="A76" s="161">
        <v>70</v>
      </c>
      <c r="B76" s="179"/>
      <c r="C76" s="71" t="s">
        <v>74</v>
      </c>
      <c r="D76" s="72">
        <v>38765</v>
      </c>
      <c r="E76" s="197" t="s">
        <v>80</v>
      </c>
      <c r="F76" s="71" t="s">
        <v>169</v>
      </c>
      <c r="G76" s="136">
        <v>41</v>
      </c>
      <c r="H76" s="136">
        <v>1</v>
      </c>
      <c r="I76" s="94">
        <v>11</v>
      </c>
      <c r="J76" s="259">
        <v>52</v>
      </c>
      <c r="K76" s="129">
        <v>10</v>
      </c>
      <c r="L76" s="242">
        <v>68</v>
      </c>
      <c r="M76" s="129">
        <v>13</v>
      </c>
      <c r="N76" s="242">
        <v>58</v>
      </c>
      <c r="O76" s="105">
        <v>11</v>
      </c>
      <c r="P76" s="266">
        <f aca="true" t="shared" si="16" ref="P76:Q81">+J76+L76+N76</f>
        <v>178</v>
      </c>
      <c r="Q76" s="184">
        <f t="shared" si="16"/>
        <v>34</v>
      </c>
      <c r="R76" s="75">
        <f aca="true" t="shared" si="17" ref="R76:R81">IF(P76&lt;&gt;0,Q76/H76,"")</f>
        <v>34</v>
      </c>
      <c r="S76" s="127">
        <f aca="true" t="shared" si="18" ref="S76:S81">IF(P76&lt;&gt;0,P76/Q76,"")</f>
        <v>5.235294117647059</v>
      </c>
      <c r="T76" s="259"/>
      <c r="U76" s="110">
        <f t="shared" si="15"/>
      </c>
      <c r="V76" s="259">
        <v>331198</v>
      </c>
      <c r="W76" s="129">
        <v>44833</v>
      </c>
      <c r="X76" s="209">
        <f>V76/W76</f>
        <v>7.387370909820891</v>
      </c>
      <c r="Y76" s="153"/>
      <c r="Z76" s="153"/>
      <c r="AA76" s="159"/>
      <c r="AB76" s="159"/>
      <c r="AC76" s="159"/>
      <c r="AD76" s="159"/>
    </row>
    <row r="77" spans="1:30" s="155" customFormat="1" ht="20.25" customHeight="1">
      <c r="A77" s="161">
        <v>71</v>
      </c>
      <c r="B77" s="179"/>
      <c r="C77" s="71" t="s">
        <v>195</v>
      </c>
      <c r="D77" s="72">
        <v>38821</v>
      </c>
      <c r="E77" s="71" t="s">
        <v>95</v>
      </c>
      <c r="F77" s="71" t="s">
        <v>218</v>
      </c>
      <c r="G77" s="136">
        <v>5</v>
      </c>
      <c r="H77" s="136">
        <v>2</v>
      </c>
      <c r="I77" s="94">
        <v>3</v>
      </c>
      <c r="J77" s="259">
        <v>35</v>
      </c>
      <c r="K77" s="129">
        <v>7</v>
      </c>
      <c r="L77" s="242">
        <v>30</v>
      </c>
      <c r="M77" s="129">
        <v>6</v>
      </c>
      <c r="N77" s="242">
        <v>80</v>
      </c>
      <c r="O77" s="105">
        <v>16</v>
      </c>
      <c r="P77" s="266">
        <f t="shared" si="16"/>
        <v>145</v>
      </c>
      <c r="Q77" s="184">
        <f t="shared" si="16"/>
        <v>29</v>
      </c>
      <c r="R77" s="75">
        <f t="shared" si="17"/>
        <v>14.5</v>
      </c>
      <c r="S77" s="127">
        <f t="shared" si="18"/>
        <v>5</v>
      </c>
      <c r="T77" s="273">
        <v>831</v>
      </c>
      <c r="U77" s="110">
        <f t="shared" si="15"/>
        <v>-0.825511432009627</v>
      </c>
      <c r="V77" s="272">
        <v>4954.5</v>
      </c>
      <c r="W77" s="86">
        <v>590</v>
      </c>
      <c r="X77" s="209">
        <f>IF(V77&lt;&gt;0,V77/W77,"")</f>
        <v>8.397457627118644</v>
      </c>
      <c r="Y77" s="153"/>
      <c r="Z77" s="153"/>
      <c r="AA77" s="159"/>
      <c r="AB77" s="159"/>
      <c r="AC77" s="159"/>
      <c r="AD77" s="159"/>
    </row>
    <row r="78" spans="1:30" s="155" customFormat="1" ht="20.25" customHeight="1">
      <c r="A78" s="161">
        <v>72</v>
      </c>
      <c r="B78" s="179"/>
      <c r="C78" s="71" t="s">
        <v>121</v>
      </c>
      <c r="D78" s="72">
        <v>38786</v>
      </c>
      <c r="E78" s="71" t="s">
        <v>179</v>
      </c>
      <c r="F78" s="71" t="s">
        <v>180</v>
      </c>
      <c r="G78" s="136">
        <v>7</v>
      </c>
      <c r="H78" s="136">
        <v>2</v>
      </c>
      <c r="I78" s="94">
        <v>8</v>
      </c>
      <c r="J78" s="262">
        <v>5</v>
      </c>
      <c r="K78" s="82">
        <v>1</v>
      </c>
      <c r="L78" s="244">
        <v>63</v>
      </c>
      <c r="M78" s="82">
        <v>9</v>
      </c>
      <c r="N78" s="244">
        <v>73</v>
      </c>
      <c r="O78" s="107">
        <v>10</v>
      </c>
      <c r="P78" s="269">
        <f t="shared" si="16"/>
        <v>141</v>
      </c>
      <c r="Q78" s="256">
        <f t="shared" si="16"/>
        <v>20</v>
      </c>
      <c r="R78" s="75">
        <f t="shared" si="17"/>
        <v>10</v>
      </c>
      <c r="S78" s="275">
        <f t="shared" si="18"/>
        <v>7.05</v>
      </c>
      <c r="T78" s="262">
        <v>3157</v>
      </c>
      <c r="U78" s="110">
        <f t="shared" si="15"/>
        <v>-0.955337345581248</v>
      </c>
      <c r="V78" s="262">
        <v>21246.5</v>
      </c>
      <c r="W78" s="82">
        <v>3563</v>
      </c>
      <c r="X78" s="209">
        <f>IF(V78&lt;&gt;0,V78/W78,"")</f>
        <v>5.963092899242212</v>
      </c>
      <c r="Y78" s="153"/>
      <c r="Z78" s="153"/>
      <c r="AA78" s="159"/>
      <c r="AB78" s="159"/>
      <c r="AC78" s="159"/>
      <c r="AD78" s="159"/>
    </row>
    <row r="79" spans="1:30" s="155" customFormat="1" ht="20.25" customHeight="1">
      <c r="A79" s="161">
        <v>73</v>
      </c>
      <c r="B79" s="179"/>
      <c r="C79" s="71" t="s">
        <v>91</v>
      </c>
      <c r="D79" s="72">
        <v>39060</v>
      </c>
      <c r="E79" s="197" t="s">
        <v>80</v>
      </c>
      <c r="F79" s="71" t="s">
        <v>152</v>
      </c>
      <c r="G79" s="136">
        <v>77</v>
      </c>
      <c r="H79" s="136">
        <v>2</v>
      </c>
      <c r="I79" s="94">
        <v>21</v>
      </c>
      <c r="J79" s="259">
        <v>0</v>
      </c>
      <c r="K79" s="129">
        <v>0</v>
      </c>
      <c r="L79" s="242">
        <v>12</v>
      </c>
      <c r="M79" s="129">
        <v>2</v>
      </c>
      <c r="N79" s="242">
        <v>82</v>
      </c>
      <c r="O79" s="105">
        <v>15</v>
      </c>
      <c r="P79" s="266">
        <f t="shared" si="16"/>
        <v>94</v>
      </c>
      <c r="Q79" s="184">
        <f t="shared" si="16"/>
        <v>17</v>
      </c>
      <c r="R79" s="75">
        <f t="shared" si="17"/>
        <v>8.5</v>
      </c>
      <c r="S79" s="127">
        <f t="shared" si="18"/>
        <v>5.529411764705882</v>
      </c>
      <c r="T79" s="259">
        <v>934</v>
      </c>
      <c r="U79" s="110">
        <f t="shared" si="15"/>
        <v>-0.8993576017130621</v>
      </c>
      <c r="V79" s="259">
        <v>1921721</v>
      </c>
      <c r="W79" s="129">
        <v>280687</v>
      </c>
      <c r="X79" s="209">
        <f>V79/W79</f>
        <v>6.84649093117957</v>
      </c>
      <c r="Y79" s="153"/>
      <c r="Z79" s="153"/>
      <c r="AA79" s="159"/>
      <c r="AB79" s="159"/>
      <c r="AC79" s="159"/>
      <c r="AD79" s="159"/>
    </row>
    <row r="80" spans="1:30" s="155" customFormat="1" ht="20.25" customHeight="1">
      <c r="A80" s="161">
        <v>74</v>
      </c>
      <c r="B80" s="179"/>
      <c r="C80" s="71" t="s">
        <v>142</v>
      </c>
      <c r="D80" s="72">
        <v>38653</v>
      </c>
      <c r="E80" s="197" t="s">
        <v>80</v>
      </c>
      <c r="F80" s="71" t="s">
        <v>182</v>
      </c>
      <c r="G80" s="136">
        <v>92</v>
      </c>
      <c r="H80" s="136">
        <v>1</v>
      </c>
      <c r="I80" s="94">
        <v>27</v>
      </c>
      <c r="J80" s="259">
        <v>0</v>
      </c>
      <c r="K80" s="129">
        <v>0</v>
      </c>
      <c r="L80" s="242">
        <v>30</v>
      </c>
      <c r="M80" s="129">
        <v>5</v>
      </c>
      <c r="N80" s="242">
        <v>0</v>
      </c>
      <c r="O80" s="105">
        <v>0</v>
      </c>
      <c r="P80" s="266">
        <f t="shared" si="16"/>
        <v>30</v>
      </c>
      <c r="Q80" s="184">
        <f t="shared" si="16"/>
        <v>5</v>
      </c>
      <c r="R80" s="75">
        <f t="shared" si="17"/>
        <v>5</v>
      </c>
      <c r="S80" s="127">
        <f t="shared" si="18"/>
        <v>6</v>
      </c>
      <c r="T80" s="259">
        <v>6</v>
      </c>
      <c r="U80" s="110">
        <f t="shared" si="15"/>
        <v>4</v>
      </c>
      <c r="V80" s="259">
        <v>1041699</v>
      </c>
      <c r="W80" s="129">
        <v>151721</v>
      </c>
      <c r="X80" s="209">
        <f>V80/W80</f>
        <v>6.865885408084576</v>
      </c>
      <c r="Y80" s="153"/>
      <c r="Z80" s="153"/>
      <c r="AA80" s="159"/>
      <c r="AB80" s="159"/>
      <c r="AC80" s="159"/>
      <c r="AD80" s="159"/>
    </row>
    <row r="81" spans="1:30" s="155" customFormat="1" ht="20.25" customHeight="1" thickBot="1">
      <c r="A81" s="161">
        <v>75</v>
      </c>
      <c r="B81" s="181"/>
      <c r="C81" s="111" t="s">
        <v>200</v>
      </c>
      <c r="D81" s="112">
        <v>38506</v>
      </c>
      <c r="E81" s="252" t="s">
        <v>80</v>
      </c>
      <c r="F81" s="111" t="s">
        <v>182</v>
      </c>
      <c r="G81" s="182">
        <v>106</v>
      </c>
      <c r="H81" s="182">
        <v>1</v>
      </c>
      <c r="I81" s="114">
        <v>48</v>
      </c>
      <c r="J81" s="263">
        <v>0</v>
      </c>
      <c r="K81" s="135">
        <v>0</v>
      </c>
      <c r="L81" s="253">
        <v>0</v>
      </c>
      <c r="M81" s="135">
        <v>0</v>
      </c>
      <c r="N81" s="253">
        <v>12</v>
      </c>
      <c r="O81" s="116">
        <v>2</v>
      </c>
      <c r="P81" s="270">
        <f t="shared" si="16"/>
        <v>12</v>
      </c>
      <c r="Q81" s="257">
        <f t="shared" si="16"/>
        <v>2</v>
      </c>
      <c r="R81" s="119">
        <f t="shared" si="17"/>
        <v>2</v>
      </c>
      <c r="S81" s="276">
        <f t="shared" si="18"/>
        <v>6</v>
      </c>
      <c r="T81" s="263">
        <v>1200</v>
      </c>
      <c r="U81" s="120">
        <f t="shared" si="15"/>
        <v>-0.99</v>
      </c>
      <c r="V81" s="263">
        <v>1514857</v>
      </c>
      <c r="W81" s="135">
        <v>235885</v>
      </c>
      <c r="X81" s="214">
        <f>V81/W81</f>
        <v>6.422014964919346</v>
      </c>
      <c r="Y81" s="153"/>
      <c r="Z81" s="153"/>
      <c r="AA81" s="159"/>
      <c r="AB81" s="159"/>
      <c r="AC81" s="159"/>
      <c r="AD81" s="159"/>
    </row>
    <row r="82" spans="1:30" s="60" customFormat="1" ht="20.25" customHeight="1" thickBot="1">
      <c r="A82" s="137"/>
      <c r="B82" s="162"/>
      <c r="C82" s="163"/>
      <c r="D82" s="164"/>
      <c r="E82" s="164"/>
      <c r="F82" s="165"/>
      <c r="G82" s="166"/>
      <c r="H82" s="166"/>
      <c r="I82" s="166"/>
      <c r="J82" s="167"/>
      <c r="K82" s="168"/>
      <c r="L82" s="167"/>
      <c r="M82" s="168"/>
      <c r="N82" s="167"/>
      <c r="O82" s="168"/>
      <c r="P82" s="169"/>
      <c r="Q82" s="170"/>
      <c r="R82" s="171"/>
      <c r="S82" s="172"/>
      <c r="T82" s="167"/>
      <c r="U82" s="173"/>
      <c r="V82" s="167"/>
      <c r="W82" s="173"/>
      <c r="X82" s="173"/>
      <c r="Y82" s="58"/>
      <c r="Z82" s="59"/>
      <c r="AA82" s="58"/>
      <c r="AB82" s="58"/>
      <c r="AC82" s="58"/>
      <c r="AD82" s="58"/>
    </row>
    <row r="83" spans="1:30" s="91" customFormat="1" ht="20.25" customHeight="1" thickBot="1">
      <c r="A83" s="140"/>
      <c r="B83" s="328" t="s">
        <v>115</v>
      </c>
      <c r="C83" s="329"/>
      <c r="D83" s="329"/>
      <c r="E83" s="329"/>
      <c r="F83" s="329"/>
      <c r="G83" s="142"/>
      <c r="H83" s="142">
        <f>SUM(H7:H82)</f>
        <v>1281</v>
      </c>
      <c r="I83" s="141"/>
      <c r="J83" s="143"/>
      <c r="K83" s="144"/>
      <c r="L83" s="143"/>
      <c r="M83" s="144"/>
      <c r="N83" s="143"/>
      <c r="O83" s="144"/>
      <c r="P83" s="143">
        <f>SUM(P7:P82)</f>
        <v>2239821.5</v>
      </c>
      <c r="Q83" s="144">
        <f>SUM(Q7:Q82)</f>
        <v>302057</v>
      </c>
      <c r="R83" s="145">
        <f>P83/H83</f>
        <v>1748.4945355191257</v>
      </c>
      <c r="S83" s="146">
        <f>P83/Q83</f>
        <v>7.41522792055804</v>
      </c>
      <c r="T83" s="143"/>
      <c r="U83" s="147"/>
      <c r="V83" s="160"/>
      <c r="W83" s="148"/>
      <c r="X83" s="149"/>
      <c r="Z83" s="92"/>
      <c r="AD83" s="91" t="s">
        <v>116</v>
      </c>
    </row>
    <row r="84" spans="20:24" ht="18">
      <c r="T84" s="342" t="s">
        <v>117</v>
      </c>
      <c r="U84" s="342"/>
      <c r="V84" s="342"/>
      <c r="W84" s="342"/>
      <c r="X84" s="342"/>
    </row>
    <row r="85" spans="20:24" ht="18">
      <c r="T85" s="343"/>
      <c r="U85" s="343"/>
      <c r="V85" s="343"/>
      <c r="W85" s="343"/>
      <c r="X85" s="343"/>
    </row>
    <row r="86" spans="20:24" ht="18">
      <c r="T86" s="343"/>
      <c r="U86" s="343"/>
      <c r="V86" s="343"/>
      <c r="W86" s="343"/>
      <c r="X86" s="343"/>
    </row>
    <row r="87" spans="20:24" ht="18">
      <c r="T87" s="343"/>
      <c r="U87" s="343"/>
      <c r="V87" s="343"/>
      <c r="W87" s="343"/>
      <c r="X87" s="343"/>
    </row>
    <row r="88" spans="20:24" ht="18">
      <c r="T88" s="343"/>
      <c r="U88" s="343"/>
      <c r="V88" s="343"/>
      <c r="W88" s="343"/>
      <c r="X88" s="343"/>
    </row>
    <row r="89" spans="20:24" ht="18">
      <c r="T89" s="343"/>
      <c r="U89" s="343"/>
      <c r="V89" s="343"/>
      <c r="W89" s="343"/>
      <c r="X89" s="343"/>
    </row>
    <row r="90" spans="1:24" ht="18">
      <c r="A90" s="344" t="s">
        <v>118</v>
      </c>
      <c r="B90" s="345"/>
      <c r="C90" s="345"/>
      <c r="D90" s="345"/>
      <c r="E90" s="345"/>
      <c r="F90" s="345"/>
      <c r="G90" s="345"/>
      <c r="H90" s="345"/>
      <c r="I90" s="345"/>
      <c r="J90" s="345"/>
      <c r="K90" s="345"/>
      <c r="L90" s="345"/>
      <c r="M90" s="345"/>
      <c r="N90" s="345"/>
      <c r="O90" s="345"/>
      <c r="P90" s="345"/>
      <c r="Q90" s="345"/>
      <c r="R90" s="345"/>
      <c r="S90" s="345"/>
      <c r="T90" s="345"/>
      <c r="U90" s="345"/>
      <c r="V90" s="345"/>
      <c r="W90" s="345"/>
      <c r="X90" s="345"/>
    </row>
    <row r="91" spans="1:24" ht="18">
      <c r="A91" s="345"/>
      <c r="B91" s="345"/>
      <c r="C91" s="345"/>
      <c r="D91" s="345"/>
      <c r="E91" s="345"/>
      <c r="F91" s="345"/>
      <c r="G91" s="345"/>
      <c r="H91" s="345"/>
      <c r="I91" s="345"/>
      <c r="J91" s="345"/>
      <c r="K91" s="345"/>
      <c r="L91" s="345"/>
      <c r="M91" s="345"/>
      <c r="N91" s="345"/>
      <c r="O91" s="345"/>
      <c r="P91" s="345"/>
      <c r="Q91" s="345"/>
      <c r="R91" s="345"/>
      <c r="S91" s="345"/>
      <c r="T91" s="345"/>
      <c r="U91" s="345"/>
      <c r="V91" s="345"/>
      <c r="W91" s="345"/>
      <c r="X91" s="345"/>
    </row>
    <row r="92" spans="1:24" ht="18">
      <c r="A92" s="345"/>
      <c r="B92" s="345"/>
      <c r="C92" s="345"/>
      <c r="D92" s="345"/>
      <c r="E92" s="345"/>
      <c r="F92" s="345"/>
      <c r="G92" s="345"/>
      <c r="H92" s="345"/>
      <c r="I92" s="345"/>
      <c r="J92" s="345"/>
      <c r="K92" s="345"/>
      <c r="L92" s="345"/>
      <c r="M92" s="345"/>
      <c r="N92" s="345"/>
      <c r="O92" s="345"/>
      <c r="P92" s="345"/>
      <c r="Q92" s="345"/>
      <c r="R92" s="345"/>
      <c r="S92" s="345"/>
      <c r="T92" s="345"/>
      <c r="U92" s="345"/>
      <c r="V92" s="345"/>
      <c r="W92" s="345"/>
      <c r="X92" s="345"/>
    </row>
    <row r="93" spans="1:24" ht="18">
      <c r="A93" s="345"/>
      <c r="B93" s="345"/>
      <c r="C93" s="345"/>
      <c r="D93" s="345"/>
      <c r="E93" s="345"/>
      <c r="F93" s="345"/>
      <c r="G93" s="345"/>
      <c r="H93" s="345"/>
      <c r="I93" s="345"/>
      <c r="J93" s="345"/>
      <c r="K93" s="345"/>
      <c r="L93" s="345"/>
      <c r="M93" s="345"/>
      <c r="N93" s="345"/>
      <c r="O93" s="345"/>
      <c r="P93" s="345"/>
      <c r="Q93" s="345"/>
      <c r="R93" s="345"/>
      <c r="S93" s="345"/>
      <c r="T93" s="345"/>
      <c r="U93" s="345"/>
      <c r="V93" s="345"/>
      <c r="W93" s="345"/>
      <c r="X93" s="345"/>
    </row>
    <row r="94" spans="1:30" ht="18">
      <c r="A94" s="345"/>
      <c r="B94" s="345"/>
      <c r="C94" s="345"/>
      <c r="D94" s="345"/>
      <c r="E94" s="345"/>
      <c r="F94" s="345"/>
      <c r="G94" s="345"/>
      <c r="H94" s="345"/>
      <c r="I94" s="345"/>
      <c r="J94" s="345"/>
      <c r="K94" s="345"/>
      <c r="L94" s="345"/>
      <c r="M94" s="345"/>
      <c r="N94" s="345"/>
      <c r="O94" s="345"/>
      <c r="P94" s="345"/>
      <c r="Q94" s="345"/>
      <c r="R94" s="345"/>
      <c r="S94" s="345"/>
      <c r="T94" s="345"/>
      <c r="U94" s="345"/>
      <c r="V94" s="345"/>
      <c r="W94" s="345"/>
      <c r="X94" s="345"/>
      <c r="AD94" s="57" t="s">
        <v>116</v>
      </c>
    </row>
  </sheetData>
  <mergeCells count="21">
    <mergeCell ref="A90:X94"/>
    <mergeCell ref="V5:X5"/>
    <mergeCell ref="B83:F83"/>
    <mergeCell ref="T84:X86"/>
    <mergeCell ref="T87:X89"/>
    <mergeCell ref="C5:C6"/>
    <mergeCell ref="D5:D6"/>
    <mergeCell ref="E5:E6"/>
    <mergeCell ref="F5:F6"/>
    <mergeCell ref="J5:K5"/>
    <mergeCell ref="A1:X1"/>
    <mergeCell ref="A2:X2"/>
    <mergeCell ref="O3:X3"/>
    <mergeCell ref="A4:X4"/>
    <mergeCell ref="P5:S5"/>
    <mergeCell ref="G5:G6"/>
    <mergeCell ref="T5:U5"/>
    <mergeCell ref="L5:M5"/>
    <mergeCell ref="N5:O5"/>
    <mergeCell ref="H5:H6"/>
    <mergeCell ref="I5:I6"/>
  </mergeCells>
  <printOptions/>
  <pageMargins left="0.58" right="0.54" top="1" bottom="1" header="0.5" footer="0.5"/>
  <pageSetup orientation="portrait" paperSize="9" scale="35" r:id="rId2"/>
  <ignoredErrors>
    <ignoredError sqref="X70:X73 P70:S77 X18:X27 P8:S27 P59:S68 X59:X68 X29:X57 P29:S57" formula="1"/>
    <ignoredError sqref="P78:S78" formula="1" unlockedFormula="1"/>
    <ignoredError sqref="T78" unlockedFormula="1"/>
  </ignoredErrors>
  <drawing r:id="rId1"/>
</worksheet>
</file>

<file path=xl/worksheets/sheet3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49</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+'Oct.13-15 (we42)'!N37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50</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 20-22 (we43)'!N37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51</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+'Oct.27-29 (we44)'!N37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52</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+'Nov.3-5 (we45)'!N37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53</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+'Nov.10-12 (we46)'!N37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54</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+'Nov.17-19 (we47)'!N37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55</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+'Nov.24-26 (we48)'!N37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56</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+'Dec.1-3 (we49)'!N37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57</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+'Dec.8-10 (we50)'!N37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58</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+'Dec.15-17 (we51)'!N37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25"/>
  <sheetViews>
    <sheetView zoomScale="80" zoomScaleNormal="80" workbookViewId="0" topLeftCell="A1">
      <selection activeCell="A1" sqref="A1:IV16384"/>
    </sheetView>
  </sheetViews>
  <sheetFormatPr defaultColWidth="9.140625" defaultRowHeight="12.75"/>
  <cols>
    <col min="1" max="1" width="3.421875" style="122" bestFit="1" customWidth="1"/>
    <col min="2" max="2" width="1.7109375" style="61" customWidth="1"/>
    <col min="3" max="3" width="25.8515625" style="57" bestFit="1" customWidth="1"/>
    <col min="4" max="4" width="9.140625" style="57" bestFit="1" customWidth="1"/>
    <col min="5" max="5" width="10.8515625" style="57" bestFit="1" customWidth="1"/>
    <col min="6" max="6" width="8.00390625" style="63" bestFit="1" customWidth="1"/>
    <col min="7" max="7" width="9.421875" style="57" customWidth="1"/>
    <col min="8" max="8" width="11.28125" style="57" hidden="1" customWidth="1"/>
    <col min="9" max="9" width="7.8515625" style="57" hidden="1" customWidth="1"/>
    <col min="10" max="10" width="11.28125" style="57" hidden="1" customWidth="1"/>
    <col min="11" max="11" width="7.8515625" style="57" hidden="1" customWidth="1"/>
    <col min="12" max="12" width="11.28125" style="57" hidden="1" customWidth="1"/>
    <col min="13" max="13" width="7.8515625" style="57" hidden="1" customWidth="1"/>
    <col min="14" max="14" width="13.57421875" style="90" bestFit="1" customWidth="1"/>
    <col min="15" max="15" width="8.7109375" style="57" bestFit="1" customWidth="1"/>
    <col min="16" max="16" width="9.140625" style="57" bestFit="1" customWidth="1"/>
    <col min="17" max="17" width="6.7109375" style="57" bestFit="1" customWidth="1"/>
    <col min="18" max="18" width="13.00390625" style="89" bestFit="1" customWidth="1"/>
    <col min="19" max="19" width="8.421875" style="57" bestFit="1" customWidth="1"/>
    <col min="20" max="20" width="13.00390625" style="89" bestFit="1" customWidth="1"/>
    <col min="21" max="21" width="8.8515625" style="57" bestFit="1" customWidth="1"/>
    <col min="22" max="22" width="8.00390625" style="57" customWidth="1"/>
    <col min="23" max="23" width="38.57421875" style="57" customWidth="1"/>
    <col min="24" max="24" width="38.57421875" style="53" customWidth="1"/>
    <col min="25" max="27" width="38.57421875" style="57" customWidth="1"/>
    <col min="28" max="28" width="1.57421875" style="57" bestFit="1" customWidth="1"/>
    <col min="29" max="16384" width="38.57421875" style="57" customWidth="1"/>
  </cols>
  <sheetData>
    <row r="1" spans="1:22" ht="26.25">
      <c r="A1" s="351" t="s">
        <v>234</v>
      </c>
      <c r="B1" s="352"/>
      <c r="C1" s="352"/>
      <c r="D1" s="352"/>
      <c r="E1" s="352"/>
      <c r="F1" s="352"/>
      <c r="G1" s="352"/>
      <c r="H1" s="352"/>
      <c r="I1" s="352"/>
      <c r="J1" s="352"/>
      <c r="K1" s="352"/>
      <c r="L1" s="352"/>
      <c r="M1" s="352"/>
      <c r="N1" s="352"/>
      <c r="O1" s="352"/>
      <c r="P1" s="352"/>
      <c r="Q1" s="352"/>
      <c r="R1" s="352"/>
      <c r="S1" s="352"/>
      <c r="T1" s="352"/>
      <c r="U1" s="352"/>
      <c r="V1" s="353"/>
    </row>
    <row r="2" spans="1:22" ht="37.5">
      <c r="A2" s="354" t="s">
        <v>235</v>
      </c>
      <c r="B2" s="355"/>
      <c r="C2" s="355"/>
      <c r="D2" s="355"/>
      <c r="E2" s="355"/>
      <c r="F2" s="355"/>
      <c r="G2" s="355"/>
      <c r="H2" s="355"/>
      <c r="I2" s="355"/>
      <c r="J2" s="355"/>
      <c r="K2" s="355"/>
      <c r="L2" s="355"/>
      <c r="M2" s="355"/>
      <c r="N2" s="355"/>
      <c r="O2" s="355"/>
      <c r="P2" s="355"/>
      <c r="Q2" s="355"/>
      <c r="R2" s="355"/>
      <c r="S2" s="355"/>
      <c r="T2" s="355"/>
      <c r="U2" s="355"/>
      <c r="V2" s="356"/>
    </row>
    <row r="3" spans="1:22" ht="30" customHeight="1">
      <c r="A3" s="217"/>
      <c r="B3" s="218"/>
      <c r="C3" s="221" t="s">
        <v>237</v>
      </c>
      <c r="D3" s="218"/>
      <c r="E3" s="218"/>
      <c r="F3" s="218"/>
      <c r="G3" s="218"/>
      <c r="H3" s="350"/>
      <c r="I3" s="350"/>
      <c r="J3" s="350"/>
      <c r="K3" s="350"/>
      <c r="L3" s="350"/>
      <c r="M3" s="357" t="s">
        <v>254</v>
      </c>
      <c r="N3" s="357"/>
      <c r="O3" s="357"/>
      <c r="P3" s="357"/>
      <c r="Q3" s="357"/>
      <c r="R3" s="357"/>
      <c r="S3" s="357"/>
      <c r="T3" s="357"/>
      <c r="U3" s="357"/>
      <c r="V3" s="358"/>
    </row>
    <row r="4" spans="1:22" s="54" customFormat="1" ht="27.75" thickBot="1">
      <c r="A4" s="359" t="s">
        <v>202</v>
      </c>
      <c r="B4" s="360"/>
      <c r="C4" s="360"/>
      <c r="D4" s="360"/>
      <c r="E4" s="360"/>
      <c r="F4" s="360"/>
      <c r="G4" s="360"/>
      <c r="H4" s="360"/>
      <c r="I4" s="360"/>
      <c r="J4" s="360"/>
      <c r="K4" s="360"/>
      <c r="L4" s="360"/>
      <c r="M4" s="360"/>
      <c r="N4" s="360"/>
      <c r="O4" s="361"/>
      <c r="P4" s="361"/>
      <c r="Q4" s="361"/>
      <c r="R4" s="361"/>
      <c r="S4" s="361"/>
      <c r="T4" s="361"/>
      <c r="U4" s="361"/>
      <c r="V4" s="362"/>
    </row>
    <row r="5" spans="1:24" s="288" customFormat="1" ht="15">
      <c r="A5" s="287"/>
      <c r="B5" s="216"/>
      <c r="C5" s="347" t="s">
        <v>0</v>
      </c>
      <c r="D5" s="340" t="s">
        <v>96</v>
      </c>
      <c r="E5" s="340" t="s">
        <v>2</v>
      </c>
      <c r="F5" s="340" t="s">
        <v>98</v>
      </c>
      <c r="G5" s="340" t="s">
        <v>99</v>
      </c>
      <c r="H5" s="330" t="s">
        <v>4</v>
      </c>
      <c r="I5" s="330"/>
      <c r="J5" s="330" t="s">
        <v>7</v>
      </c>
      <c r="K5" s="330"/>
      <c r="L5" s="330" t="s">
        <v>8</v>
      </c>
      <c r="M5" s="330"/>
      <c r="N5" s="330" t="s">
        <v>100</v>
      </c>
      <c r="O5" s="330"/>
      <c r="P5" s="330"/>
      <c r="Q5" s="330"/>
      <c r="R5" s="330" t="s">
        <v>101</v>
      </c>
      <c r="S5" s="330"/>
      <c r="T5" s="330" t="s">
        <v>102</v>
      </c>
      <c r="U5" s="330"/>
      <c r="V5" s="346"/>
      <c r="X5" s="289"/>
    </row>
    <row r="6" spans="1:24" s="288" customFormat="1" ht="26.25" thickBot="1">
      <c r="A6" s="290"/>
      <c r="B6" s="64"/>
      <c r="C6" s="348"/>
      <c r="D6" s="349"/>
      <c r="E6" s="341"/>
      <c r="F6" s="349"/>
      <c r="G6" s="349"/>
      <c r="H6" s="67" t="s">
        <v>82</v>
      </c>
      <c r="I6" s="67" t="s">
        <v>16</v>
      </c>
      <c r="J6" s="67" t="s">
        <v>82</v>
      </c>
      <c r="K6" s="67" t="s">
        <v>16</v>
      </c>
      <c r="L6" s="67" t="s">
        <v>82</v>
      </c>
      <c r="M6" s="67" t="s">
        <v>16</v>
      </c>
      <c r="N6" s="65" t="s">
        <v>82</v>
      </c>
      <c r="O6" s="65" t="s">
        <v>16</v>
      </c>
      <c r="P6" s="228" t="s">
        <v>103</v>
      </c>
      <c r="Q6" s="228" t="s">
        <v>104</v>
      </c>
      <c r="R6" s="139" t="s">
        <v>82</v>
      </c>
      <c r="S6" s="67" t="s">
        <v>11</v>
      </c>
      <c r="T6" s="139" t="s">
        <v>82</v>
      </c>
      <c r="U6" s="67" t="s">
        <v>16</v>
      </c>
      <c r="V6" s="291" t="s">
        <v>104</v>
      </c>
      <c r="X6" s="289"/>
    </row>
    <row r="7" spans="1:24" s="55" customFormat="1" ht="18">
      <c r="A7" s="161">
        <v>1</v>
      </c>
      <c r="B7" s="70"/>
      <c r="C7" s="245" t="s">
        <v>241</v>
      </c>
      <c r="D7" s="246">
        <v>38821</v>
      </c>
      <c r="E7" s="247" t="s">
        <v>78</v>
      </c>
      <c r="F7" s="248">
        <v>118</v>
      </c>
      <c r="G7" s="264">
        <v>3</v>
      </c>
      <c r="H7" s="258">
        <v>119876</v>
      </c>
      <c r="I7" s="250">
        <v>17837</v>
      </c>
      <c r="J7" s="249">
        <v>272973.5</v>
      </c>
      <c r="K7" s="250">
        <v>36983</v>
      </c>
      <c r="L7" s="249">
        <v>293271</v>
      </c>
      <c r="M7" s="271">
        <v>38979</v>
      </c>
      <c r="N7" s="265">
        <f>SUM(H7+J7+L7)</f>
        <v>686120.5</v>
      </c>
      <c r="O7" s="254">
        <f>SUM(I7+K7+M7)</f>
        <v>93799</v>
      </c>
      <c r="P7" s="206">
        <f>O7/F7</f>
        <v>794.9067796610169</v>
      </c>
      <c r="Q7" s="225">
        <f>N7/O7</f>
        <v>7.314795466902632</v>
      </c>
      <c r="R7" s="258">
        <v>1018053.5</v>
      </c>
      <c r="S7" s="109">
        <f aca="true" t="shared" si="0" ref="S7:S16">IF(R7&lt;&gt;0,-(R7-N7)/R7,"")</f>
        <v>-0.3260467156195622</v>
      </c>
      <c r="T7" s="258">
        <v>4178521.5</v>
      </c>
      <c r="U7" s="250">
        <v>588308</v>
      </c>
      <c r="V7" s="208">
        <f aca="true" t="shared" si="1" ref="V7:V16">T7/U7</f>
        <v>7.102608667568688</v>
      </c>
      <c r="X7" s="56"/>
    </row>
    <row r="8" spans="1:24" s="151" customFormat="1" ht="18">
      <c r="A8" s="161">
        <v>2</v>
      </c>
      <c r="B8" s="178"/>
      <c r="C8" s="71" t="s">
        <v>242</v>
      </c>
      <c r="D8" s="72">
        <v>38835</v>
      </c>
      <c r="E8" s="197" t="s">
        <v>80</v>
      </c>
      <c r="F8" s="136">
        <v>76</v>
      </c>
      <c r="G8" s="94">
        <v>1</v>
      </c>
      <c r="H8" s="259">
        <v>76914</v>
      </c>
      <c r="I8" s="129">
        <v>8657</v>
      </c>
      <c r="J8" s="242">
        <v>136434</v>
      </c>
      <c r="K8" s="129">
        <v>14816</v>
      </c>
      <c r="L8" s="242">
        <v>159406</v>
      </c>
      <c r="M8" s="105">
        <v>17316</v>
      </c>
      <c r="N8" s="266">
        <f>+H8+J8+L8</f>
        <v>372754</v>
      </c>
      <c r="O8" s="184">
        <f>+I8+K8+M8</f>
        <v>40789</v>
      </c>
      <c r="P8" s="75">
        <f>IF(N8&lt;&gt;0,O8/F8,"")</f>
        <v>536.6973684210526</v>
      </c>
      <c r="Q8" s="127">
        <f>IF(N8&lt;&gt;0,N8/O8,"")</f>
        <v>9.138591286866557</v>
      </c>
      <c r="R8" s="272"/>
      <c r="S8" s="110">
        <f t="shared" si="0"/>
      </c>
      <c r="T8" s="259">
        <v>372754</v>
      </c>
      <c r="U8" s="129">
        <v>40789</v>
      </c>
      <c r="V8" s="209">
        <f t="shared" si="1"/>
        <v>9.138591286866557</v>
      </c>
      <c r="X8" s="152"/>
    </row>
    <row r="9" spans="1:24" s="151" customFormat="1" ht="18">
      <c r="A9" s="161">
        <v>3</v>
      </c>
      <c r="B9" s="178"/>
      <c r="C9" s="200" t="s">
        <v>243</v>
      </c>
      <c r="D9" s="85">
        <v>38835</v>
      </c>
      <c r="E9" s="240" t="s">
        <v>78</v>
      </c>
      <c r="F9" s="150">
        <v>65</v>
      </c>
      <c r="G9" s="96">
        <v>1</v>
      </c>
      <c r="H9" s="260">
        <v>51159.5</v>
      </c>
      <c r="I9" s="157">
        <v>6987</v>
      </c>
      <c r="J9" s="241">
        <v>89001</v>
      </c>
      <c r="K9" s="157">
        <v>11314</v>
      </c>
      <c r="L9" s="241">
        <v>108784.5</v>
      </c>
      <c r="M9" s="188">
        <v>13899</v>
      </c>
      <c r="N9" s="267">
        <f>SUM(H9+J9+L9)</f>
        <v>248945</v>
      </c>
      <c r="O9" s="255">
        <f>SUM(I9+K9+M9)</f>
        <v>32200</v>
      </c>
      <c r="P9" s="86">
        <f>O9/F9</f>
        <v>495.38461538461536</v>
      </c>
      <c r="Q9" s="226">
        <f>N9/O9</f>
        <v>7.731211180124224</v>
      </c>
      <c r="R9" s="260"/>
      <c r="S9" s="110">
        <f t="shared" si="0"/>
      </c>
      <c r="T9" s="260">
        <f>248945</f>
        <v>248945</v>
      </c>
      <c r="U9" s="157">
        <f>32200</f>
        <v>32200</v>
      </c>
      <c r="V9" s="210">
        <f t="shared" si="1"/>
        <v>7.731211180124224</v>
      </c>
      <c r="X9" s="152"/>
    </row>
    <row r="10" spans="1:25" s="154" customFormat="1" ht="18">
      <c r="A10" s="161">
        <v>4</v>
      </c>
      <c r="B10" s="179"/>
      <c r="C10" s="71" t="s">
        <v>203</v>
      </c>
      <c r="D10" s="72">
        <v>38828</v>
      </c>
      <c r="E10" s="197" t="s">
        <v>76</v>
      </c>
      <c r="F10" s="136">
        <v>59</v>
      </c>
      <c r="G10" s="94">
        <v>2</v>
      </c>
      <c r="H10" s="259">
        <v>31857</v>
      </c>
      <c r="I10" s="129">
        <v>3735</v>
      </c>
      <c r="J10" s="242">
        <v>56814</v>
      </c>
      <c r="K10" s="129">
        <v>6468</v>
      </c>
      <c r="L10" s="242">
        <v>76396</v>
      </c>
      <c r="M10" s="105">
        <v>8709</v>
      </c>
      <c r="N10" s="266">
        <f aca="true" t="shared" si="2" ref="N10:O12">+H10+J10+L10</f>
        <v>165067</v>
      </c>
      <c r="O10" s="184">
        <f t="shared" si="2"/>
        <v>18912</v>
      </c>
      <c r="P10" s="75">
        <f>IF(N10&lt;&gt;0,O10/F10,"")</f>
        <v>320.54237288135596</v>
      </c>
      <c r="Q10" s="127">
        <f>IF(N10&lt;&gt;0,N10/O10,"")</f>
        <v>8.728162013536378</v>
      </c>
      <c r="R10" s="259">
        <v>234172.5</v>
      </c>
      <c r="S10" s="110">
        <f t="shared" si="0"/>
        <v>-0.29510510414331315</v>
      </c>
      <c r="T10" s="259">
        <v>530740.5</v>
      </c>
      <c r="U10" s="129">
        <v>64125</v>
      </c>
      <c r="V10" s="209">
        <f t="shared" si="1"/>
        <v>8.276654970760234</v>
      </c>
      <c r="W10" s="153"/>
      <c r="Y10" s="153"/>
    </row>
    <row r="11" spans="1:24" s="155" customFormat="1" ht="18">
      <c r="A11" s="161">
        <v>5</v>
      </c>
      <c r="B11" s="179"/>
      <c r="C11" s="71" t="s">
        <v>244</v>
      </c>
      <c r="D11" s="72">
        <v>38815</v>
      </c>
      <c r="E11" s="197" t="s">
        <v>80</v>
      </c>
      <c r="F11" s="136">
        <v>94</v>
      </c>
      <c r="G11" s="94">
        <v>3</v>
      </c>
      <c r="H11" s="259">
        <v>14408</v>
      </c>
      <c r="I11" s="129">
        <v>2480</v>
      </c>
      <c r="J11" s="242">
        <v>45176</v>
      </c>
      <c r="K11" s="129">
        <v>6160</v>
      </c>
      <c r="L11" s="242">
        <v>48755</v>
      </c>
      <c r="M11" s="105">
        <v>6531</v>
      </c>
      <c r="N11" s="266">
        <f t="shared" si="2"/>
        <v>108339</v>
      </c>
      <c r="O11" s="184">
        <f t="shared" si="2"/>
        <v>15171</v>
      </c>
      <c r="P11" s="75">
        <f>IF(N11&lt;&gt;0,O11/F11,"")</f>
        <v>161.39361702127658</v>
      </c>
      <c r="Q11" s="127">
        <f>IF(N11&lt;&gt;0,N11/O11,"")</f>
        <v>7.141190429108167</v>
      </c>
      <c r="R11" s="272">
        <v>168978</v>
      </c>
      <c r="S11" s="110">
        <f t="shared" si="0"/>
        <v>-0.35885736604765117</v>
      </c>
      <c r="T11" s="259">
        <v>800330</v>
      </c>
      <c r="U11" s="129">
        <v>110745</v>
      </c>
      <c r="V11" s="209">
        <f t="shared" si="1"/>
        <v>7.226782247505531</v>
      </c>
      <c r="W11" s="153"/>
      <c r="X11" s="153"/>
    </row>
    <row r="12" spans="1:24" s="155" customFormat="1" ht="18">
      <c r="A12" s="161">
        <v>6</v>
      </c>
      <c r="B12" s="179"/>
      <c r="C12" s="71" t="s">
        <v>245</v>
      </c>
      <c r="D12" s="72">
        <v>38835</v>
      </c>
      <c r="E12" s="197" t="s">
        <v>76</v>
      </c>
      <c r="F12" s="136">
        <v>44</v>
      </c>
      <c r="G12" s="94">
        <v>1</v>
      </c>
      <c r="H12" s="259">
        <v>19499.5</v>
      </c>
      <c r="I12" s="129">
        <v>2190</v>
      </c>
      <c r="J12" s="242">
        <v>37106.5</v>
      </c>
      <c r="K12" s="129">
        <v>3904</v>
      </c>
      <c r="L12" s="242">
        <v>44174</v>
      </c>
      <c r="M12" s="105">
        <v>4765</v>
      </c>
      <c r="N12" s="266">
        <f t="shared" si="2"/>
        <v>100780</v>
      </c>
      <c r="O12" s="184">
        <f t="shared" si="2"/>
        <v>10859</v>
      </c>
      <c r="P12" s="75">
        <f>IF(N12&lt;&gt;0,O12/F12,"")</f>
        <v>246.79545454545453</v>
      </c>
      <c r="Q12" s="127">
        <f>IF(N12&lt;&gt;0,N12/O12,"")</f>
        <v>9.28078091905332</v>
      </c>
      <c r="R12" s="259"/>
      <c r="S12" s="110">
        <f t="shared" si="0"/>
      </c>
      <c r="T12" s="259">
        <v>100780</v>
      </c>
      <c r="U12" s="129">
        <v>10859</v>
      </c>
      <c r="V12" s="209">
        <f t="shared" si="1"/>
        <v>9.28078091905332</v>
      </c>
      <c r="W12" s="191"/>
      <c r="X12" s="191"/>
    </row>
    <row r="13" spans="1:24" s="155" customFormat="1" ht="18">
      <c r="A13" s="161">
        <v>7</v>
      </c>
      <c r="B13" s="179"/>
      <c r="C13" s="200" t="s">
        <v>204</v>
      </c>
      <c r="D13" s="85">
        <v>38828</v>
      </c>
      <c r="E13" s="240" t="s">
        <v>78</v>
      </c>
      <c r="F13" s="150">
        <v>43</v>
      </c>
      <c r="G13" s="96">
        <v>2</v>
      </c>
      <c r="H13" s="260">
        <v>17923</v>
      </c>
      <c r="I13" s="157">
        <v>2595</v>
      </c>
      <c r="J13" s="241">
        <v>37239.5</v>
      </c>
      <c r="K13" s="157">
        <v>4888</v>
      </c>
      <c r="L13" s="241">
        <v>45591.5</v>
      </c>
      <c r="M13" s="188">
        <v>5917</v>
      </c>
      <c r="N13" s="267">
        <f>SUM(H13+J13+L13)</f>
        <v>100754</v>
      </c>
      <c r="O13" s="255">
        <f>SUM(I13+K13+M13)</f>
        <v>13400</v>
      </c>
      <c r="P13" s="86">
        <f>O13/F13</f>
        <v>311.6279069767442</v>
      </c>
      <c r="Q13" s="226">
        <f>N13/O13</f>
        <v>7.518955223880597</v>
      </c>
      <c r="R13" s="260">
        <v>133979</v>
      </c>
      <c r="S13" s="110">
        <f t="shared" si="0"/>
        <v>-0.24798662476955344</v>
      </c>
      <c r="T13" s="260">
        <v>322591.5</v>
      </c>
      <c r="U13" s="157">
        <v>44865</v>
      </c>
      <c r="V13" s="210">
        <f t="shared" si="1"/>
        <v>7.190270812437312</v>
      </c>
      <c r="W13" s="153"/>
      <c r="X13" s="153"/>
    </row>
    <row r="14" spans="1:24" s="155" customFormat="1" ht="18">
      <c r="A14" s="161">
        <v>8</v>
      </c>
      <c r="B14" s="179"/>
      <c r="C14" s="71" t="s">
        <v>206</v>
      </c>
      <c r="D14" s="72">
        <v>38828</v>
      </c>
      <c r="E14" s="197" t="s">
        <v>80</v>
      </c>
      <c r="F14" s="136">
        <v>46</v>
      </c>
      <c r="G14" s="94">
        <v>2</v>
      </c>
      <c r="H14" s="259">
        <v>11946</v>
      </c>
      <c r="I14" s="129">
        <v>1304</v>
      </c>
      <c r="J14" s="242">
        <v>27445</v>
      </c>
      <c r="K14" s="129">
        <v>2885</v>
      </c>
      <c r="L14" s="242">
        <v>30595</v>
      </c>
      <c r="M14" s="105">
        <v>3247</v>
      </c>
      <c r="N14" s="266">
        <f>+H14+J14+L14</f>
        <v>69986</v>
      </c>
      <c r="O14" s="184">
        <f>+I14+K14+M14</f>
        <v>7436</v>
      </c>
      <c r="P14" s="75">
        <f>IF(N14&lt;&gt;0,O14/F14,"")</f>
        <v>161.65217391304347</v>
      </c>
      <c r="Q14" s="127">
        <f>IF(N14&lt;&gt;0,N14/O14,"")</f>
        <v>9.411780527165142</v>
      </c>
      <c r="R14" s="259">
        <v>86437</v>
      </c>
      <c r="S14" s="110">
        <f t="shared" si="0"/>
        <v>-0.19032358827816792</v>
      </c>
      <c r="T14" s="259">
        <v>211009</v>
      </c>
      <c r="U14" s="129">
        <v>23675</v>
      </c>
      <c r="V14" s="209">
        <f t="shared" si="1"/>
        <v>8.91273495248152</v>
      </c>
      <c r="W14" s="153"/>
      <c r="X14" s="153"/>
    </row>
    <row r="15" spans="1:24" s="155" customFormat="1" ht="18">
      <c r="A15" s="161">
        <v>9</v>
      </c>
      <c r="B15" s="179"/>
      <c r="C15" s="71" t="s">
        <v>132</v>
      </c>
      <c r="D15" s="72">
        <v>38807</v>
      </c>
      <c r="E15" s="240" t="s">
        <v>143</v>
      </c>
      <c r="F15" s="136">
        <v>115</v>
      </c>
      <c r="G15" s="94">
        <v>5</v>
      </c>
      <c r="H15" s="259">
        <v>11152</v>
      </c>
      <c r="I15" s="129">
        <v>2071</v>
      </c>
      <c r="J15" s="242">
        <v>18313</v>
      </c>
      <c r="K15" s="129">
        <v>3370</v>
      </c>
      <c r="L15" s="242">
        <v>24139</v>
      </c>
      <c r="M15" s="105">
        <v>4187</v>
      </c>
      <c r="N15" s="266">
        <f>+H15+J15+L15</f>
        <v>53604</v>
      </c>
      <c r="O15" s="184">
        <f>+I15+K15+M15</f>
        <v>9628</v>
      </c>
      <c r="P15" s="75">
        <f>IF(N15&lt;&gt;0,O15/F15,"")</f>
        <v>83.72173913043478</v>
      </c>
      <c r="Q15" s="127">
        <f>IF(N15&lt;&gt;0,N15/O15,"")</f>
        <v>5.5675114250103865</v>
      </c>
      <c r="R15" s="272">
        <v>91532</v>
      </c>
      <c r="S15" s="110">
        <f t="shared" si="0"/>
        <v>-0.4143687453568151</v>
      </c>
      <c r="T15" s="259">
        <v>2007969</v>
      </c>
      <c r="U15" s="129">
        <v>273605</v>
      </c>
      <c r="V15" s="209">
        <f t="shared" si="1"/>
        <v>7.33893386451271</v>
      </c>
      <c r="W15" s="153"/>
      <c r="X15" s="153"/>
    </row>
    <row r="16" spans="1:24" s="155" customFormat="1" ht="18.75" thickBot="1">
      <c r="A16" s="161">
        <v>10</v>
      </c>
      <c r="B16" s="181"/>
      <c r="C16" s="277" t="s">
        <v>246</v>
      </c>
      <c r="D16" s="123">
        <v>38835</v>
      </c>
      <c r="E16" s="278" t="s">
        <v>78</v>
      </c>
      <c r="F16" s="279">
        <v>15</v>
      </c>
      <c r="G16" s="124">
        <v>1</v>
      </c>
      <c r="H16" s="280">
        <v>8383</v>
      </c>
      <c r="I16" s="281">
        <v>901</v>
      </c>
      <c r="J16" s="282">
        <v>17173.5</v>
      </c>
      <c r="K16" s="281">
        <v>1836</v>
      </c>
      <c r="L16" s="282">
        <v>16226.5</v>
      </c>
      <c r="M16" s="283">
        <v>1684</v>
      </c>
      <c r="N16" s="284">
        <f>SUM(H16+J16+L16)</f>
        <v>41783</v>
      </c>
      <c r="O16" s="285">
        <f>SUM(I16+K16+M16)</f>
        <v>4421</v>
      </c>
      <c r="P16" s="125">
        <f>O16/F16</f>
        <v>294.73333333333335</v>
      </c>
      <c r="Q16" s="227">
        <f>N16/O16</f>
        <v>9.451029178918796</v>
      </c>
      <c r="R16" s="280"/>
      <c r="S16" s="120">
        <f t="shared" si="0"/>
      </c>
      <c r="T16" s="280">
        <v>41783</v>
      </c>
      <c r="U16" s="281">
        <v>4421</v>
      </c>
      <c r="V16" s="286">
        <f t="shared" si="1"/>
        <v>9.451029178918796</v>
      </c>
      <c r="W16" s="153"/>
      <c r="X16" s="153"/>
    </row>
    <row r="17" spans="1:28" s="60" customFormat="1" ht="19.5" thickBot="1">
      <c r="A17" s="137"/>
      <c r="B17" s="162"/>
      <c r="C17" s="163"/>
      <c r="D17" s="164"/>
      <c r="E17" s="164"/>
      <c r="F17" s="166"/>
      <c r="G17" s="166"/>
      <c r="H17" s="167"/>
      <c r="I17" s="168"/>
      <c r="J17" s="167"/>
      <c r="K17" s="168"/>
      <c r="L17" s="167"/>
      <c r="M17" s="168"/>
      <c r="N17" s="169"/>
      <c r="O17" s="170"/>
      <c r="P17" s="171"/>
      <c r="Q17" s="172"/>
      <c r="R17" s="167"/>
      <c r="S17" s="173"/>
      <c r="T17" s="167"/>
      <c r="U17" s="173"/>
      <c r="V17" s="173"/>
      <c r="W17" s="58"/>
      <c r="X17" s="59"/>
      <c r="Y17" s="58"/>
      <c r="Z17" s="58"/>
      <c r="AA17" s="58"/>
      <c r="AB17" s="58"/>
    </row>
    <row r="18" spans="1:28" s="91" customFormat="1" ht="15.75" thickBot="1">
      <c r="A18" s="140"/>
      <c r="B18" s="328" t="s">
        <v>115</v>
      </c>
      <c r="C18" s="329"/>
      <c r="D18" s="329"/>
      <c r="E18" s="329"/>
      <c r="F18" s="142">
        <f>SUM(F7:F17)</f>
        <v>675</v>
      </c>
      <c r="G18" s="141"/>
      <c r="H18" s="143"/>
      <c r="I18" s="144"/>
      <c r="J18" s="143"/>
      <c r="K18" s="144"/>
      <c r="L18" s="143"/>
      <c r="M18" s="144"/>
      <c r="N18" s="143">
        <f>SUM(N7:N17)</f>
        <v>1948132.5</v>
      </c>
      <c r="O18" s="144">
        <f>SUM(O7:O17)</f>
        <v>246615</v>
      </c>
      <c r="P18" s="145">
        <f>N18/F18</f>
        <v>2886.1222222222223</v>
      </c>
      <c r="Q18" s="146">
        <f>N18/O18</f>
        <v>7.899489082172617</v>
      </c>
      <c r="R18" s="143"/>
      <c r="S18" s="147"/>
      <c r="T18" s="160"/>
      <c r="U18" s="148"/>
      <c r="V18" s="149"/>
      <c r="X18" s="92"/>
      <c r="AB18" s="91" t="s">
        <v>116</v>
      </c>
    </row>
    <row r="19" spans="18:22" ht="18">
      <c r="R19" s="342" t="s">
        <v>117</v>
      </c>
      <c r="S19" s="342"/>
      <c r="T19" s="342"/>
      <c r="U19" s="342"/>
      <c r="V19" s="342"/>
    </row>
    <row r="20" spans="3:22" ht="12" customHeight="1">
      <c r="C20" s="220"/>
      <c r="D20" s="220"/>
      <c r="E20" s="220"/>
      <c r="F20" s="219"/>
      <c r="G20" s="219"/>
      <c r="R20" s="343"/>
      <c r="S20" s="343"/>
      <c r="T20" s="343"/>
      <c r="U20" s="343"/>
      <c r="V20" s="343"/>
    </row>
    <row r="21" spans="18:22" ht="18">
      <c r="R21" s="343"/>
      <c r="S21" s="343"/>
      <c r="T21" s="343"/>
      <c r="U21" s="343"/>
      <c r="V21" s="343"/>
    </row>
    <row r="22" spans="1:22" ht="18">
      <c r="A22" s="344" t="s">
        <v>118</v>
      </c>
      <c r="B22" s="345"/>
      <c r="C22" s="345"/>
      <c r="D22" s="345"/>
      <c r="E22" s="345"/>
      <c r="F22" s="345"/>
      <c r="G22" s="345"/>
      <c r="H22" s="345"/>
      <c r="I22" s="345"/>
      <c r="J22" s="345"/>
      <c r="K22" s="345"/>
      <c r="L22" s="345"/>
      <c r="M22" s="345"/>
      <c r="N22" s="345"/>
      <c r="O22" s="345"/>
      <c r="P22" s="345"/>
      <c r="Q22" s="345"/>
      <c r="R22" s="345"/>
      <c r="S22" s="345"/>
      <c r="T22" s="345"/>
      <c r="U22" s="345"/>
      <c r="V22" s="345"/>
    </row>
    <row r="23" spans="1:22" ht="18">
      <c r="A23" s="345"/>
      <c r="B23" s="345"/>
      <c r="C23" s="345"/>
      <c r="D23" s="345"/>
      <c r="E23" s="345"/>
      <c r="F23" s="345"/>
      <c r="G23" s="345"/>
      <c r="H23" s="345"/>
      <c r="I23" s="345"/>
      <c r="J23" s="345"/>
      <c r="K23" s="345"/>
      <c r="L23" s="345"/>
      <c r="M23" s="345"/>
      <c r="N23" s="345"/>
      <c r="O23" s="345"/>
      <c r="P23" s="345"/>
      <c r="Q23" s="345"/>
      <c r="R23" s="345"/>
      <c r="S23" s="345"/>
      <c r="T23" s="345"/>
      <c r="U23" s="345"/>
      <c r="V23" s="345"/>
    </row>
    <row r="24" spans="1:22" ht="18">
      <c r="A24" s="345"/>
      <c r="B24" s="345"/>
      <c r="C24" s="345"/>
      <c r="D24" s="345"/>
      <c r="E24" s="345"/>
      <c r="F24" s="345"/>
      <c r="G24" s="345"/>
      <c r="H24" s="345"/>
      <c r="I24" s="345"/>
      <c r="J24" s="345"/>
      <c r="K24" s="345"/>
      <c r="L24" s="345"/>
      <c r="M24" s="345"/>
      <c r="N24" s="345"/>
      <c r="O24" s="345"/>
      <c r="P24" s="345"/>
      <c r="Q24" s="345"/>
      <c r="R24" s="345"/>
      <c r="S24" s="345"/>
      <c r="T24" s="345"/>
      <c r="U24" s="345"/>
      <c r="V24" s="345"/>
    </row>
    <row r="25" spans="1:22" ht="4.5" customHeight="1">
      <c r="A25" s="345"/>
      <c r="B25" s="345"/>
      <c r="C25" s="345"/>
      <c r="D25" s="345"/>
      <c r="E25" s="345"/>
      <c r="F25" s="345"/>
      <c r="G25" s="345"/>
      <c r="H25" s="345"/>
      <c r="I25" s="345"/>
      <c r="J25" s="345"/>
      <c r="K25" s="345"/>
      <c r="L25" s="345"/>
      <c r="M25" s="345"/>
      <c r="N25" s="345"/>
      <c r="O25" s="345"/>
      <c r="P25" s="345"/>
      <c r="Q25" s="345"/>
      <c r="R25" s="345"/>
      <c r="S25" s="345"/>
      <c r="T25" s="345"/>
      <c r="U25" s="345"/>
      <c r="V25" s="345"/>
    </row>
  </sheetData>
  <mergeCells count="19">
    <mergeCell ref="A22:V25"/>
    <mergeCell ref="R5:S5"/>
    <mergeCell ref="T5:V5"/>
    <mergeCell ref="B18:E18"/>
    <mergeCell ref="R19:V21"/>
    <mergeCell ref="A4:V4"/>
    <mergeCell ref="C5:C6"/>
    <mergeCell ref="D5:D6"/>
    <mergeCell ref="E5:E6"/>
    <mergeCell ref="F5:F6"/>
    <mergeCell ref="G5:G6"/>
    <mergeCell ref="H5:I5"/>
    <mergeCell ref="J5:K5"/>
    <mergeCell ref="L5:M5"/>
    <mergeCell ref="N5:Q5"/>
    <mergeCell ref="A1:V1"/>
    <mergeCell ref="A2:V2"/>
    <mergeCell ref="H3:L3"/>
    <mergeCell ref="M3:V3"/>
  </mergeCells>
  <printOptions/>
  <pageMargins left="0.75" right="0.75" top="1" bottom="1" header="0.5" footer="0.5"/>
  <pageSetup orientation="landscape" paperSize="9" scale="80" r:id="rId2"/>
  <ignoredErrors>
    <ignoredError sqref="N8:T15" formula="1"/>
  </ignoredErrors>
  <drawing r:id="rId1"/>
</worksheet>
</file>

<file path=xl/worksheets/sheet40.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H39" sqref="H39"/>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
      <c r="A2" s="369" t="s">
        <v>25</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24</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G20" sqref="G20"/>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
      <c r="A2" s="369" t="s">
        <v>25</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24</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A3" sqref="A3:V3"/>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
      <c r="A2" s="369" t="s">
        <v>25</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24</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K35" sqref="K35"/>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
      <c r="A2" s="369" t="s">
        <v>25</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24</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C19" sqref="C19"/>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
      <c r="A2" s="369" t="s">
        <v>25</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24</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t="e">
        <f>+#REF!</f>
        <v>#REF!</v>
      </c>
      <c r="Q37" s="17" t="e">
        <f t="shared" si="1"/>
        <v>#REF!</v>
      </c>
      <c r="R37" s="17" t="e">
        <f t="shared" si="2"/>
        <v>#DIV/0!</v>
      </c>
      <c r="S37" s="17" t="e">
        <f t="shared" si="2"/>
        <v>#REF!</v>
      </c>
      <c r="T37" s="17"/>
      <c r="U37" s="17"/>
      <c r="V37" s="17"/>
    </row>
  </sheetData>
  <mergeCells count="21">
    <mergeCell ref="V4:V6"/>
    <mergeCell ref="H5:I5"/>
    <mergeCell ref="J5:K5"/>
    <mergeCell ref="L5:M5"/>
    <mergeCell ref="N5:O5"/>
    <mergeCell ref="P5:Q5"/>
    <mergeCell ref="H4:O4"/>
    <mergeCell ref="A1:V1"/>
    <mergeCell ref="A2:V2"/>
    <mergeCell ref="A3:V3"/>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D97"/>
  <sheetViews>
    <sheetView tabSelected="1" zoomScale="75" zoomScaleNormal="75" workbookViewId="0" topLeftCell="D4">
      <selection activeCell="W7" sqref="W7"/>
    </sheetView>
  </sheetViews>
  <sheetFormatPr defaultColWidth="9.140625" defaultRowHeight="12.75"/>
  <cols>
    <col min="1" max="1" width="3.57421875" style="122" bestFit="1" customWidth="1"/>
    <col min="2" max="2" width="1.7109375" style="61" customWidth="1"/>
    <col min="3" max="3" width="38.7109375" style="57" customWidth="1"/>
    <col min="4" max="4" width="9.8515625" style="57" bestFit="1" customWidth="1"/>
    <col min="5" max="5" width="13.8515625" style="57" bestFit="1" customWidth="1"/>
    <col min="6" max="6" width="18.140625" style="62" bestFit="1" customWidth="1"/>
    <col min="7" max="7" width="5.57421875" style="63" bestFit="1" customWidth="1"/>
    <col min="8" max="8" width="7.28125" style="63" bestFit="1" customWidth="1"/>
    <col min="9" max="9" width="8.421875" style="57" customWidth="1"/>
    <col min="10" max="10" width="13.28125" style="57" bestFit="1" customWidth="1"/>
    <col min="11" max="11" width="8.421875" style="57" bestFit="1" customWidth="1"/>
    <col min="12" max="12" width="13.28125" style="57" bestFit="1" customWidth="1"/>
    <col min="13" max="13" width="8.421875" style="57" bestFit="1" customWidth="1"/>
    <col min="14" max="14" width="13.28125" style="57" bestFit="1" customWidth="1"/>
    <col min="15" max="15" width="8.421875" style="57" bestFit="1" customWidth="1"/>
    <col min="16" max="16" width="14.421875" style="90" bestFit="1" customWidth="1"/>
    <col min="17" max="17" width="9.57421875" style="57" bestFit="1" customWidth="1"/>
    <col min="18" max="18" width="8.140625" style="57" bestFit="1" customWidth="1"/>
    <col min="19" max="19" width="7.28125" style="57" bestFit="1" customWidth="1"/>
    <col min="20" max="20" width="13.28125" style="89" bestFit="1" customWidth="1"/>
    <col min="21" max="21" width="8.421875" style="57" bestFit="1" customWidth="1"/>
    <col min="22" max="22" width="16.7109375" style="89" bestFit="1" customWidth="1"/>
    <col min="23" max="23" width="11.57421875" style="57" bestFit="1" customWidth="1"/>
    <col min="24" max="24" width="7.28125" style="57" bestFit="1" customWidth="1"/>
    <col min="25" max="25" width="38.57421875" style="57" customWidth="1"/>
    <col min="26" max="26" width="38.57421875" style="53" customWidth="1"/>
    <col min="27" max="29" width="38.57421875" style="57" customWidth="1"/>
    <col min="30" max="30" width="2.7109375" style="57" bestFit="1" customWidth="1"/>
    <col min="31" max="16384" width="38.57421875" style="57" customWidth="1"/>
  </cols>
  <sheetData>
    <row r="1" spans="1:24" ht="38.25">
      <c r="A1" s="331" t="s">
        <v>240</v>
      </c>
      <c r="B1" s="332"/>
      <c r="C1" s="332"/>
      <c r="D1" s="332"/>
      <c r="E1" s="332"/>
      <c r="F1" s="332"/>
      <c r="G1" s="332"/>
      <c r="H1" s="332"/>
      <c r="I1" s="332"/>
      <c r="J1" s="332"/>
      <c r="K1" s="332"/>
      <c r="L1" s="332"/>
      <c r="M1" s="332"/>
      <c r="N1" s="332"/>
      <c r="O1" s="332"/>
      <c r="P1" s="332"/>
      <c r="Q1" s="332"/>
      <c r="R1" s="332"/>
      <c r="S1" s="332"/>
      <c r="T1" s="332"/>
      <c r="U1" s="332"/>
      <c r="V1" s="332"/>
      <c r="W1" s="332"/>
      <c r="X1" s="333"/>
    </row>
    <row r="2" spans="1:24" ht="56.25" customHeight="1">
      <c r="A2" s="323" t="s">
        <v>235</v>
      </c>
      <c r="B2" s="324"/>
      <c r="C2" s="324"/>
      <c r="D2" s="324"/>
      <c r="E2" s="324"/>
      <c r="F2" s="324"/>
      <c r="G2" s="324"/>
      <c r="H2" s="324"/>
      <c r="I2" s="324"/>
      <c r="J2" s="324"/>
      <c r="K2" s="324"/>
      <c r="L2" s="324"/>
      <c r="M2" s="324"/>
      <c r="N2" s="324"/>
      <c r="O2" s="324"/>
      <c r="P2" s="324"/>
      <c r="Q2" s="324"/>
      <c r="R2" s="324"/>
      <c r="S2" s="324"/>
      <c r="T2" s="324"/>
      <c r="U2" s="324"/>
      <c r="V2" s="324"/>
      <c r="W2" s="324"/>
      <c r="X2" s="322"/>
    </row>
    <row r="3" spans="1:24" ht="42.75" customHeight="1">
      <c r="A3" s="217"/>
      <c r="B3" s="218"/>
      <c r="C3" s="239" t="s">
        <v>239</v>
      </c>
      <c r="D3" s="218"/>
      <c r="E3" s="218"/>
      <c r="F3" s="218"/>
      <c r="G3" s="218"/>
      <c r="H3" s="218"/>
      <c r="I3" s="218"/>
      <c r="J3" s="218"/>
      <c r="K3" s="218"/>
      <c r="L3" s="218"/>
      <c r="M3" s="218"/>
      <c r="N3" s="218"/>
      <c r="O3" s="334" t="s">
        <v>259</v>
      </c>
      <c r="P3" s="334"/>
      <c r="Q3" s="334"/>
      <c r="R3" s="334"/>
      <c r="S3" s="334"/>
      <c r="T3" s="334"/>
      <c r="U3" s="334"/>
      <c r="V3" s="334"/>
      <c r="W3" s="334"/>
      <c r="X3" s="335"/>
    </row>
    <row r="4" spans="1:24" s="54" customFormat="1" ht="27.75" thickBot="1">
      <c r="A4" s="336" t="s">
        <v>202</v>
      </c>
      <c r="B4" s="337"/>
      <c r="C4" s="337"/>
      <c r="D4" s="337"/>
      <c r="E4" s="337"/>
      <c r="F4" s="337"/>
      <c r="G4" s="337"/>
      <c r="H4" s="337"/>
      <c r="I4" s="337"/>
      <c r="J4" s="337"/>
      <c r="K4" s="337"/>
      <c r="L4" s="337"/>
      <c r="M4" s="337"/>
      <c r="N4" s="337"/>
      <c r="O4" s="337"/>
      <c r="P4" s="337"/>
      <c r="Q4" s="338"/>
      <c r="R4" s="338"/>
      <c r="S4" s="338"/>
      <c r="T4" s="338"/>
      <c r="U4" s="338"/>
      <c r="V4" s="338"/>
      <c r="W4" s="338"/>
      <c r="X4" s="339"/>
    </row>
    <row r="5" spans="1:26" s="55" customFormat="1" ht="18">
      <c r="A5" s="215"/>
      <c r="B5" s="216"/>
      <c r="C5" s="347" t="s">
        <v>0</v>
      </c>
      <c r="D5" s="340" t="s">
        <v>96</v>
      </c>
      <c r="E5" s="340" t="s">
        <v>2</v>
      </c>
      <c r="F5" s="340" t="s">
        <v>188</v>
      </c>
      <c r="G5" s="326" t="s">
        <v>97</v>
      </c>
      <c r="H5" s="326" t="s">
        <v>98</v>
      </c>
      <c r="I5" s="326" t="s">
        <v>99</v>
      </c>
      <c r="J5" s="330" t="s">
        <v>4</v>
      </c>
      <c r="K5" s="330"/>
      <c r="L5" s="330" t="s">
        <v>7</v>
      </c>
      <c r="M5" s="330"/>
      <c r="N5" s="330" t="s">
        <v>8</v>
      </c>
      <c r="O5" s="330"/>
      <c r="P5" s="330" t="s">
        <v>100</v>
      </c>
      <c r="Q5" s="330"/>
      <c r="R5" s="330"/>
      <c r="S5" s="330"/>
      <c r="T5" s="330" t="s">
        <v>101</v>
      </c>
      <c r="U5" s="330"/>
      <c r="V5" s="330" t="s">
        <v>102</v>
      </c>
      <c r="W5" s="330"/>
      <c r="X5" s="346"/>
      <c r="Z5" s="56"/>
    </row>
    <row r="6" spans="1:26" s="55" customFormat="1" ht="27.75" thickBot="1">
      <c r="A6" s="138"/>
      <c r="B6" s="64"/>
      <c r="C6" s="348"/>
      <c r="D6" s="349"/>
      <c r="E6" s="341"/>
      <c r="F6" s="341"/>
      <c r="G6" s="327"/>
      <c r="H6" s="327"/>
      <c r="I6" s="327"/>
      <c r="J6" s="67" t="s">
        <v>82</v>
      </c>
      <c r="K6" s="67" t="s">
        <v>16</v>
      </c>
      <c r="L6" s="67" t="s">
        <v>82</v>
      </c>
      <c r="M6" s="67" t="s">
        <v>16</v>
      </c>
      <c r="N6" s="67" t="s">
        <v>82</v>
      </c>
      <c r="O6" s="67" t="s">
        <v>16</v>
      </c>
      <c r="P6" s="65" t="s">
        <v>82</v>
      </c>
      <c r="Q6" s="65" t="s">
        <v>16</v>
      </c>
      <c r="R6" s="66" t="s">
        <v>103</v>
      </c>
      <c r="S6" s="66" t="s">
        <v>104</v>
      </c>
      <c r="T6" s="139" t="s">
        <v>82</v>
      </c>
      <c r="U6" s="68" t="s">
        <v>11</v>
      </c>
      <c r="V6" s="139" t="s">
        <v>82</v>
      </c>
      <c r="W6" s="67" t="s">
        <v>16</v>
      </c>
      <c r="X6" s="69" t="s">
        <v>104</v>
      </c>
      <c r="Z6" s="56"/>
    </row>
    <row r="7" spans="1:26" s="55" customFormat="1" ht="20.25" customHeight="1">
      <c r="A7" s="161">
        <v>1</v>
      </c>
      <c r="B7" s="70"/>
      <c r="C7" s="87" t="s">
        <v>261</v>
      </c>
      <c r="D7" s="305">
        <v>38842</v>
      </c>
      <c r="E7" s="87" t="s">
        <v>80</v>
      </c>
      <c r="F7" s="87" t="s">
        <v>172</v>
      </c>
      <c r="G7" s="306">
        <v>173</v>
      </c>
      <c r="H7" s="306">
        <v>178</v>
      </c>
      <c r="I7" s="93">
        <v>1</v>
      </c>
      <c r="J7" s="97">
        <v>280933</v>
      </c>
      <c r="K7" s="104">
        <v>34264</v>
      </c>
      <c r="L7" s="97">
        <v>443418</v>
      </c>
      <c r="M7" s="104">
        <v>53093</v>
      </c>
      <c r="N7" s="97">
        <v>386984</v>
      </c>
      <c r="O7" s="104">
        <v>48062</v>
      </c>
      <c r="P7" s="265">
        <f>SUM(J7+L7+N7)</f>
        <v>1111335</v>
      </c>
      <c r="Q7" s="254">
        <f>SUM(K7+M7+O7)</f>
        <v>135419</v>
      </c>
      <c r="R7" s="206">
        <f>Q7/H7</f>
        <v>760.7808988764045</v>
      </c>
      <c r="S7" s="225">
        <f>P7/Q7</f>
        <v>8.206640131739269</v>
      </c>
      <c r="T7" s="308"/>
      <c r="U7" s="109">
        <f aca="true" t="shared" si="0" ref="U7:U64">IF(T7&lt;&gt;0,-(T7-P7)/T7,"")</f>
      </c>
      <c r="V7" s="307">
        <v>1111335</v>
      </c>
      <c r="W7" s="88">
        <v>135419</v>
      </c>
      <c r="X7" s="208">
        <f aca="true" t="shared" si="1" ref="X7:X17">V7/W7</f>
        <v>8.206640131739269</v>
      </c>
      <c r="Z7" s="56"/>
    </row>
    <row r="8" spans="1:26" s="151" customFormat="1" ht="20.25" customHeight="1">
      <c r="A8" s="161">
        <v>2</v>
      </c>
      <c r="B8" s="178"/>
      <c r="C8" s="200" t="s">
        <v>241</v>
      </c>
      <c r="D8" s="292">
        <v>38821</v>
      </c>
      <c r="E8" s="293" t="s">
        <v>78</v>
      </c>
      <c r="F8" s="293" t="s">
        <v>148</v>
      </c>
      <c r="G8" s="296">
        <v>118</v>
      </c>
      <c r="H8" s="296">
        <v>115</v>
      </c>
      <c r="I8" s="131">
        <v>4</v>
      </c>
      <c r="J8" s="310">
        <v>76318</v>
      </c>
      <c r="K8" s="311">
        <v>12413</v>
      </c>
      <c r="L8" s="310">
        <v>172239.5</v>
      </c>
      <c r="M8" s="311">
        <v>24337</v>
      </c>
      <c r="N8" s="310">
        <v>175604</v>
      </c>
      <c r="O8" s="311">
        <v>24519</v>
      </c>
      <c r="P8" s="266">
        <f>+J8+L8+N8</f>
        <v>424161.5</v>
      </c>
      <c r="Q8" s="184">
        <f>+K8+M8+O8</f>
        <v>61269</v>
      </c>
      <c r="R8" s="75">
        <f>IF(P8&lt;&gt;0,Q8/H8,"")</f>
        <v>532.7739130434783</v>
      </c>
      <c r="S8" s="127">
        <f>IF(P8&lt;&gt;0,P8/Q8,"")</f>
        <v>6.922938190602099</v>
      </c>
      <c r="T8" s="297">
        <v>686120.5</v>
      </c>
      <c r="U8" s="110">
        <f t="shared" si="0"/>
        <v>-0.38179736649757584</v>
      </c>
      <c r="V8" s="297">
        <v>4893516</v>
      </c>
      <c r="W8" s="298">
        <v>697121</v>
      </c>
      <c r="X8" s="209">
        <f t="shared" si="1"/>
        <v>7.0196077868834825</v>
      </c>
      <c r="Z8" s="152"/>
    </row>
    <row r="9" spans="1:26" s="151" customFormat="1" ht="20.25" customHeight="1">
      <c r="A9" s="161">
        <v>3</v>
      </c>
      <c r="B9" s="178"/>
      <c r="C9" s="71" t="s">
        <v>242</v>
      </c>
      <c r="D9" s="197">
        <v>38835</v>
      </c>
      <c r="E9" s="71" t="s">
        <v>80</v>
      </c>
      <c r="F9" s="71" t="s">
        <v>169</v>
      </c>
      <c r="G9" s="136">
        <v>71</v>
      </c>
      <c r="H9" s="136">
        <v>73</v>
      </c>
      <c r="I9" s="94">
        <v>2</v>
      </c>
      <c r="J9" s="101">
        <v>37321</v>
      </c>
      <c r="K9" s="126">
        <v>4068</v>
      </c>
      <c r="L9" s="101">
        <v>70384</v>
      </c>
      <c r="M9" s="126">
        <v>7768</v>
      </c>
      <c r="N9" s="101">
        <v>57683</v>
      </c>
      <c r="O9" s="126">
        <v>6477</v>
      </c>
      <c r="P9" s="267">
        <f>SUM(J9+L9+N9)</f>
        <v>165388</v>
      </c>
      <c r="Q9" s="255">
        <f>SUM(K9+M9+O9)</f>
        <v>18313</v>
      </c>
      <c r="R9" s="86">
        <f>Q9/H9</f>
        <v>250.86301369863014</v>
      </c>
      <c r="S9" s="226">
        <f>P9/Q9</f>
        <v>9.031180036039972</v>
      </c>
      <c r="T9" s="301">
        <v>372754</v>
      </c>
      <c r="U9" s="110">
        <f t="shared" si="0"/>
        <v>-0.556307913530103</v>
      </c>
      <c r="V9" s="295">
        <v>678904</v>
      </c>
      <c r="W9" s="74">
        <v>77519</v>
      </c>
      <c r="X9" s="210">
        <f t="shared" si="1"/>
        <v>8.757904513732118</v>
      </c>
      <c r="Z9" s="152"/>
    </row>
    <row r="10" spans="1:27" s="154" customFormat="1" ht="20.25" customHeight="1">
      <c r="A10" s="161">
        <v>4</v>
      </c>
      <c r="B10" s="179"/>
      <c r="C10" s="200" t="s">
        <v>243</v>
      </c>
      <c r="D10" s="292">
        <v>38835</v>
      </c>
      <c r="E10" s="293" t="s">
        <v>78</v>
      </c>
      <c r="F10" s="293" t="s">
        <v>158</v>
      </c>
      <c r="G10" s="296">
        <v>65</v>
      </c>
      <c r="H10" s="296">
        <v>65</v>
      </c>
      <c r="I10" s="131">
        <v>2</v>
      </c>
      <c r="J10" s="310">
        <v>30808.5</v>
      </c>
      <c r="K10" s="311">
        <v>4248</v>
      </c>
      <c r="L10" s="310">
        <v>61066.5</v>
      </c>
      <c r="M10" s="311">
        <v>7846</v>
      </c>
      <c r="N10" s="310">
        <v>65023</v>
      </c>
      <c r="O10" s="311">
        <v>8467</v>
      </c>
      <c r="P10" s="266">
        <f aca="true" t="shared" si="2" ref="P10:Q12">+J10+L10+N10</f>
        <v>156898</v>
      </c>
      <c r="Q10" s="184">
        <f t="shared" si="2"/>
        <v>20561</v>
      </c>
      <c r="R10" s="75">
        <f>IF(P10&lt;&gt;0,Q10/H10,"")</f>
        <v>316.32307692307694</v>
      </c>
      <c r="S10" s="127">
        <f>IF(P10&lt;&gt;0,P10/Q10,"")</f>
        <v>7.630854530421672</v>
      </c>
      <c r="T10" s="297">
        <v>248945</v>
      </c>
      <c r="U10" s="110">
        <f t="shared" si="0"/>
        <v>-0.3697483379863022</v>
      </c>
      <c r="V10" s="297">
        <v>538476</v>
      </c>
      <c r="W10" s="298">
        <v>72518</v>
      </c>
      <c r="X10" s="209">
        <f t="shared" si="1"/>
        <v>7.425411621942138</v>
      </c>
      <c r="Y10" s="153"/>
      <c r="AA10" s="153"/>
    </row>
    <row r="11" spans="1:26" s="155" customFormat="1" ht="20.25" customHeight="1">
      <c r="A11" s="161">
        <v>5</v>
      </c>
      <c r="B11" s="179"/>
      <c r="C11" s="71" t="s">
        <v>203</v>
      </c>
      <c r="D11" s="197">
        <v>38828</v>
      </c>
      <c r="E11" s="197" t="s">
        <v>76</v>
      </c>
      <c r="F11" s="71" t="s">
        <v>171</v>
      </c>
      <c r="G11" s="136">
        <v>54</v>
      </c>
      <c r="H11" s="136">
        <v>54</v>
      </c>
      <c r="I11" s="94">
        <v>3</v>
      </c>
      <c r="J11" s="101">
        <v>13134</v>
      </c>
      <c r="K11" s="126">
        <v>1510</v>
      </c>
      <c r="L11" s="101">
        <v>25001</v>
      </c>
      <c r="M11" s="126">
        <v>2868</v>
      </c>
      <c r="N11" s="101">
        <v>24572</v>
      </c>
      <c r="O11" s="126">
        <v>2967</v>
      </c>
      <c r="P11" s="266">
        <f t="shared" si="2"/>
        <v>62707</v>
      </c>
      <c r="Q11" s="184">
        <f t="shared" si="2"/>
        <v>7345</v>
      </c>
      <c r="R11" s="75">
        <f>IF(P11&lt;&gt;0,Q11/H11,"")</f>
        <v>136.0185185185185</v>
      </c>
      <c r="S11" s="127">
        <f>IF(P11&lt;&gt;0,P11/Q11,"")</f>
        <v>8.537372362151123</v>
      </c>
      <c r="T11" s="295">
        <v>165067</v>
      </c>
      <c r="U11" s="110">
        <f t="shared" si="0"/>
        <v>-0.62011183337675</v>
      </c>
      <c r="V11" s="295">
        <v>671546.5</v>
      </c>
      <c r="W11" s="74">
        <v>82406</v>
      </c>
      <c r="X11" s="209">
        <f t="shared" si="1"/>
        <v>8.149242773584447</v>
      </c>
      <c r="Y11" s="153"/>
      <c r="Z11" s="153"/>
    </row>
    <row r="12" spans="1:26" s="155" customFormat="1" ht="20.25" customHeight="1">
      <c r="A12" s="161">
        <v>6</v>
      </c>
      <c r="B12" s="179"/>
      <c r="C12" s="200" t="s">
        <v>204</v>
      </c>
      <c r="D12" s="292">
        <v>38828</v>
      </c>
      <c r="E12" s="293" t="s">
        <v>78</v>
      </c>
      <c r="F12" s="293" t="s">
        <v>205</v>
      </c>
      <c r="G12" s="296">
        <v>43</v>
      </c>
      <c r="H12" s="296">
        <v>43</v>
      </c>
      <c r="I12" s="131">
        <v>3</v>
      </c>
      <c r="J12" s="310">
        <v>11545</v>
      </c>
      <c r="K12" s="311">
        <v>1694</v>
      </c>
      <c r="L12" s="310">
        <v>23677</v>
      </c>
      <c r="M12" s="311">
        <v>3363</v>
      </c>
      <c r="N12" s="310">
        <v>26622.5</v>
      </c>
      <c r="O12" s="311">
        <v>3760</v>
      </c>
      <c r="P12" s="266">
        <f t="shared" si="2"/>
        <v>61844.5</v>
      </c>
      <c r="Q12" s="184">
        <f t="shared" si="2"/>
        <v>8817</v>
      </c>
      <c r="R12" s="75">
        <f>IF(P12&lt;&gt;0,Q12/H12,"")</f>
        <v>205.04651162790697</v>
      </c>
      <c r="S12" s="127">
        <f>IF(P12&lt;&gt;0,P12/Q12,"")</f>
        <v>7.0142338663944654</v>
      </c>
      <c r="T12" s="297">
        <v>100754</v>
      </c>
      <c r="U12" s="110">
        <f t="shared" si="0"/>
        <v>-0.3861831788316097</v>
      </c>
      <c r="V12" s="297">
        <v>435408</v>
      </c>
      <c r="W12" s="298">
        <v>61525</v>
      </c>
      <c r="X12" s="209">
        <f t="shared" si="1"/>
        <v>7.076928078017066</v>
      </c>
      <c r="Y12" s="191"/>
      <c r="Z12" s="191"/>
    </row>
    <row r="13" spans="1:26" s="155" customFormat="1" ht="20.25" customHeight="1">
      <c r="A13" s="161">
        <v>7</v>
      </c>
      <c r="B13" s="179"/>
      <c r="C13" s="71" t="s">
        <v>244</v>
      </c>
      <c r="D13" s="197">
        <v>38815</v>
      </c>
      <c r="E13" s="71" t="s">
        <v>80</v>
      </c>
      <c r="F13" s="71" t="s">
        <v>152</v>
      </c>
      <c r="G13" s="136">
        <v>94</v>
      </c>
      <c r="H13" s="136">
        <v>88</v>
      </c>
      <c r="I13" s="94">
        <v>4</v>
      </c>
      <c r="J13" s="101">
        <v>8958</v>
      </c>
      <c r="K13" s="126">
        <v>1720</v>
      </c>
      <c r="L13" s="101">
        <v>21136</v>
      </c>
      <c r="M13" s="126">
        <v>3311</v>
      </c>
      <c r="N13" s="101">
        <v>22583</v>
      </c>
      <c r="O13" s="126">
        <v>3503</v>
      </c>
      <c r="P13" s="267">
        <f>SUM(J13+L13+N13)</f>
        <v>52677</v>
      </c>
      <c r="Q13" s="255">
        <f>SUM(K13+M13+O13)</f>
        <v>8534</v>
      </c>
      <c r="R13" s="86">
        <f>Q13/H13</f>
        <v>96.97727272727273</v>
      </c>
      <c r="S13" s="226">
        <f>P13/Q13</f>
        <v>6.172603702835716</v>
      </c>
      <c r="T13" s="301">
        <v>108339</v>
      </c>
      <c r="U13" s="110">
        <f t="shared" si="0"/>
        <v>-0.5137762024755628</v>
      </c>
      <c r="V13" s="295">
        <v>880577</v>
      </c>
      <c r="W13" s="74">
        <v>123983</v>
      </c>
      <c r="X13" s="210">
        <f t="shared" si="1"/>
        <v>7.102401135639563</v>
      </c>
      <c r="Y13" s="153"/>
      <c r="Z13" s="153"/>
    </row>
    <row r="14" spans="1:26" s="155" customFormat="1" ht="20.25" customHeight="1">
      <c r="A14" s="161">
        <v>8</v>
      </c>
      <c r="B14" s="179"/>
      <c r="C14" s="71" t="s">
        <v>245</v>
      </c>
      <c r="D14" s="197">
        <v>38835</v>
      </c>
      <c r="E14" s="197" t="s">
        <v>76</v>
      </c>
      <c r="F14" s="71" t="s">
        <v>262</v>
      </c>
      <c r="G14" s="136">
        <v>40</v>
      </c>
      <c r="H14" s="136">
        <v>40</v>
      </c>
      <c r="I14" s="94">
        <v>2</v>
      </c>
      <c r="J14" s="101">
        <v>8072</v>
      </c>
      <c r="K14" s="126">
        <v>918</v>
      </c>
      <c r="L14" s="101">
        <v>14966.5</v>
      </c>
      <c r="M14" s="126">
        <v>1679</v>
      </c>
      <c r="N14" s="101">
        <v>13776.5</v>
      </c>
      <c r="O14" s="126">
        <v>1576</v>
      </c>
      <c r="P14" s="266">
        <f>+J14+L14+N14</f>
        <v>36815</v>
      </c>
      <c r="Q14" s="184">
        <f>+K14+M14+O14</f>
        <v>4173</v>
      </c>
      <c r="R14" s="75">
        <f>IF(P14&lt;&gt;0,Q14/H14,"")</f>
        <v>104.325</v>
      </c>
      <c r="S14" s="127">
        <f>IF(P14&lt;&gt;0,P14/Q14,"")</f>
        <v>8.822190270788402</v>
      </c>
      <c r="T14" s="295">
        <v>100780</v>
      </c>
      <c r="U14" s="110">
        <f t="shared" si="0"/>
        <v>-0.6346993451081564</v>
      </c>
      <c r="V14" s="295">
        <v>177342</v>
      </c>
      <c r="W14" s="74">
        <v>20415</v>
      </c>
      <c r="X14" s="209">
        <f t="shared" si="1"/>
        <v>8.686847905951506</v>
      </c>
      <c r="Y14" s="153"/>
      <c r="Z14" s="153"/>
    </row>
    <row r="15" spans="1:26" s="155" customFormat="1" ht="20.25" customHeight="1">
      <c r="A15" s="161">
        <v>9</v>
      </c>
      <c r="B15" s="179"/>
      <c r="C15" s="71" t="s">
        <v>263</v>
      </c>
      <c r="D15" s="197">
        <v>38716</v>
      </c>
      <c r="E15" s="197" t="s">
        <v>76</v>
      </c>
      <c r="F15" s="71" t="s">
        <v>183</v>
      </c>
      <c r="G15" s="136">
        <v>14</v>
      </c>
      <c r="H15" s="136">
        <v>14</v>
      </c>
      <c r="I15" s="94">
        <v>1</v>
      </c>
      <c r="J15" s="101">
        <v>5228</v>
      </c>
      <c r="K15" s="126">
        <v>521</v>
      </c>
      <c r="L15" s="101">
        <v>11741</v>
      </c>
      <c r="M15" s="126">
        <v>1146</v>
      </c>
      <c r="N15" s="101">
        <v>9421</v>
      </c>
      <c r="O15" s="126">
        <v>962</v>
      </c>
      <c r="P15" s="266">
        <f>+J15+L15+N15</f>
        <v>26390</v>
      </c>
      <c r="Q15" s="184">
        <f>+K15+M15+O15</f>
        <v>2629</v>
      </c>
      <c r="R15" s="75">
        <f>IF(P15&lt;&gt;0,Q15/H15,"")</f>
        <v>187.78571428571428</v>
      </c>
      <c r="S15" s="127">
        <f>IF(P15&lt;&gt;0,P15/Q15,"")</f>
        <v>10.038037276531</v>
      </c>
      <c r="T15" s="295"/>
      <c r="U15" s="110">
        <f t="shared" si="0"/>
      </c>
      <c r="V15" s="295">
        <v>26390</v>
      </c>
      <c r="W15" s="74">
        <v>2629</v>
      </c>
      <c r="X15" s="209">
        <f t="shared" si="1"/>
        <v>10.038037276531</v>
      </c>
      <c r="Y15" s="153"/>
      <c r="Z15" s="153"/>
    </row>
    <row r="16" spans="1:26" s="155" customFormat="1" ht="20.25" customHeight="1">
      <c r="A16" s="161">
        <v>10</v>
      </c>
      <c r="B16" s="179"/>
      <c r="C16" s="200" t="s">
        <v>264</v>
      </c>
      <c r="D16" s="292">
        <v>38842</v>
      </c>
      <c r="E16" s="293" t="s">
        <v>78</v>
      </c>
      <c r="F16" s="293" t="s">
        <v>265</v>
      </c>
      <c r="G16" s="296">
        <v>40</v>
      </c>
      <c r="H16" s="296">
        <v>40</v>
      </c>
      <c r="I16" s="131">
        <v>1</v>
      </c>
      <c r="J16" s="310">
        <v>4896</v>
      </c>
      <c r="K16" s="311">
        <v>842</v>
      </c>
      <c r="L16" s="310">
        <v>8986</v>
      </c>
      <c r="M16" s="311">
        <v>1406</v>
      </c>
      <c r="N16" s="310">
        <v>11698</v>
      </c>
      <c r="O16" s="311">
        <v>1834</v>
      </c>
      <c r="P16" s="267">
        <f>SUM(J16+L16+N16)</f>
        <v>25580</v>
      </c>
      <c r="Q16" s="255">
        <f>SUM(K16+M16+O16)</f>
        <v>4082</v>
      </c>
      <c r="R16" s="86">
        <f>Q16/H16</f>
        <v>102.05</v>
      </c>
      <c r="S16" s="226">
        <f>P16/Q16</f>
        <v>6.266536011758942</v>
      </c>
      <c r="T16" s="297"/>
      <c r="U16" s="110">
        <f t="shared" si="0"/>
      </c>
      <c r="V16" s="303">
        <v>25580</v>
      </c>
      <c r="W16" s="304">
        <v>4082</v>
      </c>
      <c r="X16" s="210">
        <f t="shared" si="1"/>
        <v>6.266536011758942</v>
      </c>
      <c r="Y16" s="153"/>
      <c r="Z16" s="153"/>
    </row>
    <row r="17" spans="1:26" s="155" customFormat="1" ht="20.25" customHeight="1">
      <c r="A17" s="161">
        <v>11</v>
      </c>
      <c r="B17" s="179"/>
      <c r="C17" s="200" t="s">
        <v>246</v>
      </c>
      <c r="D17" s="292">
        <v>38835</v>
      </c>
      <c r="E17" s="293" t="s">
        <v>78</v>
      </c>
      <c r="F17" s="293" t="s">
        <v>148</v>
      </c>
      <c r="G17" s="296">
        <v>15</v>
      </c>
      <c r="H17" s="296">
        <v>15</v>
      </c>
      <c r="I17" s="131">
        <v>2</v>
      </c>
      <c r="J17" s="310">
        <v>4597</v>
      </c>
      <c r="K17" s="311">
        <v>504</v>
      </c>
      <c r="L17" s="310">
        <v>10209.5</v>
      </c>
      <c r="M17" s="311">
        <v>1097</v>
      </c>
      <c r="N17" s="310">
        <v>8247</v>
      </c>
      <c r="O17" s="311">
        <v>912</v>
      </c>
      <c r="P17" s="266">
        <f aca="true" t="shared" si="3" ref="P17:Q21">+J17+L17+N17</f>
        <v>23053.5</v>
      </c>
      <c r="Q17" s="184">
        <f t="shared" si="3"/>
        <v>2513</v>
      </c>
      <c r="R17" s="75">
        <f>IF(P17&lt;&gt;0,Q17/H17,"")</f>
        <v>167.53333333333333</v>
      </c>
      <c r="S17" s="127">
        <f>IF(P17&lt;&gt;0,P17/Q17,"")</f>
        <v>9.173696776760844</v>
      </c>
      <c r="T17" s="297">
        <v>41783</v>
      </c>
      <c r="U17" s="110">
        <f t="shared" si="0"/>
        <v>-0.4482564679415073</v>
      </c>
      <c r="V17" s="297">
        <v>83899</v>
      </c>
      <c r="W17" s="298">
        <v>9275</v>
      </c>
      <c r="X17" s="209">
        <f t="shared" si="1"/>
        <v>9.045714285714286</v>
      </c>
      <c r="Y17" s="153"/>
      <c r="Z17" s="153"/>
    </row>
    <row r="18" spans="1:26" s="155" customFormat="1" ht="20.25" customHeight="1">
      <c r="A18" s="161">
        <v>12</v>
      </c>
      <c r="B18" s="179"/>
      <c r="C18" s="71" t="s">
        <v>145</v>
      </c>
      <c r="D18" s="197">
        <v>38814</v>
      </c>
      <c r="E18" s="197" t="s">
        <v>76</v>
      </c>
      <c r="F18" s="71" t="s">
        <v>146</v>
      </c>
      <c r="G18" s="136">
        <v>124</v>
      </c>
      <c r="H18" s="136">
        <v>47</v>
      </c>
      <c r="I18" s="94">
        <v>5</v>
      </c>
      <c r="J18" s="101">
        <v>4476</v>
      </c>
      <c r="K18" s="126">
        <v>980</v>
      </c>
      <c r="L18" s="101">
        <v>8528.5</v>
      </c>
      <c r="M18" s="126">
        <v>1867</v>
      </c>
      <c r="N18" s="101">
        <v>9548</v>
      </c>
      <c r="O18" s="126">
        <v>2048</v>
      </c>
      <c r="P18" s="266">
        <f t="shared" si="3"/>
        <v>22552.5</v>
      </c>
      <c r="Q18" s="184">
        <f t="shared" si="3"/>
        <v>4895</v>
      </c>
      <c r="R18" s="75">
        <f>IF(P18&lt;&gt;0,Q18/H18,"")</f>
        <v>104.14893617021276</v>
      </c>
      <c r="S18" s="127">
        <f>IF(P18&lt;&gt;0,P18/Q18,"")</f>
        <v>4.607252298263535</v>
      </c>
      <c r="T18" s="295">
        <v>30599</v>
      </c>
      <c r="U18" s="110">
        <f t="shared" si="0"/>
        <v>-0.2629661100035949</v>
      </c>
      <c r="V18" s="295">
        <v>993897.5</v>
      </c>
      <c r="W18" s="74">
        <v>157950</v>
      </c>
      <c r="X18" s="209">
        <f>+V18/W18</f>
        <v>6.292481798037354</v>
      </c>
      <c r="Y18" s="153"/>
      <c r="Z18" s="153"/>
    </row>
    <row r="19" spans="1:26" s="155" customFormat="1" ht="20.25" customHeight="1">
      <c r="A19" s="161">
        <v>13</v>
      </c>
      <c r="B19" s="179"/>
      <c r="C19" s="71" t="s">
        <v>206</v>
      </c>
      <c r="D19" s="197">
        <v>38828</v>
      </c>
      <c r="E19" s="71" t="s">
        <v>80</v>
      </c>
      <c r="F19" s="71" t="s">
        <v>152</v>
      </c>
      <c r="G19" s="136">
        <v>46</v>
      </c>
      <c r="H19" s="136">
        <v>45</v>
      </c>
      <c r="I19" s="94">
        <v>3</v>
      </c>
      <c r="J19" s="101">
        <v>2873</v>
      </c>
      <c r="K19" s="126">
        <v>397</v>
      </c>
      <c r="L19" s="101">
        <v>8030</v>
      </c>
      <c r="M19" s="126">
        <v>1042</v>
      </c>
      <c r="N19" s="101">
        <v>8464</v>
      </c>
      <c r="O19" s="126">
        <v>1168</v>
      </c>
      <c r="P19" s="266">
        <f t="shared" si="3"/>
        <v>19367</v>
      </c>
      <c r="Q19" s="184">
        <f t="shared" si="3"/>
        <v>2607</v>
      </c>
      <c r="R19" s="75">
        <f>IF(P19&lt;&gt;0,Q19/H19,"")</f>
        <v>57.93333333333333</v>
      </c>
      <c r="S19" s="127">
        <f>IF(P19&lt;&gt;0,P19/Q19,"")</f>
        <v>7.428845416187189</v>
      </c>
      <c r="T19" s="295">
        <v>69986</v>
      </c>
      <c r="U19" s="110">
        <f t="shared" si="0"/>
        <v>-0.7232732260737862</v>
      </c>
      <c r="V19" s="295">
        <v>251879</v>
      </c>
      <c r="W19" s="74">
        <v>29071</v>
      </c>
      <c r="X19" s="209">
        <f>V19/W19</f>
        <v>8.66427023494204</v>
      </c>
      <c r="Y19" s="153"/>
      <c r="Z19" s="153"/>
    </row>
    <row r="20" spans="1:26" s="155" customFormat="1" ht="20.25" customHeight="1">
      <c r="A20" s="161">
        <v>14</v>
      </c>
      <c r="B20" s="179"/>
      <c r="C20" s="71" t="s">
        <v>132</v>
      </c>
      <c r="D20" s="197">
        <v>38807</v>
      </c>
      <c r="E20" s="71" t="s">
        <v>143</v>
      </c>
      <c r="F20" s="71" t="s">
        <v>144</v>
      </c>
      <c r="G20" s="136">
        <v>115</v>
      </c>
      <c r="H20" s="136">
        <v>46</v>
      </c>
      <c r="I20" s="94">
        <v>5</v>
      </c>
      <c r="J20" s="101">
        <v>3940.5</v>
      </c>
      <c r="K20" s="126">
        <v>836</v>
      </c>
      <c r="L20" s="101">
        <v>6464</v>
      </c>
      <c r="M20" s="126">
        <v>1477</v>
      </c>
      <c r="N20" s="101">
        <v>7413.5</v>
      </c>
      <c r="O20" s="126">
        <v>1559</v>
      </c>
      <c r="P20" s="266">
        <f t="shared" si="3"/>
        <v>17818</v>
      </c>
      <c r="Q20" s="184">
        <f t="shared" si="3"/>
        <v>3872</v>
      </c>
      <c r="R20" s="75">
        <f>IF(P20&lt;&gt;0,Q20/H20,"")</f>
        <v>84.17391304347827</v>
      </c>
      <c r="S20" s="127">
        <f>IF(P20&lt;&gt;0,P20/Q20,"")</f>
        <v>4.601756198347108</v>
      </c>
      <c r="T20" s="301">
        <v>53743</v>
      </c>
      <c r="U20" s="110">
        <f t="shared" si="0"/>
        <v>-0.6684591481681336</v>
      </c>
      <c r="V20" s="295">
        <v>2061786.6</v>
      </c>
      <c r="W20" s="74">
        <v>284683</v>
      </c>
      <c r="X20" s="209">
        <f>V20/W20</f>
        <v>7.24239452303088</v>
      </c>
      <c r="Y20" s="153"/>
      <c r="Z20" s="153"/>
    </row>
    <row r="21" spans="1:26" s="155" customFormat="1" ht="20.25" customHeight="1">
      <c r="A21" s="161">
        <v>15</v>
      </c>
      <c r="B21" s="179"/>
      <c r="C21" s="200" t="s">
        <v>63</v>
      </c>
      <c r="D21" s="325" t="s">
        <v>136</v>
      </c>
      <c r="E21" s="293" t="s">
        <v>78</v>
      </c>
      <c r="F21" s="293" t="s">
        <v>158</v>
      </c>
      <c r="G21" s="296">
        <v>72</v>
      </c>
      <c r="H21" s="296">
        <v>9</v>
      </c>
      <c r="I21" s="131">
        <v>25</v>
      </c>
      <c r="J21" s="310">
        <v>4673</v>
      </c>
      <c r="K21" s="311">
        <v>1519</v>
      </c>
      <c r="L21" s="310">
        <v>5701</v>
      </c>
      <c r="M21" s="311">
        <v>1772</v>
      </c>
      <c r="N21" s="310">
        <v>7033</v>
      </c>
      <c r="O21" s="311">
        <v>2173</v>
      </c>
      <c r="P21" s="266">
        <f t="shared" si="3"/>
        <v>17407</v>
      </c>
      <c r="Q21" s="184">
        <f t="shared" si="3"/>
        <v>5464</v>
      </c>
      <c r="R21" s="75">
        <f>IF(P21&lt;&gt;0,Q21/H21,"")</f>
        <v>607.1111111111111</v>
      </c>
      <c r="S21" s="127">
        <f>IF(P21&lt;&gt;0,P21/Q21,"")</f>
        <v>3.185761346998536</v>
      </c>
      <c r="T21" s="297">
        <v>3539.5</v>
      </c>
      <c r="U21" s="110">
        <f t="shared" si="0"/>
        <v>3.9179262607712952</v>
      </c>
      <c r="V21" s="297">
        <v>25049395</v>
      </c>
      <c r="W21" s="298">
        <v>3722420</v>
      </c>
      <c r="X21" s="209">
        <f>V21/W21</f>
        <v>6.72933065049081</v>
      </c>
      <c r="Y21" s="153"/>
      <c r="Z21" s="153"/>
    </row>
    <row r="22" spans="1:26" s="155" customFormat="1" ht="20.25" customHeight="1">
      <c r="A22" s="161">
        <v>16</v>
      </c>
      <c r="B22" s="179"/>
      <c r="C22" s="200" t="s">
        <v>128</v>
      </c>
      <c r="D22" s="292">
        <v>38800</v>
      </c>
      <c r="E22" s="293" t="s">
        <v>78</v>
      </c>
      <c r="F22" s="293" t="s">
        <v>148</v>
      </c>
      <c r="G22" s="296">
        <v>92</v>
      </c>
      <c r="H22" s="296">
        <v>7</v>
      </c>
      <c r="I22" s="131">
        <v>7</v>
      </c>
      <c r="J22" s="310">
        <v>5730</v>
      </c>
      <c r="K22" s="311">
        <v>1412</v>
      </c>
      <c r="L22" s="310">
        <v>5850</v>
      </c>
      <c r="M22" s="311">
        <v>1455</v>
      </c>
      <c r="N22" s="310">
        <v>5807.5</v>
      </c>
      <c r="O22" s="311">
        <v>1450</v>
      </c>
      <c r="P22" s="267">
        <f>SUM(J22+L22+N22)</f>
        <v>17387.5</v>
      </c>
      <c r="Q22" s="255">
        <f>SUM(K22+M22+O22)</f>
        <v>4317</v>
      </c>
      <c r="R22" s="86">
        <f>Q22/H22</f>
        <v>616.7142857142857</v>
      </c>
      <c r="S22" s="226">
        <f>P22/Q22</f>
        <v>4.027681260134353</v>
      </c>
      <c r="T22" s="297">
        <v>12175</v>
      </c>
      <c r="U22" s="110">
        <f t="shared" si="0"/>
        <v>0.42813141683778233</v>
      </c>
      <c r="V22" s="297">
        <v>1157511</v>
      </c>
      <c r="W22" s="298">
        <v>167459</v>
      </c>
      <c r="X22" s="210">
        <f>V22/W22</f>
        <v>6.912205375644188</v>
      </c>
      <c r="Y22" s="153"/>
      <c r="Z22" s="153"/>
    </row>
    <row r="23" spans="1:26" s="155" customFormat="1" ht="20.25" customHeight="1">
      <c r="A23" s="161">
        <v>17</v>
      </c>
      <c r="B23" s="179"/>
      <c r="C23" s="71" t="s">
        <v>207</v>
      </c>
      <c r="D23" s="197">
        <v>38821</v>
      </c>
      <c r="E23" s="197" t="s">
        <v>76</v>
      </c>
      <c r="F23" s="71" t="s">
        <v>161</v>
      </c>
      <c r="G23" s="136">
        <v>54</v>
      </c>
      <c r="H23" s="136">
        <v>23</v>
      </c>
      <c r="I23" s="94">
        <v>4</v>
      </c>
      <c r="J23" s="101">
        <v>1868</v>
      </c>
      <c r="K23" s="126">
        <v>355</v>
      </c>
      <c r="L23" s="101">
        <v>3247</v>
      </c>
      <c r="M23" s="126">
        <v>576</v>
      </c>
      <c r="N23" s="101">
        <v>3497.5</v>
      </c>
      <c r="O23" s="126">
        <v>609</v>
      </c>
      <c r="P23" s="266">
        <f>+J23+L23+N23</f>
        <v>8612.5</v>
      </c>
      <c r="Q23" s="184">
        <f>+K23+M23+O23</f>
        <v>1540</v>
      </c>
      <c r="R23" s="75">
        <f>IF(P23&lt;&gt;0,Q23/H23,"")</f>
        <v>66.95652173913044</v>
      </c>
      <c r="S23" s="127">
        <f>IF(P23&lt;&gt;0,P23/Q23,"")</f>
        <v>5.592532467532467</v>
      </c>
      <c r="T23" s="295">
        <v>20785.5</v>
      </c>
      <c r="U23" s="110">
        <f t="shared" si="0"/>
        <v>-0.58564864929879</v>
      </c>
      <c r="V23" s="295">
        <v>282945.5</v>
      </c>
      <c r="W23" s="74">
        <v>39482</v>
      </c>
      <c r="X23" s="209">
        <f>IF(V23&lt;&gt;0,V23/W23,"")</f>
        <v>7.166442936021478</v>
      </c>
      <c r="Y23" s="153"/>
      <c r="Z23" s="153"/>
    </row>
    <row r="24" spans="1:26" s="155" customFormat="1" ht="20.25" customHeight="1">
      <c r="A24" s="161">
        <v>18</v>
      </c>
      <c r="B24" s="179"/>
      <c r="C24" s="200" t="s">
        <v>135</v>
      </c>
      <c r="D24" s="292">
        <v>38807</v>
      </c>
      <c r="E24" s="293" t="s">
        <v>78</v>
      </c>
      <c r="F24" s="293" t="s">
        <v>148</v>
      </c>
      <c r="G24" s="296">
        <v>20</v>
      </c>
      <c r="H24" s="296">
        <v>19</v>
      </c>
      <c r="I24" s="131">
        <v>6</v>
      </c>
      <c r="J24" s="310">
        <v>1569</v>
      </c>
      <c r="K24" s="311">
        <v>430</v>
      </c>
      <c r="L24" s="310">
        <v>3057</v>
      </c>
      <c r="M24" s="311">
        <v>704</v>
      </c>
      <c r="N24" s="310">
        <v>2975</v>
      </c>
      <c r="O24" s="311">
        <v>699</v>
      </c>
      <c r="P24" s="267">
        <f>J24+L24+N24</f>
        <v>7601</v>
      </c>
      <c r="Q24" s="255">
        <f>K24+M24+O24</f>
        <v>1833</v>
      </c>
      <c r="R24" s="86">
        <f>Q24/H24</f>
        <v>96.47368421052632</v>
      </c>
      <c r="S24" s="226">
        <f>P24/Q24</f>
        <v>4.146753955264594</v>
      </c>
      <c r="T24" s="297">
        <v>6537</v>
      </c>
      <c r="U24" s="110">
        <f t="shared" si="0"/>
        <v>0.16276579470705216</v>
      </c>
      <c r="V24" s="297">
        <v>181235</v>
      </c>
      <c r="W24" s="298">
        <v>24322</v>
      </c>
      <c r="X24" s="210">
        <f>V24/W24</f>
        <v>7.451484252939725</v>
      </c>
      <c r="Y24" s="153"/>
      <c r="Z24" s="153"/>
    </row>
    <row r="25" spans="1:26" s="155" customFormat="1" ht="20.25" customHeight="1">
      <c r="A25" s="161">
        <v>19</v>
      </c>
      <c r="B25" s="179"/>
      <c r="C25" s="71" t="s">
        <v>133</v>
      </c>
      <c r="D25" s="197">
        <v>38807</v>
      </c>
      <c r="E25" s="197" t="s">
        <v>76</v>
      </c>
      <c r="F25" s="71" t="s">
        <v>79</v>
      </c>
      <c r="G25" s="136">
        <v>77</v>
      </c>
      <c r="H25" s="136">
        <v>20</v>
      </c>
      <c r="I25" s="94">
        <v>6</v>
      </c>
      <c r="J25" s="101">
        <v>2208.5</v>
      </c>
      <c r="K25" s="126">
        <v>563</v>
      </c>
      <c r="L25" s="101">
        <v>2625</v>
      </c>
      <c r="M25" s="126">
        <v>623</v>
      </c>
      <c r="N25" s="101">
        <v>2554</v>
      </c>
      <c r="O25" s="126">
        <v>591</v>
      </c>
      <c r="P25" s="266">
        <f>+J25+L25+N25</f>
        <v>7387.5</v>
      </c>
      <c r="Q25" s="184">
        <f>+K25+M25+O25</f>
        <v>1777</v>
      </c>
      <c r="R25" s="75">
        <f>IF(P25&lt;&gt;0,Q25/H25,"")</f>
        <v>88.85</v>
      </c>
      <c r="S25" s="127">
        <f>IF(P25&lt;&gt;0,P25/Q25,"")</f>
        <v>4.157287563308948</v>
      </c>
      <c r="T25" s="295">
        <v>19929.5</v>
      </c>
      <c r="U25" s="110">
        <f t="shared" si="0"/>
        <v>-0.6293183471737877</v>
      </c>
      <c r="V25" s="295">
        <v>873659</v>
      </c>
      <c r="W25" s="74">
        <v>118384</v>
      </c>
      <c r="X25" s="209">
        <f>IF(V25&lt;&gt;0,V25/W25,"")</f>
        <v>7.379873969455332</v>
      </c>
      <c r="Y25" s="153"/>
      <c r="Z25" s="153"/>
    </row>
    <row r="26" spans="1:26" s="155" customFormat="1" ht="20.25" customHeight="1">
      <c r="A26" s="161">
        <v>20</v>
      </c>
      <c r="B26" s="179"/>
      <c r="C26" s="71" t="s">
        <v>129</v>
      </c>
      <c r="D26" s="197">
        <v>38800</v>
      </c>
      <c r="E26" s="71" t="s">
        <v>150</v>
      </c>
      <c r="F26" s="71" t="s">
        <v>151</v>
      </c>
      <c r="G26" s="136">
        <v>58</v>
      </c>
      <c r="H26" s="136">
        <v>22</v>
      </c>
      <c r="I26" s="94">
        <v>7</v>
      </c>
      <c r="J26" s="101">
        <v>1121.5</v>
      </c>
      <c r="K26" s="126">
        <v>194</v>
      </c>
      <c r="L26" s="101">
        <v>3084.5</v>
      </c>
      <c r="M26" s="126">
        <v>579</v>
      </c>
      <c r="N26" s="101">
        <v>2823</v>
      </c>
      <c r="O26" s="126">
        <v>534</v>
      </c>
      <c r="P26" s="266">
        <f>+J26+L26+N26</f>
        <v>7029</v>
      </c>
      <c r="Q26" s="184">
        <f>+K26+M26+O26</f>
        <v>1307</v>
      </c>
      <c r="R26" s="75">
        <f>IF(P26&lt;&gt;0,Q26/H26,"")</f>
        <v>59.40909090909091</v>
      </c>
      <c r="S26" s="127">
        <f>IF(P26&lt;&gt;0,P26/Q26,"")</f>
        <v>5.37796480489671</v>
      </c>
      <c r="T26" s="295">
        <v>11874</v>
      </c>
      <c r="U26" s="110">
        <f t="shared" si="0"/>
        <v>-0.40803436078827693</v>
      </c>
      <c r="V26" s="301">
        <f>350945.5+222517.5+139156.5+40897.5+38142.5+25481.5+7029</f>
        <v>824170</v>
      </c>
      <c r="W26" s="80">
        <f>46256+31606+20219+8293+8608+6050+1307</f>
        <v>122339</v>
      </c>
      <c r="X26" s="209">
        <f>IF(V26&lt;&gt;0,V26/W26,"")</f>
        <v>6.736772411087225</v>
      </c>
      <c r="Y26" s="153"/>
      <c r="Z26" s="153"/>
    </row>
    <row r="27" spans="1:26" s="155" customFormat="1" ht="20.25" customHeight="1">
      <c r="A27" s="161">
        <v>21</v>
      </c>
      <c r="B27" s="179"/>
      <c r="C27" s="71" t="s">
        <v>192</v>
      </c>
      <c r="D27" s="197">
        <v>38821</v>
      </c>
      <c r="E27" s="197" t="s">
        <v>76</v>
      </c>
      <c r="F27" s="71" t="s">
        <v>177</v>
      </c>
      <c r="G27" s="136">
        <v>32</v>
      </c>
      <c r="H27" s="136">
        <v>14</v>
      </c>
      <c r="I27" s="94">
        <v>4</v>
      </c>
      <c r="J27" s="101">
        <v>1128</v>
      </c>
      <c r="K27" s="126">
        <v>194</v>
      </c>
      <c r="L27" s="101">
        <v>2630</v>
      </c>
      <c r="M27" s="126">
        <v>439</v>
      </c>
      <c r="N27" s="101">
        <v>3121</v>
      </c>
      <c r="O27" s="126">
        <v>526</v>
      </c>
      <c r="P27" s="267">
        <f>J27+L27+N27</f>
        <v>6879</v>
      </c>
      <c r="Q27" s="255">
        <f>K27+M27+O27</f>
        <v>1159</v>
      </c>
      <c r="R27" s="86">
        <f>Q27/H27</f>
        <v>82.78571428571429</v>
      </c>
      <c r="S27" s="226">
        <f>P27/Q27</f>
        <v>5.935289042277826</v>
      </c>
      <c r="T27" s="295">
        <v>22112.5</v>
      </c>
      <c r="U27" s="110">
        <f t="shared" si="0"/>
        <v>-0.6889089881288863</v>
      </c>
      <c r="V27" s="295">
        <v>258970</v>
      </c>
      <c r="W27" s="74">
        <v>28611</v>
      </c>
      <c r="X27" s="210">
        <f aca="true" t="shared" si="4" ref="X27:X32">V27/W27</f>
        <v>9.051413791898222</v>
      </c>
      <c r="Y27" s="153"/>
      <c r="Z27" s="153"/>
    </row>
    <row r="28" spans="1:26" s="155" customFormat="1" ht="20.25" customHeight="1">
      <c r="A28" s="161">
        <v>22</v>
      </c>
      <c r="B28" s="179"/>
      <c r="C28" s="71" t="s">
        <v>266</v>
      </c>
      <c r="D28" s="197">
        <v>38835</v>
      </c>
      <c r="E28" s="71" t="s">
        <v>95</v>
      </c>
      <c r="F28" s="71" t="s">
        <v>248</v>
      </c>
      <c r="G28" s="136">
        <v>8</v>
      </c>
      <c r="H28" s="136">
        <v>8</v>
      </c>
      <c r="I28" s="94">
        <v>2</v>
      </c>
      <c r="J28" s="101">
        <v>1144.5</v>
      </c>
      <c r="K28" s="126">
        <v>138</v>
      </c>
      <c r="L28" s="101">
        <v>2705.5</v>
      </c>
      <c r="M28" s="126">
        <v>323</v>
      </c>
      <c r="N28" s="101">
        <v>2646</v>
      </c>
      <c r="O28" s="126">
        <v>322</v>
      </c>
      <c r="P28" s="267">
        <f>J28+L28+N28</f>
        <v>6496</v>
      </c>
      <c r="Q28" s="255">
        <f>K28+M28+O28</f>
        <v>783</v>
      </c>
      <c r="R28" s="86">
        <f>Q28/H28</f>
        <v>97.875</v>
      </c>
      <c r="S28" s="226">
        <f>P28/Q28</f>
        <v>8.296296296296296</v>
      </c>
      <c r="T28" s="302">
        <v>12838.5</v>
      </c>
      <c r="U28" s="110">
        <f t="shared" si="0"/>
        <v>-0.49402188729212915</v>
      </c>
      <c r="V28" s="301">
        <v>27176.5</v>
      </c>
      <c r="W28" s="80">
        <v>3152</v>
      </c>
      <c r="X28" s="210">
        <f t="shared" si="4"/>
        <v>8.621986040609137</v>
      </c>
      <c r="Y28" s="153"/>
      <c r="Z28" s="153"/>
    </row>
    <row r="29" spans="1:26" s="155" customFormat="1" ht="20.25" customHeight="1">
      <c r="A29" s="161">
        <v>23</v>
      </c>
      <c r="B29" s="179"/>
      <c r="C29" s="71" t="s">
        <v>208</v>
      </c>
      <c r="D29" s="197">
        <v>38828</v>
      </c>
      <c r="E29" s="71" t="s">
        <v>143</v>
      </c>
      <c r="F29" s="71" t="s">
        <v>169</v>
      </c>
      <c r="G29" s="136">
        <v>46</v>
      </c>
      <c r="H29" s="136">
        <v>19</v>
      </c>
      <c r="I29" s="94">
        <v>2</v>
      </c>
      <c r="J29" s="101">
        <v>1227.5</v>
      </c>
      <c r="K29" s="126">
        <v>252</v>
      </c>
      <c r="L29" s="101">
        <v>1928.5</v>
      </c>
      <c r="M29" s="126">
        <v>322</v>
      </c>
      <c r="N29" s="101">
        <v>2585</v>
      </c>
      <c r="O29" s="126">
        <v>422</v>
      </c>
      <c r="P29" s="266">
        <f>+J29+L29+N29</f>
        <v>5741</v>
      </c>
      <c r="Q29" s="184">
        <f>+K29+M29+O29</f>
        <v>996</v>
      </c>
      <c r="R29" s="75">
        <f>IF(P29&lt;&gt;0,Q29/H29,"")</f>
        <v>52.421052631578945</v>
      </c>
      <c r="S29" s="127">
        <f>IF(P29&lt;&gt;0,P29/Q29,"")</f>
        <v>5.764056224899599</v>
      </c>
      <c r="T29" s="301">
        <v>24892</v>
      </c>
      <c r="U29" s="110">
        <f t="shared" si="0"/>
        <v>-0.7693636509721999</v>
      </c>
      <c r="V29" s="295">
        <v>125783.5</v>
      </c>
      <c r="W29" s="74">
        <v>16996</v>
      </c>
      <c r="X29" s="209">
        <f t="shared" si="4"/>
        <v>7.400770769592845</v>
      </c>
      <c r="Y29" s="153"/>
      <c r="Z29" s="153"/>
    </row>
    <row r="30" spans="1:24" s="158" customFormat="1" ht="20.25" customHeight="1">
      <c r="A30" s="161">
        <v>24</v>
      </c>
      <c r="B30" s="180"/>
      <c r="C30" s="200" t="s">
        <v>191</v>
      </c>
      <c r="D30" s="292">
        <v>38814</v>
      </c>
      <c r="E30" s="293" t="s">
        <v>78</v>
      </c>
      <c r="F30" s="293" t="s">
        <v>209</v>
      </c>
      <c r="G30" s="296">
        <v>50</v>
      </c>
      <c r="H30" s="296">
        <v>14</v>
      </c>
      <c r="I30" s="131">
        <v>5</v>
      </c>
      <c r="J30" s="310">
        <v>1102.5</v>
      </c>
      <c r="K30" s="311">
        <v>175</v>
      </c>
      <c r="L30" s="310">
        <v>2119</v>
      </c>
      <c r="M30" s="311">
        <v>359</v>
      </c>
      <c r="N30" s="310">
        <v>2232.5</v>
      </c>
      <c r="O30" s="311">
        <v>369</v>
      </c>
      <c r="P30" s="267">
        <f>J30+L30+N30</f>
        <v>5454</v>
      </c>
      <c r="Q30" s="255">
        <f>K30+M30+O30</f>
        <v>903</v>
      </c>
      <c r="R30" s="86">
        <f>Q30/H30</f>
        <v>64.5</v>
      </c>
      <c r="S30" s="226">
        <f>P30/Q30</f>
        <v>6.039867109634551</v>
      </c>
      <c r="T30" s="297">
        <v>16540</v>
      </c>
      <c r="U30" s="110">
        <f t="shared" si="0"/>
        <v>-0.6702539298669891</v>
      </c>
      <c r="V30" s="297">
        <v>363082</v>
      </c>
      <c r="W30" s="298">
        <v>46131</v>
      </c>
      <c r="X30" s="210">
        <f t="shared" si="4"/>
        <v>7.870672649628233</v>
      </c>
    </row>
    <row r="31" spans="1:24" s="158" customFormat="1" ht="20.25" customHeight="1">
      <c r="A31" s="161">
        <v>25</v>
      </c>
      <c r="B31" s="180"/>
      <c r="C31" s="71" t="s">
        <v>174</v>
      </c>
      <c r="D31" s="197">
        <v>38751</v>
      </c>
      <c r="E31" s="71" t="s">
        <v>80</v>
      </c>
      <c r="F31" s="71" t="s">
        <v>169</v>
      </c>
      <c r="G31" s="136">
        <v>51</v>
      </c>
      <c r="H31" s="136">
        <v>5</v>
      </c>
      <c r="I31" s="94">
        <v>13</v>
      </c>
      <c r="J31" s="101">
        <v>1012</v>
      </c>
      <c r="K31" s="126">
        <v>199</v>
      </c>
      <c r="L31" s="101">
        <v>2100</v>
      </c>
      <c r="M31" s="126">
        <v>406</v>
      </c>
      <c r="N31" s="101">
        <v>2232</v>
      </c>
      <c r="O31" s="126">
        <v>427</v>
      </c>
      <c r="P31" s="266">
        <f>+J31+L31+N31</f>
        <v>5344</v>
      </c>
      <c r="Q31" s="184">
        <f>+K31+M31+O31</f>
        <v>1032</v>
      </c>
      <c r="R31" s="75">
        <f>IF(P31&lt;&gt;0,Q31/H31,"")</f>
        <v>206.4</v>
      </c>
      <c r="S31" s="127">
        <f>IF(P31&lt;&gt;0,P31/Q31,"")</f>
        <v>5.178294573643411</v>
      </c>
      <c r="T31" s="295">
        <v>6719</v>
      </c>
      <c r="U31" s="110">
        <f t="shared" si="0"/>
        <v>-0.2046435481470457</v>
      </c>
      <c r="V31" s="295">
        <v>1328797</v>
      </c>
      <c r="W31" s="74">
        <v>173229</v>
      </c>
      <c r="X31" s="209">
        <f t="shared" si="4"/>
        <v>7.670753742156337</v>
      </c>
    </row>
    <row r="32" spans="1:24" s="158" customFormat="1" ht="20.25" customHeight="1">
      <c r="A32" s="161">
        <v>26</v>
      </c>
      <c r="B32" s="180"/>
      <c r="C32" s="71" t="s">
        <v>149</v>
      </c>
      <c r="D32" s="197">
        <v>38814</v>
      </c>
      <c r="E32" s="71" t="s">
        <v>150</v>
      </c>
      <c r="F32" s="71" t="s">
        <v>151</v>
      </c>
      <c r="G32" s="136">
        <v>56</v>
      </c>
      <c r="H32" s="136">
        <v>19</v>
      </c>
      <c r="I32" s="94">
        <v>5</v>
      </c>
      <c r="J32" s="101">
        <v>710</v>
      </c>
      <c r="K32" s="126">
        <v>169</v>
      </c>
      <c r="L32" s="101">
        <v>2293.5</v>
      </c>
      <c r="M32" s="126">
        <v>544</v>
      </c>
      <c r="N32" s="101">
        <v>2291.5</v>
      </c>
      <c r="O32" s="126">
        <v>531</v>
      </c>
      <c r="P32" s="267">
        <f>J32+L32+N32</f>
        <v>5295</v>
      </c>
      <c r="Q32" s="255">
        <f>K32+M32+O32</f>
        <v>1244</v>
      </c>
      <c r="R32" s="86">
        <f>Q32/H32</f>
        <v>65.47368421052632</v>
      </c>
      <c r="S32" s="226">
        <f>P32/Q32</f>
        <v>4.256430868167203</v>
      </c>
      <c r="T32" s="295">
        <v>8734</v>
      </c>
      <c r="U32" s="110">
        <f t="shared" si="0"/>
        <v>-0.3937485688115411</v>
      </c>
      <c r="V32" s="301">
        <f>217941.5+99459+32613+17816.5+5295</f>
        <v>373125</v>
      </c>
      <c r="W32" s="80">
        <f>30137+15034+5570+3956+1244</f>
        <v>55941</v>
      </c>
      <c r="X32" s="210">
        <f t="shared" si="4"/>
        <v>6.669973722314581</v>
      </c>
    </row>
    <row r="33" spans="1:24" s="158" customFormat="1" ht="20.25" customHeight="1">
      <c r="A33" s="161">
        <v>27</v>
      </c>
      <c r="B33" s="180"/>
      <c r="C33" s="200" t="s">
        <v>156</v>
      </c>
      <c r="D33" s="294">
        <v>38814</v>
      </c>
      <c r="E33" s="199" t="s">
        <v>94</v>
      </c>
      <c r="F33" s="200" t="s">
        <v>157</v>
      </c>
      <c r="G33" s="150">
        <v>14</v>
      </c>
      <c r="H33" s="150">
        <v>8</v>
      </c>
      <c r="I33" s="96">
        <v>4</v>
      </c>
      <c r="J33" s="103">
        <v>1067</v>
      </c>
      <c r="K33" s="312">
        <v>260</v>
      </c>
      <c r="L33" s="103">
        <v>1327</v>
      </c>
      <c r="M33" s="312">
        <v>319</v>
      </c>
      <c r="N33" s="103">
        <v>1495</v>
      </c>
      <c r="O33" s="312">
        <v>359</v>
      </c>
      <c r="P33" s="267">
        <f>+N33+L33+J33</f>
        <v>3889</v>
      </c>
      <c r="Q33" s="255">
        <f>+O33+M33+K33</f>
        <v>938</v>
      </c>
      <c r="R33" s="157">
        <f>Q33/H33</f>
        <v>117.25</v>
      </c>
      <c r="S33" s="274">
        <f>P33/Q33</f>
        <v>4.146055437100213</v>
      </c>
      <c r="T33" s="299">
        <v>3941</v>
      </c>
      <c r="U33" s="110">
        <f t="shared" si="0"/>
        <v>-0.013194620654656179</v>
      </c>
      <c r="V33" s="299">
        <v>73670.5</v>
      </c>
      <c r="W33" s="80">
        <v>9827</v>
      </c>
      <c r="X33" s="251">
        <f>+V33/W33</f>
        <v>7.496743665411621</v>
      </c>
    </row>
    <row r="34" spans="1:26" s="155" customFormat="1" ht="20.25" customHeight="1">
      <c r="A34" s="161">
        <v>28</v>
      </c>
      <c r="B34" s="179"/>
      <c r="C34" s="200" t="s">
        <v>267</v>
      </c>
      <c r="D34" s="292">
        <v>38828</v>
      </c>
      <c r="E34" s="293" t="s">
        <v>81</v>
      </c>
      <c r="F34" s="293" t="s">
        <v>258</v>
      </c>
      <c r="G34" s="296">
        <v>5</v>
      </c>
      <c r="H34" s="296">
        <v>5</v>
      </c>
      <c r="I34" s="131">
        <v>3</v>
      </c>
      <c r="J34" s="310">
        <v>852</v>
      </c>
      <c r="K34" s="311">
        <v>117</v>
      </c>
      <c r="L34" s="310">
        <v>1106</v>
      </c>
      <c r="M34" s="311">
        <v>142</v>
      </c>
      <c r="N34" s="310">
        <v>1507</v>
      </c>
      <c r="O34" s="311">
        <v>203</v>
      </c>
      <c r="P34" s="266">
        <f>+J34+L34+N34</f>
        <v>3465</v>
      </c>
      <c r="Q34" s="184">
        <f>+K34+M34+O34</f>
        <v>462</v>
      </c>
      <c r="R34" s="75">
        <f>IF(P34&lt;&gt;0,Q34/H34,"")</f>
        <v>92.4</v>
      </c>
      <c r="S34" s="127">
        <f>IF(P34&lt;&gt;0,P34/Q34,"")</f>
        <v>7.5</v>
      </c>
      <c r="T34" s="297">
        <v>7483</v>
      </c>
      <c r="U34" s="110">
        <f t="shared" si="0"/>
        <v>-0.5369504209541628</v>
      </c>
      <c r="V34" s="297">
        <v>34783.9</v>
      </c>
      <c r="W34" s="298">
        <v>4706</v>
      </c>
      <c r="X34" s="209">
        <f aca="true" t="shared" si="5" ref="X34:X41">V34/W34</f>
        <v>7.391393965150871</v>
      </c>
      <c r="Y34" s="153"/>
      <c r="Z34" s="153"/>
    </row>
    <row r="35" spans="1:26" s="155" customFormat="1" ht="20.25" customHeight="1">
      <c r="A35" s="161">
        <v>29</v>
      </c>
      <c r="B35" s="179"/>
      <c r="C35" s="71" t="s">
        <v>134</v>
      </c>
      <c r="D35" s="197">
        <v>38807</v>
      </c>
      <c r="E35" s="71" t="s">
        <v>80</v>
      </c>
      <c r="F35" s="71" t="s">
        <v>152</v>
      </c>
      <c r="G35" s="136">
        <v>62</v>
      </c>
      <c r="H35" s="136">
        <v>10</v>
      </c>
      <c r="I35" s="94">
        <v>6</v>
      </c>
      <c r="J35" s="101">
        <v>793</v>
      </c>
      <c r="K35" s="126">
        <v>201</v>
      </c>
      <c r="L35" s="101">
        <v>985</v>
      </c>
      <c r="M35" s="126">
        <v>221</v>
      </c>
      <c r="N35" s="101">
        <v>1290</v>
      </c>
      <c r="O35" s="126">
        <v>289</v>
      </c>
      <c r="P35" s="268">
        <f>J35+L35+N35</f>
        <v>3068</v>
      </c>
      <c r="Q35" s="183">
        <f>K35+M35+O35</f>
        <v>711</v>
      </c>
      <c r="R35" s="86">
        <f>Q35/H35</f>
        <v>71.1</v>
      </c>
      <c r="S35" s="226">
        <f>P35/Q35</f>
        <v>4.315049226441632</v>
      </c>
      <c r="T35" s="301">
        <v>6500</v>
      </c>
      <c r="U35" s="110">
        <f t="shared" si="0"/>
        <v>-0.528</v>
      </c>
      <c r="V35" s="295">
        <v>538419</v>
      </c>
      <c r="W35" s="74">
        <v>69343</v>
      </c>
      <c r="X35" s="210">
        <f t="shared" si="5"/>
        <v>7.764576092756299</v>
      </c>
      <c r="Y35" s="153"/>
      <c r="Z35" s="153"/>
    </row>
    <row r="36" spans="1:26" s="155" customFormat="1" ht="20.25" customHeight="1">
      <c r="A36" s="161">
        <v>30</v>
      </c>
      <c r="B36" s="179"/>
      <c r="C36" s="71" t="s">
        <v>121</v>
      </c>
      <c r="D36" s="197">
        <v>38786</v>
      </c>
      <c r="E36" s="71" t="s">
        <v>179</v>
      </c>
      <c r="F36" s="71" t="s">
        <v>180</v>
      </c>
      <c r="G36" s="136">
        <v>7</v>
      </c>
      <c r="H36" s="136">
        <v>3</v>
      </c>
      <c r="I36" s="94">
        <v>9</v>
      </c>
      <c r="J36" s="102">
        <v>1025</v>
      </c>
      <c r="K36" s="313">
        <v>336</v>
      </c>
      <c r="L36" s="102">
        <v>999</v>
      </c>
      <c r="M36" s="313">
        <v>330</v>
      </c>
      <c r="N36" s="102">
        <v>1038</v>
      </c>
      <c r="O36" s="313">
        <v>336</v>
      </c>
      <c r="P36" s="268">
        <f>J36+L36+N36</f>
        <v>3062</v>
      </c>
      <c r="Q36" s="183">
        <f>K36+M36+O36</f>
        <v>1002</v>
      </c>
      <c r="R36" s="86">
        <f>Q36/H36</f>
        <v>334</v>
      </c>
      <c r="S36" s="226">
        <f>P36/Q36</f>
        <v>3.0558882235528944</v>
      </c>
      <c r="T36" s="300">
        <v>141</v>
      </c>
      <c r="U36" s="110">
        <f t="shared" si="0"/>
        <v>20.71631205673759</v>
      </c>
      <c r="V36" s="300">
        <v>24361.5</v>
      </c>
      <c r="W36" s="83">
        <v>4581</v>
      </c>
      <c r="X36" s="210">
        <f t="shared" si="5"/>
        <v>5.3179436804191225</v>
      </c>
      <c r="Y36" s="153"/>
      <c r="Z36" s="153"/>
    </row>
    <row r="37" spans="1:26" s="155" customFormat="1" ht="20.25" customHeight="1">
      <c r="A37" s="161">
        <v>31</v>
      </c>
      <c r="B37" s="179"/>
      <c r="C37" s="200" t="s">
        <v>61</v>
      </c>
      <c r="D37" s="292">
        <v>38751</v>
      </c>
      <c r="E37" s="293" t="s">
        <v>77</v>
      </c>
      <c r="F37" s="293" t="s">
        <v>160</v>
      </c>
      <c r="G37" s="296">
        <v>277</v>
      </c>
      <c r="H37" s="296">
        <v>6</v>
      </c>
      <c r="I37" s="131">
        <v>14</v>
      </c>
      <c r="J37" s="310">
        <v>705</v>
      </c>
      <c r="K37" s="311">
        <v>635</v>
      </c>
      <c r="L37" s="310">
        <v>1044</v>
      </c>
      <c r="M37" s="311">
        <v>848</v>
      </c>
      <c r="N37" s="310">
        <v>1257</v>
      </c>
      <c r="O37" s="311">
        <v>919</v>
      </c>
      <c r="P37" s="266">
        <f>+J37+L37+N37</f>
        <v>3006</v>
      </c>
      <c r="Q37" s="184">
        <f>+K37+M37+O37</f>
        <v>2402</v>
      </c>
      <c r="R37" s="75">
        <f>IF(P37&lt;&gt;0,Q37/H37,"")</f>
        <v>400.3333333333333</v>
      </c>
      <c r="S37" s="127">
        <f>IF(P37&lt;&gt;0,P37/Q37,"")</f>
        <v>1.2514571190674437</v>
      </c>
      <c r="T37" s="297">
        <v>1314</v>
      </c>
      <c r="U37" s="110">
        <f t="shared" si="0"/>
        <v>1.2876712328767124</v>
      </c>
      <c r="V37" s="297">
        <v>27401352</v>
      </c>
      <c r="W37" s="298">
        <v>4237630.666666667</v>
      </c>
      <c r="X37" s="209">
        <f t="shared" si="5"/>
        <v>6.466196361929291</v>
      </c>
      <c r="Y37" s="153"/>
      <c r="Z37" s="153"/>
    </row>
    <row r="38" spans="1:26" s="155" customFormat="1" ht="20.25" customHeight="1">
      <c r="A38" s="161">
        <v>32</v>
      </c>
      <c r="B38" s="179"/>
      <c r="C38" s="71" t="s">
        <v>105</v>
      </c>
      <c r="D38" s="197">
        <v>38793</v>
      </c>
      <c r="E38" s="71" t="s">
        <v>80</v>
      </c>
      <c r="F38" s="71" t="s">
        <v>154</v>
      </c>
      <c r="G38" s="136">
        <v>129</v>
      </c>
      <c r="H38" s="136">
        <v>10</v>
      </c>
      <c r="I38" s="94">
        <v>8</v>
      </c>
      <c r="J38" s="101">
        <v>500</v>
      </c>
      <c r="K38" s="126">
        <v>111</v>
      </c>
      <c r="L38" s="101">
        <v>822</v>
      </c>
      <c r="M38" s="126">
        <v>173</v>
      </c>
      <c r="N38" s="101">
        <v>942</v>
      </c>
      <c r="O38" s="126">
        <v>207</v>
      </c>
      <c r="P38" s="266">
        <f>+J38+L38+N38</f>
        <v>2264</v>
      </c>
      <c r="Q38" s="184">
        <f>+K38+M38+O38</f>
        <v>491</v>
      </c>
      <c r="R38" s="75">
        <f>IF(P38&lt;&gt;0,Q38/H38,"")</f>
        <v>49.1</v>
      </c>
      <c r="S38" s="127">
        <f>IF(P38&lt;&gt;0,P38/Q38,"")</f>
        <v>4.610997963340123</v>
      </c>
      <c r="T38" s="301">
        <v>6420</v>
      </c>
      <c r="U38" s="110">
        <f t="shared" si="0"/>
        <v>-0.6473520249221184</v>
      </c>
      <c r="V38" s="295">
        <v>1780913</v>
      </c>
      <c r="W38" s="74">
        <v>270462</v>
      </c>
      <c r="X38" s="209">
        <f t="shared" si="5"/>
        <v>6.584706908918813</v>
      </c>
      <c r="Y38" s="153"/>
      <c r="Z38" s="153"/>
    </row>
    <row r="39" spans="1:26" s="155" customFormat="1" ht="20.25" customHeight="1">
      <c r="A39" s="161">
        <v>33</v>
      </c>
      <c r="B39" s="179"/>
      <c r="C39" s="200" t="s">
        <v>108</v>
      </c>
      <c r="D39" s="292">
        <v>38793</v>
      </c>
      <c r="E39" s="293" t="s">
        <v>77</v>
      </c>
      <c r="F39" s="293" t="s">
        <v>164</v>
      </c>
      <c r="G39" s="296">
        <v>33</v>
      </c>
      <c r="H39" s="296">
        <v>6</v>
      </c>
      <c r="I39" s="131">
        <v>8</v>
      </c>
      <c r="J39" s="310">
        <v>651.5</v>
      </c>
      <c r="K39" s="311">
        <v>534</v>
      </c>
      <c r="L39" s="310">
        <v>743</v>
      </c>
      <c r="M39" s="311">
        <v>556</v>
      </c>
      <c r="N39" s="310">
        <v>761</v>
      </c>
      <c r="O39" s="311">
        <v>564</v>
      </c>
      <c r="P39" s="267">
        <f>J39+L39+N39</f>
        <v>2155.5</v>
      </c>
      <c r="Q39" s="255">
        <f>K39+M39+O39</f>
        <v>1654</v>
      </c>
      <c r="R39" s="86">
        <f>Q39/H39</f>
        <v>275.6666666666667</v>
      </c>
      <c r="S39" s="226">
        <f>P39/Q39</f>
        <v>1.303204353083434</v>
      </c>
      <c r="T39" s="297">
        <v>4882</v>
      </c>
      <c r="U39" s="110">
        <f t="shared" si="0"/>
        <v>-0.558480131093814</v>
      </c>
      <c r="V39" s="297">
        <v>144609.5</v>
      </c>
      <c r="W39" s="298">
        <v>28498</v>
      </c>
      <c r="X39" s="210">
        <f t="shared" si="5"/>
        <v>5.074373640255456</v>
      </c>
      <c r="Y39" s="153"/>
      <c r="Z39" s="153"/>
    </row>
    <row r="40" spans="1:26" s="155" customFormat="1" ht="20.25" customHeight="1">
      <c r="A40" s="161">
        <v>34</v>
      </c>
      <c r="B40" s="179"/>
      <c r="C40" s="71" t="s">
        <v>66</v>
      </c>
      <c r="D40" s="197">
        <v>38779</v>
      </c>
      <c r="E40" s="71" t="s">
        <v>80</v>
      </c>
      <c r="F40" s="71" t="s">
        <v>152</v>
      </c>
      <c r="G40" s="136">
        <v>72</v>
      </c>
      <c r="H40" s="136">
        <v>7</v>
      </c>
      <c r="I40" s="94">
        <v>24</v>
      </c>
      <c r="J40" s="101">
        <v>570</v>
      </c>
      <c r="K40" s="126">
        <v>203</v>
      </c>
      <c r="L40" s="101">
        <v>757</v>
      </c>
      <c r="M40" s="126">
        <v>238</v>
      </c>
      <c r="N40" s="101">
        <v>730</v>
      </c>
      <c r="O40" s="126">
        <v>230</v>
      </c>
      <c r="P40" s="266">
        <f>+J40+L40+N40</f>
        <v>2057</v>
      </c>
      <c r="Q40" s="184">
        <f>+K40+M40+O40</f>
        <v>671</v>
      </c>
      <c r="R40" s="75">
        <f>IF(P40&lt;&gt;0,Q40/H40,"")</f>
        <v>95.85714285714286</v>
      </c>
      <c r="S40" s="127">
        <f>IF(P40&lt;&gt;0,P40/Q40,"")</f>
        <v>3.0655737704918034</v>
      </c>
      <c r="T40" s="301">
        <v>3353</v>
      </c>
      <c r="U40" s="110">
        <f t="shared" si="0"/>
        <v>-0.3865195347450045</v>
      </c>
      <c r="V40" s="295">
        <v>960297</v>
      </c>
      <c r="W40" s="74">
        <v>141649</v>
      </c>
      <c r="X40" s="209">
        <f t="shared" si="5"/>
        <v>6.779412491440109</v>
      </c>
      <c r="Y40" s="153"/>
      <c r="Z40" s="153"/>
    </row>
    <row r="41" spans="1:26" s="155" customFormat="1" ht="20.25" customHeight="1">
      <c r="A41" s="161">
        <v>35</v>
      </c>
      <c r="B41" s="179"/>
      <c r="C41" s="71" t="s">
        <v>60</v>
      </c>
      <c r="D41" s="197">
        <v>38786</v>
      </c>
      <c r="E41" s="197" t="s">
        <v>76</v>
      </c>
      <c r="F41" s="71" t="s">
        <v>161</v>
      </c>
      <c r="G41" s="136">
        <v>36</v>
      </c>
      <c r="H41" s="136">
        <v>4</v>
      </c>
      <c r="I41" s="94">
        <v>9</v>
      </c>
      <c r="J41" s="101">
        <v>343</v>
      </c>
      <c r="K41" s="126">
        <v>73</v>
      </c>
      <c r="L41" s="101">
        <v>596</v>
      </c>
      <c r="M41" s="126">
        <v>125</v>
      </c>
      <c r="N41" s="101">
        <v>1011</v>
      </c>
      <c r="O41" s="126">
        <v>216</v>
      </c>
      <c r="P41" s="268">
        <f>J41+L41+N41</f>
        <v>1950</v>
      </c>
      <c r="Q41" s="183">
        <f>K41+M41+O41</f>
        <v>414</v>
      </c>
      <c r="R41" s="86">
        <f>Q41/H41</f>
        <v>103.5</v>
      </c>
      <c r="S41" s="226">
        <f>P41/Q41</f>
        <v>4.7101449275362315</v>
      </c>
      <c r="T41" s="295">
        <v>3707</v>
      </c>
      <c r="U41" s="110">
        <f t="shared" si="0"/>
        <v>-0.4739681683301861</v>
      </c>
      <c r="V41" s="295">
        <v>1606217.5</v>
      </c>
      <c r="W41" s="74">
        <v>230383</v>
      </c>
      <c r="X41" s="210">
        <f t="shared" si="5"/>
        <v>6.971944544519344</v>
      </c>
      <c r="Y41" s="153"/>
      <c r="Z41" s="153"/>
    </row>
    <row r="42" spans="1:25" s="155" customFormat="1" ht="20.25" customHeight="1">
      <c r="A42" s="161">
        <v>36</v>
      </c>
      <c r="B42" s="179"/>
      <c r="C42" s="71" t="s">
        <v>106</v>
      </c>
      <c r="D42" s="197">
        <v>38793</v>
      </c>
      <c r="E42" s="197" t="s">
        <v>76</v>
      </c>
      <c r="F42" s="71" t="s">
        <v>79</v>
      </c>
      <c r="G42" s="136">
        <v>20</v>
      </c>
      <c r="H42" s="136">
        <v>6</v>
      </c>
      <c r="I42" s="94">
        <v>8</v>
      </c>
      <c r="J42" s="101">
        <v>306.5</v>
      </c>
      <c r="K42" s="126">
        <v>52</v>
      </c>
      <c r="L42" s="101">
        <v>746</v>
      </c>
      <c r="M42" s="126">
        <v>119</v>
      </c>
      <c r="N42" s="101">
        <v>804.5</v>
      </c>
      <c r="O42" s="126">
        <v>130</v>
      </c>
      <c r="P42" s="267">
        <f>+N42+L42+J42</f>
        <v>1857</v>
      </c>
      <c r="Q42" s="255">
        <f>+O42+M42+K42</f>
        <v>301</v>
      </c>
      <c r="R42" s="157">
        <f>Q42/H42</f>
        <v>50.166666666666664</v>
      </c>
      <c r="S42" s="274">
        <f>P42/Q42</f>
        <v>6.1694352159468435</v>
      </c>
      <c r="T42" s="295">
        <v>3813.5</v>
      </c>
      <c r="U42" s="110">
        <f t="shared" si="0"/>
        <v>-0.5130457584895765</v>
      </c>
      <c r="V42" s="295">
        <v>733423.25</v>
      </c>
      <c r="W42" s="74">
        <v>92332</v>
      </c>
      <c r="X42" s="251">
        <f>+V42/W42</f>
        <v>7.9433267989429455</v>
      </c>
      <c r="Y42" s="153"/>
    </row>
    <row r="43" spans="1:27" s="155" customFormat="1" ht="20.25" customHeight="1">
      <c r="A43" s="161">
        <v>37</v>
      </c>
      <c r="B43" s="179"/>
      <c r="C43" s="71" t="s">
        <v>119</v>
      </c>
      <c r="D43" s="197">
        <v>38800</v>
      </c>
      <c r="E43" s="197" t="s">
        <v>76</v>
      </c>
      <c r="F43" s="71" t="s">
        <v>262</v>
      </c>
      <c r="G43" s="136">
        <v>36</v>
      </c>
      <c r="H43" s="136">
        <v>7</v>
      </c>
      <c r="I43" s="94">
        <v>7</v>
      </c>
      <c r="J43" s="101">
        <v>266</v>
      </c>
      <c r="K43" s="126">
        <v>47</v>
      </c>
      <c r="L43" s="101">
        <v>694.5</v>
      </c>
      <c r="M43" s="126">
        <v>116</v>
      </c>
      <c r="N43" s="101">
        <v>887</v>
      </c>
      <c r="O43" s="126">
        <v>145</v>
      </c>
      <c r="P43" s="268">
        <f>J43+L43+N43</f>
        <v>1847.5</v>
      </c>
      <c r="Q43" s="183">
        <f>K43+M43+O43</f>
        <v>308</v>
      </c>
      <c r="R43" s="86">
        <f>Q43/H43</f>
        <v>44</v>
      </c>
      <c r="S43" s="226">
        <f>P43/Q43</f>
        <v>5.998376623376624</v>
      </c>
      <c r="T43" s="295">
        <v>3372</v>
      </c>
      <c r="U43" s="110">
        <f t="shared" si="0"/>
        <v>-0.45210557532621587</v>
      </c>
      <c r="V43" s="295">
        <v>500064</v>
      </c>
      <c r="W43" s="74">
        <v>59259</v>
      </c>
      <c r="X43" s="210">
        <f>V43/W43</f>
        <v>8.43861691894902</v>
      </c>
      <c r="Y43" s="153"/>
      <c r="AA43" s="153"/>
    </row>
    <row r="44" spans="1:27" s="154" customFormat="1" ht="20.25" customHeight="1">
      <c r="A44" s="161">
        <v>38</v>
      </c>
      <c r="B44" s="179"/>
      <c r="C44" s="200" t="s">
        <v>138</v>
      </c>
      <c r="D44" s="294">
        <v>38744</v>
      </c>
      <c r="E44" s="199" t="s">
        <v>94</v>
      </c>
      <c r="F44" s="200" t="s">
        <v>189</v>
      </c>
      <c r="G44" s="150">
        <v>7</v>
      </c>
      <c r="H44" s="150">
        <v>3</v>
      </c>
      <c r="I44" s="96">
        <v>13</v>
      </c>
      <c r="J44" s="103">
        <v>326</v>
      </c>
      <c r="K44" s="312">
        <v>65</v>
      </c>
      <c r="L44" s="103">
        <v>682</v>
      </c>
      <c r="M44" s="312">
        <v>112</v>
      </c>
      <c r="N44" s="103">
        <v>794</v>
      </c>
      <c r="O44" s="312">
        <v>126</v>
      </c>
      <c r="P44" s="266">
        <f>+J44+L44+N44</f>
        <v>1802</v>
      </c>
      <c r="Q44" s="184">
        <f>+K44+M44+O44</f>
        <v>303</v>
      </c>
      <c r="R44" s="75">
        <f>IF(P44&lt;&gt;0,Q44/H44,"")</f>
        <v>101</v>
      </c>
      <c r="S44" s="127">
        <f>IF(P44&lt;&gt;0,P44/Q44,"")</f>
        <v>5.947194719471947</v>
      </c>
      <c r="T44" s="299">
        <v>4347.5</v>
      </c>
      <c r="U44" s="110">
        <f t="shared" si="0"/>
        <v>-0.5855089131684876</v>
      </c>
      <c r="V44" s="299">
        <v>69519.5</v>
      </c>
      <c r="W44" s="80">
        <v>10511</v>
      </c>
      <c r="X44" s="209">
        <f>IF(V44&lt;&gt;0,V44/W44,"")</f>
        <v>6.6139758348396915</v>
      </c>
      <c r="Y44" s="153"/>
      <c r="AA44" s="153"/>
    </row>
    <row r="45" spans="1:25" s="154" customFormat="1" ht="20.25" customHeight="1">
      <c r="A45" s="161">
        <v>39</v>
      </c>
      <c r="B45" s="179"/>
      <c r="C45" s="200" t="s">
        <v>124</v>
      </c>
      <c r="D45" s="294">
        <v>38716</v>
      </c>
      <c r="E45" s="199" t="s">
        <v>94</v>
      </c>
      <c r="F45" s="200" t="s">
        <v>219</v>
      </c>
      <c r="G45" s="150">
        <v>9</v>
      </c>
      <c r="H45" s="150">
        <v>4</v>
      </c>
      <c r="I45" s="96">
        <v>18</v>
      </c>
      <c r="J45" s="103">
        <v>352.5</v>
      </c>
      <c r="K45" s="312">
        <v>92</v>
      </c>
      <c r="L45" s="103">
        <v>668</v>
      </c>
      <c r="M45" s="312">
        <v>178</v>
      </c>
      <c r="N45" s="103">
        <v>657.5</v>
      </c>
      <c r="O45" s="312">
        <v>162</v>
      </c>
      <c r="P45" s="266">
        <f>+J45+L45+N45</f>
        <v>1678</v>
      </c>
      <c r="Q45" s="184">
        <f>+K45+M45+O45</f>
        <v>432</v>
      </c>
      <c r="R45" s="75">
        <f>IF(P45&lt;&gt;0,Q45/H45,"")</f>
        <v>108</v>
      </c>
      <c r="S45" s="127">
        <f>IF(P45&lt;&gt;0,P45/Q45,"")</f>
        <v>3.884259259259259</v>
      </c>
      <c r="T45" s="299">
        <v>1250.5</v>
      </c>
      <c r="U45" s="110">
        <f t="shared" si="0"/>
        <v>0.34186325469812073</v>
      </c>
      <c r="V45" s="299">
        <v>100385.5</v>
      </c>
      <c r="W45" s="80">
        <v>14997</v>
      </c>
      <c r="X45" s="209">
        <f>V45/W45</f>
        <v>6.693705407748216</v>
      </c>
      <c r="Y45" s="153"/>
    </row>
    <row r="46" spans="1:27" s="154" customFormat="1" ht="20.25" customHeight="1">
      <c r="A46" s="161">
        <v>40</v>
      </c>
      <c r="B46" s="179"/>
      <c r="C46" s="200" t="s">
        <v>141</v>
      </c>
      <c r="D46" s="294">
        <v>38779</v>
      </c>
      <c r="E46" s="199" t="s">
        <v>94</v>
      </c>
      <c r="F46" s="200" t="s">
        <v>175</v>
      </c>
      <c r="G46" s="150">
        <v>10</v>
      </c>
      <c r="H46" s="150">
        <v>4</v>
      </c>
      <c r="I46" s="96">
        <v>10</v>
      </c>
      <c r="J46" s="103">
        <v>512</v>
      </c>
      <c r="K46" s="312">
        <v>166</v>
      </c>
      <c r="L46" s="103">
        <v>578</v>
      </c>
      <c r="M46" s="312">
        <v>186</v>
      </c>
      <c r="N46" s="103">
        <v>585</v>
      </c>
      <c r="O46" s="312">
        <v>187</v>
      </c>
      <c r="P46" s="268">
        <f>J46+L46+N46</f>
        <v>1675</v>
      </c>
      <c r="Q46" s="183">
        <f>K46+M46+O46</f>
        <v>539</v>
      </c>
      <c r="R46" s="86">
        <f>Q46/H46</f>
        <v>134.75</v>
      </c>
      <c r="S46" s="226">
        <f>P46/Q46</f>
        <v>3.1076066790352503</v>
      </c>
      <c r="T46" s="299">
        <v>187.5</v>
      </c>
      <c r="U46" s="110">
        <f t="shared" si="0"/>
        <v>7.933333333333334</v>
      </c>
      <c r="V46" s="299">
        <v>43035.5</v>
      </c>
      <c r="W46" s="80">
        <v>7598</v>
      </c>
      <c r="X46" s="210">
        <f>V46/W46</f>
        <v>5.664056330613319</v>
      </c>
      <c r="Y46" s="153"/>
      <c r="AA46" s="153"/>
    </row>
    <row r="47" spans="1:25" s="155" customFormat="1" ht="20.25" customHeight="1">
      <c r="A47" s="161">
        <v>41</v>
      </c>
      <c r="B47" s="179"/>
      <c r="C47" s="200" t="s">
        <v>249</v>
      </c>
      <c r="D47" s="294">
        <v>38835</v>
      </c>
      <c r="E47" s="199" t="s">
        <v>94</v>
      </c>
      <c r="F47" s="200" t="s">
        <v>268</v>
      </c>
      <c r="G47" s="150">
        <v>5</v>
      </c>
      <c r="H47" s="150">
        <v>5</v>
      </c>
      <c r="I47" s="96">
        <v>2</v>
      </c>
      <c r="J47" s="103">
        <v>362</v>
      </c>
      <c r="K47" s="312">
        <v>43</v>
      </c>
      <c r="L47" s="103">
        <v>474</v>
      </c>
      <c r="M47" s="312">
        <v>56</v>
      </c>
      <c r="N47" s="103">
        <v>726</v>
      </c>
      <c r="O47" s="312">
        <v>87</v>
      </c>
      <c r="P47" s="266">
        <f aca="true" t="shared" si="6" ref="P47:Q49">+J47+L47+N47</f>
        <v>1562</v>
      </c>
      <c r="Q47" s="184">
        <f t="shared" si="6"/>
        <v>186</v>
      </c>
      <c r="R47" s="75">
        <f>IF(P47&lt;&gt;0,Q47/H47,"")</f>
        <v>37.2</v>
      </c>
      <c r="S47" s="127">
        <f>IF(P47&lt;&gt;0,P47/Q47,"")</f>
        <v>8.397849462365592</v>
      </c>
      <c r="T47" s="299">
        <v>3339</v>
      </c>
      <c r="U47" s="110">
        <f t="shared" si="0"/>
        <v>-0.5321952680443246</v>
      </c>
      <c r="V47" s="299">
        <v>8019.5</v>
      </c>
      <c r="W47" s="80">
        <v>946</v>
      </c>
      <c r="X47" s="209">
        <f>V47/W47</f>
        <v>8.477272727272727</v>
      </c>
      <c r="Y47" s="153"/>
    </row>
    <row r="48" spans="1:25" s="154" customFormat="1" ht="20.25" customHeight="1">
      <c r="A48" s="161">
        <v>42</v>
      </c>
      <c r="B48" s="179"/>
      <c r="C48" s="71" t="s">
        <v>109</v>
      </c>
      <c r="D48" s="197">
        <v>38793</v>
      </c>
      <c r="E48" s="71" t="s">
        <v>95</v>
      </c>
      <c r="F48" s="71" t="s">
        <v>248</v>
      </c>
      <c r="G48" s="136">
        <v>4</v>
      </c>
      <c r="H48" s="136">
        <v>4</v>
      </c>
      <c r="I48" s="94">
        <v>8</v>
      </c>
      <c r="J48" s="101">
        <v>317</v>
      </c>
      <c r="K48" s="126">
        <v>64</v>
      </c>
      <c r="L48" s="101">
        <v>402</v>
      </c>
      <c r="M48" s="126">
        <v>72</v>
      </c>
      <c r="N48" s="101">
        <v>622</v>
      </c>
      <c r="O48" s="126">
        <v>115</v>
      </c>
      <c r="P48" s="266">
        <f t="shared" si="6"/>
        <v>1341</v>
      </c>
      <c r="Q48" s="184">
        <f t="shared" si="6"/>
        <v>251</v>
      </c>
      <c r="R48" s="75">
        <f>IF(P48&lt;&gt;0,Q48/H48,"")</f>
        <v>62.75</v>
      </c>
      <c r="S48" s="127">
        <f>IF(P48&lt;&gt;0,P48/Q48,"")</f>
        <v>5.342629482071713</v>
      </c>
      <c r="T48" s="302">
        <v>1605.5</v>
      </c>
      <c r="U48" s="110">
        <f t="shared" si="0"/>
        <v>-0.16474618498909996</v>
      </c>
      <c r="V48" s="301">
        <v>95306.5</v>
      </c>
      <c r="W48" s="80">
        <v>11528</v>
      </c>
      <c r="X48" s="209">
        <f>IF(V48&lt;&gt;0,V48/W48,"")</f>
        <v>8.267392435808466</v>
      </c>
      <c r="Y48" s="153"/>
    </row>
    <row r="49" spans="1:25" s="154" customFormat="1" ht="20.25" customHeight="1">
      <c r="A49" s="161">
        <v>43</v>
      </c>
      <c r="B49" s="179"/>
      <c r="C49" s="71" t="s">
        <v>195</v>
      </c>
      <c r="D49" s="197">
        <v>38821</v>
      </c>
      <c r="E49" s="71" t="s">
        <v>95</v>
      </c>
      <c r="F49" s="71" t="s">
        <v>218</v>
      </c>
      <c r="G49" s="136">
        <v>5</v>
      </c>
      <c r="H49" s="136">
        <v>3</v>
      </c>
      <c r="I49" s="94">
        <v>4</v>
      </c>
      <c r="J49" s="101">
        <v>380.5</v>
      </c>
      <c r="K49" s="126">
        <v>54</v>
      </c>
      <c r="L49" s="101">
        <v>560.5</v>
      </c>
      <c r="M49" s="126">
        <v>80</v>
      </c>
      <c r="N49" s="101">
        <v>385</v>
      </c>
      <c r="O49" s="126">
        <v>53</v>
      </c>
      <c r="P49" s="266">
        <f t="shared" si="6"/>
        <v>1326</v>
      </c>
      <c r="Q49" s="184">
        <f t="shared" si="6"/>
        <v>187</v>
      </c>
      <c r="R49" s="75">
        <f>IF(P49&lt;&gt;0,Q49/H49,"")</f>
        <v>62.333333333333336</v>
      </c>
      <c r="S49" s="127">
        <f>IF(P49&lt;&gt;0,P49/Q49,"")</f>
        <v>7.090909090909091</v>
      </c>
      <c r="T49" s="302">
        <v>145</v>
      </c>
      <c r="U49" s="110">
        <f t="shared" si="0"/>
        <v>8.144827586206896</v>
      </c>
      <c r="V49" s="301">
        <v>6335.5</v>
      </c>
      <c r="W49" s="80">
        <v>788</v>
      </c>
      <c r="X49" s="209">
        <f>V49/W49</f>
        <v>8.03997461928934</v>
      </c>
      <c r="Y49" s="153"/>
    </row>
    <row r="50" spans="1:25" s="154" customFormat="1" ht="20.25" customHeight="1">
      <c r="A50" s="161">
        <v>44</v>
      </c>
      <c r="B50" s="179"/>
      <c r="C50" s="200" t="s">
        <v>212</v>
      </c>
      <c r="D50" s="294">
        <v>38828</v>
      </c>
      <c r="E50" s="199" t="s">
        <v>94</v>
      </c>
      <c r="F50" s="200" t="s">
        <v>213</v>
      </c>
      <c r="G50" s="150">
        <v>6</v>
      </c>
      <c r="H50" s="150">
        <v>4</v>
      </c>
      <c r="I50" s="96">
        <v>3</v>
      </c>
      <c r="J50" s="103">
        <v>468</v>
      </c>
      <c r="K50" s="312">
        <v>67</v>
      </c>
      <c r="L50" s="103">
        <v>296</v>
      </c>
      <c r="M50" s="312">
        <v>45</v>
      </c>
      <c r="N50" s="103">
        <v>519</v>
      </c>
      <c r="O50" s="312">
        <v>75</v>
      </c>
      <c r="P50" s="267">
        <f>+N50+L50+J50</f>
        <v>1283</v>
      </c>
      <c r="Q50" s="255">
        <f>+O50+M50+K50</f>
        <v>187</v>
      </c>
      <c r="R50" s="157">
        <f>Q50/H50</f>
        <v>46.75</v>
      </c>
      <c r="S50" s="274">
        <f>P50/Q50</f>
        <v>6.86096256684492</v>
      </c>
      <c r="T50" s="299">
        <v>2635.5</v>
      </c>
      <c r="U50" s="110">
        <f t="shared" si="0"/>
        <v>-0.5131853538228041</v>
      </c>
      <c r="V50" s="299">
        <v>14493</v>
      </c>
      <c r="W50" s="80">
        <v>1816</v>
      </c>
      <c r="X50" s="251">
        <f>+V50/W50</f>
        <v>7.980726872246696</v>
      </c>
      <c r="Y50" s="153"/>
    </row>
    <row r="51" spans="1:25" s="154" customFormat="1" ht="20.25" customHeight="1">
      <c r="A51" s="161">
        <v>45</v>
      </c>
      <c r="B51" s="179"/>
      <c r="C51" s="200" t="s">
        <v>269</v>
      </c>
      <c r="D51" s="294">
        <v>38597</v>
      </c>
      <c r="E51" s="199" t="s">
        <v>94</v>
      </c>
      <c r="F51" s="200" t="s">
        <v>250</v>
      </c>
      <c r="G51" s="150">
        <v>11</v>
      </c>
      <c r="H51" s="150">
        <v>2</v>
      </c>
      <c r="I51" s="96">
        <v>12</v>
      </c>
      <c r="J51" s="103">
        <v>975</v>
      </c>
      <c r="K51" s="312">
        <v>325</v>
      </c>
      <c r="L51" s="103">
        <v>150</v>
      </c>
      <c r="M51" s="312">
        <v>50</v>
      </c>
      <c r="N51" s="103">
        <v>150</v>
      </c>
      <c r="O51" s="312">
        <v>50</v>
      </c>
      <c r="P51" s="268">
        <f>J51+L51+N51</f>
        <v>1275</v>
      </c>
      <c r="Q51" s="183">
        <f>K51+M51+O51</f>
        <v>425</v>
      </c>
      <c r="R51" s="86">
        <f>Q51/H51</f>
        <v>212.5</v>
      </c>
      <c r="S51" s="226">
        <f>P51/Q51</f>
        <v>3</v>
      </c>
      <c r="T51" s="299"/>
      <c r="U51" s="110">
        <f t="shared" si="0"/>
      </c>
      <c r="V51" s="299">
        <v>83267</v>
      </c>
      <c r="W51" s="80">
        <v>11857</v>
      </c>
      <c r="X51" s="210">
        <f>V51/W51</f>
        <v>7.022602681960024</v>
      </c>
      <c r="Y51" s="153"/>
    </row>
    <row r="52" spans="1:25" s="154" customFormat="1" ht="20.25" customHeight="1">
      <c r="A52" s="161">
        <v>46</v>
      </c>
      <c r="B52" s="179"/>
      <c r="C52" s="200" t="s">
        <v>122</v>
      </c>
      <c r="D52" s="294">
        <v>38758</v>
      </c>
      <c r="E52" s="199" t="s">
        <v>94</v>
      </c>
      <c r="F52" s="200" t="s">
        <v>176</v>
      </c>
      <c r="G52" s="150">
        <v>4</v>
      </c>
      <c r="H52" s="150">
        <v>3</v>
      </c>
      <c r="I52" s="96">
        <v>13</v>
      </c>
      <c r="J52" s="103">
        <v>320</v>
      </c>
      <c r="K52" s="312">
        <v>104</v>
      </c>
      <c r="L52" s="103">
        <v>382</v>
      </c>
      <c r="M52" s="312">
        <v>117</v>
      </c>
      <c r="N52" s="103">
        <v>362</v>
      </c>
      <c r="O52" s="312">
        <v>113</v>
      </c>
      <c r="P52" s="266">
        <f>+J52+L52+N52</f>
        <v>1064</v>
      </c>
      <c r="Q52" s="184">
        <f>+K52+M52+O52</f>
        <v>334</v>
      </c>
      <c r="R52" s="75">
        <f>IF(P52&lt;&gt;0,Q52/H52,"")</f>
        <v>111.33333333333333</v>
      </c>
      <c r="S52" s="127">
        <f>IF(P52&lt;&gt;0,P52/Q52,"")</f>
        <v>3.18562874251497</v>
      </c>
      <c r="T52" s="299">
        <v>1844.5</v>
      </c>
      <c r="U52" s="110">
        <f t="shared" si="0"/>
        <v>-0.42314990512333966</v>
      </c>
      <c r="V52" s="299">
        <v>48123.5</v>
      </c>
      <c r="W52" s="80">
        <v>8495</v>
      </c>
      <c r="X52" s="209">
        <f>V52/W52</f>
        <v>5.664920541494997</v>
      </c>
      <c r="Y52" s="153"/>
    </row>
    <row r="53" spans="1:30" s="155" customFormat="1" ht="20.25" customHeight="1">
      <c r="A53" s="161">
        <v>47</v>
      </c>
      <c r="B53" s="179"/>
      <c r="C53" s="200" t="s">
        <v>62</v>
      </c>
      <c r="D53" s="292">
        <v>38765</v>
      </c>
      <c r="E53" s="293" t="s">
        <v>77</v>
      </c>
      <c r="F53" s="293" t="s">
        <v>163</v>
      </c>
      <c r="G53" s="296">
        <v>164</v>
      </c>
      <c r="H53" s="296">
        <v>5</v>
      </c>
      <c r="I53" s="131">
        <v>12</v>
      </c>
      <c r="J53" s="310">
        <v>132</v>
      </c>
      <c r="K53" s="311">
        <v>32</v>
      </c>
      <c r="L53" s="310">
        <v>488</v>
      </c>
      <c r="M53" s="311">
        <v>116</v>
      </c>
      <c r="N53" s="310">
        <v>417</v>
      </c>
      <c r="O53" s="311">
        <v>102</v>
      </c>
      <c r="P53" s="266">
        <f>+J53+L53+N53</f>
        <v>1037</v>
      </c>
      <c r="Q53" s="184">
        <f>+K53+M53+O53</f>
        <v>250</v>
      </c>
      <c r="R53" s="75">
        <f>IF(P53&lt;&gt;0,Q53/H53,"")</f>
        <v>50</v>
      </c>
      <c r="S53" s="127">
        <f>IF(P53&lt;&gt;0,P53/Q53,"")</f>
        <v>4.148</v>
      </c>
      <c r="T53" s="297">
        <v>1016</v>
      </c>
      <c r="U53" s="110">
        <f t="shared" si="0"/>
        <v>0.02066929133858268</v>
      </c>
      <c r="V53" s="297">
        <v>4207169.5</v>
      </c>
      <c r="W53" s="298">
        <v>640444</v>
      </c>
      <c r="X53" s="209">
        <f>V53/W53</f>
        <v>6.569144999406662</v>
      </c>
      <c r="Y53" s="153"/>
      <c r="Z53" s="153"/>
      <c r="AA53" s="159"/>
      <c r="AB53" s="159"/>
      <c r="AC53" s="159"/>
      <c r="AD53" s="159"/>
    </row>
    <row r="54" spans="1:30" s="155" customFormat="1" ht="20.25" customHeight="1">
      <c r="A54" s="161">
        <v>48</v>
      </c>
      <c r="B54" s="179"/>
      <c r="C54" s="200" t="s">
        <v>270</v>
      </c>
      <c r="D54" s="292">
        <v>38653</v>
      </c>
      <c r="E54" s="293" t="s">
        <v>81</v>
      </c>
      <c r="F54" s="200" t="s">
        <v>271</v>
      </c>
      <c r="G54" s="296">
        <v>3</v>
      </c>
      <c r="H54" s="296">
        <v>1</v>
      </c>
      <c r="I54" s="131">
        <v>14</v>
      </c>
      <c r="J54" s="310">
        <v>204</v>
      </c>
      <c r="K54" s="311">
        <v>68</v>
      </c>
      <c r="L54" s="310">
        <v>375</v>
      </c>
      <c r="M54" s="311">
        <v>125</v>
      </c>
      <c r="N54" s="310">
        <v>450</v>
      </c>
      <c r="O54" s="311">
        <v>150</v>
      </c>
      <c r="P54" s="267">
        <f>+N54+L54+J54</f>
        <v>1029</v>
      </c>
      <c r="Q54" s="255">
        <f>+O54+M54+K54</f>
        <v>343</v>
      </c>
      <c r="R54" s="157">
        <f>Q54/H54</f>
        <v>343</v>
      </c>
      <c r="S54" s="274">
        <f>P54/Q54</f>
        <v>3</v>
      </c>
      <c r="T54" s="297"/>
      <c r="U54" s="110">
        <f t="shared" si="0"/>
      </c>
      <c r="V54" s="297">
        <v>45315</v>
      </c>
      <c r="W54" s="298">
        <v>6920</v>
      </c>
      <c r="X54" s="251">
        <f>+V54/W54</f>
        <v>6.548410404624278</v>
      </c>
      <c r="Y54" s="153"/>
      <c r="Z54" s="153"/>
      <c r="AA54" s="159"/>
      <c r="AB54" s="159"/>
      <c r="AC54" s="159"/>
      <c r="AD54" s="159"/>
    </row>
    <row r="55" spans="1:30" s="155" customFormat="1" ht="20.25" customHeight="1">
      <c r="A55" s="161">
        <v>49</v>
      </c>
      <c r="B55" s="179"/>
      <c r="C55" s="200" t="s">
        <v>127</v>
      </c>
      <c r="D55" s="294">
        <v>38786</v>
      </c>
      <c r="E55" s="199" t="s">
        <v>94</v>
      </c>
      <c r="F55" s="200" t="s">
        <v>272</v>
      </c>
      <c r="G55" s="150">
        <v>6</v>
      </c>
      <c r="H55" s="150">
        <v>1</v>
      </c>
      <c r="I55" s="96">
        <v>4</v>
      </c>
      <c r="J55" s="103">
        <v>300</v>
      </c>
      <c r="K55" s="312">
        <v>100</v>
      </c>
      <c r="L55" s="103">
        <v>300</v>
      </c>
      <c r="M55" s="312">
        <v>100</v>
      </c>
      <c r="N55" s="103">
        <v>300</v>
      </c>
      <c r="O55" s="312">
        <v>100</v>
      </c>
      <c r="P55" s="266">
        <f aca="true" t="shared" si="7" ref="P55:Q64">+J55+L55+N55</f>
        <v>900</v>
      </c>
      <c r="Q55" s="184">
        <f t="shared" si="7"/>
        <v>300</v>
      </c>
      <c r="R55" s="75">
        <f aca="true" t="shared" si="8" ref="R55:R64">IF(P55&lt;&gt;0,Q55/H55,"")</f>
        <v>300</v>
      </c>
      <c r="S55" s="127">
        <f aca="true" t="shared" si="9" ref="S55:S64">IF(P55&lt;&gt;0,P55/Q55,"")</f>
        <v>3</v>
      </c>
      <c r="T55" s="299"/>
      <c r="U55" s="110">
        <f t="shared" si="0"/>
      </c>
      <c r="V55" s="299">
        <v>12622.5</v>
      </c>
      <c r="W55" s="80">
        <v>1640</v>
      </c>
      <c r="X55" s="209">
        <f>V55/W55</f>
        <v>7.696646341463414</v>
      </c>
      <c r="Y55" s="153"/>
      <c r="Z55" s="153"/>
      <c r="AA55" s="159"/>
      <c r="AB55" s="159"/>
      <c r="AC55" s="159"/>
      <c r="AD55" s="159"/>
    </row>
    <row r="56" spans="1:30" s="155" customFormat="1" ht="20.25" customHeight="1">
      <c r="A56" s="161">
        <v>50</v>
      </c>
      <c r="B56" s="179"/>
      <c r="C56" s="71" t="s">
        <v>110</v>
      </c>
      <c r="D56" s="197">
        <v>38667</v>
      </c>
      <c r="E56" s="197" t="s">
        <v>76</v>
      </c>
      <c r="F56" s="71" t="s">
        <v>79</v>
      </c>
      <c r="G56" s="136">
        <v>1</v>
      </c>
      <c r="H56" s="136">
        <v>1</v>
      </c>
      <c r="I56" s="94">
        <v>17</v>
      </c>
      <c r="J56" s="101">
        <v>290</v>
      </c>
      <c r="K56" s="126">
        <v>58</v>
      </c>
      <c r="L56" s="101">
        <v>290</v>
      </c>
      <c r="M56" s="126">
        <v>58</v>
      </c>
      <c r="N56" s="101">
        <v>290</v>
      </c>
      <c r="O56" s="126">
        <v>58</v>
      </c>
      <c r="P56" s="266">
        <f t="shared" si="7"/>
        <v>870</v>
      </c>
      <c r="Q56" s="184">
        <f t="shared" si="7"/>
        <v>174</v>
      </c>
      <c r="R56" s="75">
        <f t="shared" si="8"/>
        <v>174</v>
      </c>
      <c r="S56" s="127">
        <f t="shared" si="9"/>
        <v>5</v>
      </c>
      <c r="T56" s="295">
        <v>870</v>
      </c>
      <c r="U56" s="110">
        <f t="shared" si="0"/>
        <v>0</v>
      </c>
      <c r="V56" s="295">
        <v>32771</v>
      </c>
      <c r="W56" s="74">
        <v>5765</v>
      </c>
      <c r="X56" s="209">
        <f>V56/W56</f>
        <v>5.6844752818733735</v>
      </c>
      <c r="Y56" s="153"/>
      <c r="Z56" s="153"/>
      <c r="AA56" s="159"/>
      <c r="AB56" s="159"/>
      <c r="AC56" s="159"/>
      <c r="AD56" s="159"/>
    </row>
    <row r="57" spans="1:30" s="155" customFormat="1" ht="20.25" customHeight="1">
      <c r="A57" s="161">
        <v>51</v>
      </c>
      <c r="B57" s="179"/>
      <c r="C57" s="71" t="s">
        <v>217</v>
      </c>
      <c r="D57" s="197">
        <v>38786</v>
      </c>
      <c r="E57" s="71" t="s">
        <v>80</v>
      </c>
      <c r="F57" s="71" t="s">
        <v>172</v>
      </c>
      <c r="G57" s="136">
        <v>63</v>
      </c>
      <c r="H57" s="136">
        <v>2</v>
      </c>
      <c r="I57" s="94">
        <v>9</v>
      </c>
      <c r="J57" s="101">
        <v>193</v>
      </c>
      <c r="K57" s="126">
        <v>57</v>
      </c>
      <c r="L57" s="101">
        <v>366</v>
      </c>
      <c r="M57" s="126">
        <v>89</v>
      </c>
      <c r="N57" s="101">
        <v>277</v>
      </c>
      <c r="O57" s="126">
        <v>72</v>
      </c>
      <c r="P57" s="266">
        <f t="shared" si="7"/>
        <v>836</v>
      </c>
      <c r="Q57" s="184">
        <f t="shared" si="7"/>
        <v>218</v>
      </c>
      <c r="R57" s="75">
        <f t="shared" si="8"/>
        <v>109</v>
      </c>
      <c r="S57" s="127">
        <f t="shared" si="9"/>
        <v>3.834862385321101</v>
      </c>
      <c r="T57" s="301">
        <v>526</v>
      </c>
      <c r="U57" s="110">
        <f t="shared" si="0"/>
        <v>0.5893536121673004</v>
      </c>
      <c r="V57" s="295">
        <v>503929</v>
      </c>
      <c r="W57" s="74">
        <v>63059</v>
      </c>
      <c r="X57" s="209">
        <f>V57/W57</f>
        <v>7.991389016635215</v>
      </c>
      <c r="Y57" s="153"/>
      <c r="Z57" s="153"/>
      <c r="AA57" s="159"/>
      <c r="AB57" s="159"/>
      <c r="AC57" s="159"/>
      <c r="AD57" s="159"/>
    </row>
    <row r="58" spans="1:30" s="155" customFormat="1" ht="20.25" customHeight="1">
      <c r="A58" s="161">
        <v>52</v>
      </c>
      <c r="B58" s="179"/>
      <c r="C58" s="200" t="s">
        <v>73</v>
      </c>
      <c r="D58" s="292">
        <v>38786</v>
      </c>
      <c r="E58" s="293" t="s">
        <v>81</v>
      </c>
      <c r="F58" s="293" t="s">
        <v>173</v>
      </c>
      <c r="G58" s="296">
        <v>4</v>
      </c>
      <c r="H58" s="296">
        <v>2</v>
      </c>
      <c r="I58" s="131">
        <v>10</v>
      </c>
      <c r="J58" s="310">
        <v>222</v>
      </c>
      <c r="K58" s="311">
        <v>74</v>
      </c>
      <c r="L58" s="310">
        <v>300</v>
      </c>
      <c r="M58" s="311">
        <v>100</v>
      </c>
      <c r="N58" s="310">
        <v>290</v>
      </c>
      <c r="O58" s="311">
        <v>95</v>
      </c>
      <c r="P58" s="266">
        <f t="shared" si="7"/>
        <v>812</v>
      </c>
      <c r="Q58" s="184">
        <f t="shared" si="7"/>
        <v>269</v>
      </c>
      <c r="R58" s="75">
        <f t="shared" si="8"/>
        <v>134.5</v>
      </c>
      <c r="S58" s="127">
        <f t="shared" si="9"/>
        <v>3.0185873605947955</v>
      </c>
      <c r="T58" s="297">
        <v>514</v>
      </c>
      <c r="U58" s="110"/>
      <c r="V58" s="297">
        <v>49908</v>
      </c>
      <c r="W58" s="298">
        <v>6190</v>
      </c>
      <c r="X58" s="209">
        <f>V58/W58</f>
        <v>8.062681744749597</v>
      </c>
      <c r="Y58" s="153"/>
      <c r="Z58" s="153"/>
      <c r="AA58" s="159"/>
      <c r="AB58" s="159"/>
      <c r="AC58" s="159"/>
      <c r="AD58" s="159"/>
    </row>
    <row r="59" spans="1:30" s="155" customFormat="1" ht="20.25" customHeight="1">
      <c r="A59" s="161">
        <v>53</v>
      </c>
      <c r="B59" s="179"/>
      <c r="C59" s="71" t="s">
        <v>120</v>
      </c>
      <c r="D59" s="197">
        <v>38800</v>
      </c>
      <c r="E59" s="197" t="s">
        <v>76</v>
      </c>
      <c r="F59" s="71" t="s">
        <v>161</v>
      </c>
      <c r="G59" s="136">
        <v>12</v>
      </c>
      <c r="H59" s="136">
        <v>3</v>
      </c>
      <c r="I59" s="94">
        <v>7</v>
      </c>
      <c r="J59" s="101">
        <v>196</v>
      </c>
      <c r="K59" s="126">
        <v>36</v>
      </c>
      <c r="L59" s="101">
        <v>331</v>
      </c>
      <c r="M59" s="126">
        <v>61</v>
      </c>
      <c r="N59" s="101">
        <v>211</v>
      </c>
      <c r="O59" s="126">
        <v>41</v>
      </c>
      <c r="P59" s="266">
        <f t="shared" si="7"/>
        <v>738</v>
      </c>
      <c r="Q59" s="184">
        <f t="shared" si="7"/>
        <v>138</v>
      </c>
      <c r="R59" s="75">
        <f t="shared" si="8"/>
        <v>46</v>
      </c>
      <c r="S59" s="127">
        <f t="shared" si="9"/>
        <v>5.3478260869565215</v>
      </c>
      <c r="T59" s="295">
        <v>1765</v>
      </c>
      <c r="U59" s="110">
        <f t="shared" si="0"/>
        <v>-0.5818696883852691</v>
      </c>
      <c r="V59" s="295">
        <v>169128.5</v>
      </c>
      <c r="W59" s="74">
        <v>19025</v>
      </c>
      <c r="X59" s="209">
        <f>IF(V59&lt;&gt;0,V59/W59,"")</f>
        <v>8.889802890932982</v>
      </c>
      <c r="Y59" s="153"/>
      <c r="Z59" s="153"/>
      <c r="AA59" s="159"/>
      <c r="AB59" s="159"/>
      <c r="AC59" s="159"/>
      <c r="AD59" s="159"/>
    </row>
    <row r="60" spans="1:30" s="155" customFormat="1" ht="20.25" customHeight="1">
      <c r="A60" s="161">
        <v>54</v>
      </c>
      <c r="B60" s="179"/>
      <c r="C60" s="71" t="s">
        <v>140</v>
      </c>
      <c r="D60" s="197">
        <v>38793</v>
      </c>
      <c r="E60" s="71" t="s">
        <v>150</v>
      </c>
      <c r="F60" s="71" t="s">
        <v>178</v>
      </c>
      <c r="G60" s="136">
        <v>2</v>
      </c>
      <c r="H60" s="136">
        <v>1</v>
      </c>
      <c r="I60" s="94">
        <v>7</v>
      </c>
      <c r="J60" s="101">
        <v>113</v>
      </c>
      <c r="K60" s="126">
        <v>17</v>
      </c>
      <c r="L60" s="101">
        <v>250</v>
      </c>
      <c r="M60" s="126">
        <v>35</v>
      </c>
      <c r="N60" s="101">
        <v>350</v>
      </c>
      <c r="O60" s="126">
        <v>51</v>
      </c>
      <c r="P60" s="266">
        <f t="shared" si="7"/>
        <v>713</v>
      </c>
      <c r="Q60" s="184">
        <f t="shared" si="7"/>
        <v>103</v>
      </c>
      <c r="R60" s="75">
        <f t="shared" si="8"/>
        <v>103</v>
      </c>
      <c r="S60" s="127">
        <f t="shared" si="9"/>
        <v>6.922330097087379</v>
      </c>
      <c r="T60" s="295">
        <v>737.5</v>
      </c>
      <c r="U60" s="110">
        <f t="shared" si="0"/>
        <v>-0.033220338983050844</v>
      </c>
      <c r="V60" s="301">
        <f>21147.5+3690+1708+783+1453+1727.5+713</f>
        <v>31222</v>
      </c>
      <c r="W60" s="80">
        <f>2248+452+253+99+248+260+103</f>
        <v>3663</v>
      </c>
      <c r="X60" s="209">
        <f>IF(V60&lt;&gt;0,V60/W60,"")</f>
        <v>8.523614523614524</v>
      </c>
      <c r="Y60" s="153"/>
      <c r="Z60" s="153"/>
      <c r="AA60" s="159"/>
      <c r="AB60" s="159"/>
      <c r="AC60" s="159"/>
      <c r="AD60" s="159"/>
    </row>
    <row r="61" spans="1:30" s="155" customFormat="1" ht="20.25" customHeight="1">
      <c r="A61" s="161">
        <v>55</v>
      </c>
      <c r="B61" s="179"/>
      <c r="C61" s="200" t="s">
        <v>273</v>
      </c>
      <c r="D61" s="292">
        <v>38723</v>
      </c>
      <c r="E61" s="293" t="s">
        <v>77</v>
      </c>
      <c r="F61" s="293" t="s">
        <v>187</v>
      </c>
      <c r="G61" s="296">
        <v>199</v>
      </c>
      <c r="H61" s="296">
        <v>1</v>
      </c>
      <c r="I61" s="131">
        <v>18</v>
      </c>
      <c r="J61" s="310">
        <v>169</v>
      </c>
      <c r="K61" s="311">
        <v>44</v>
      </c>
      <c r="L61" s="310">
        <v>314</v>
      </c>
      <c r="M61" s="311">
        <v>82</v>
      </c>
      <c r="N61" s="310">
        <v>223</v>
      </c>
      <c r="O61" s="311">
        <v>59</v>
      </c>
      <c r="P61" s="266">
        <f t="shared" si="7"/>
        <v>706</v>
      </c>
      <c r="Q61" s="184">
        <f t="shared" si="7"/>
        <v>185</v>
      </c>
      <c r="R61" s="75">
        <f t="shared" si="8"/>
        <v>185</v>
      </c>
      <c r="S61" s="127">
        <f t="shared" si="9"/>
        <v>3.8162162162162163</v>
      </c>
      <c r="T61" s="297">
        <v>911</v>
      </c>
      <c r="U61" s="110">
        <f t="shared" si="0"/>
        <v>-0.22502744237102085</v>
      </c>
      <c r="V61" s="297">
        <v>6508168.1</v>
      </c>
      <c r="W61" s="298">
        <v>994820</v>
      </c>
      <c r="X61" s="209">
        <f>V61/W61</f>
        <v>6.542055949820067</v>
      </c>
      <c r="Y61" s="153"/>
      <c r="Z61" s="153"/>
      <c r="AA61" s="159"/>
      <c r="AB61" s="159"/>
      <c r="AC61" s="159"/>
      <c r="AD61" s="159"/>
    </row>
    <row r="62" spans="1:30" s="155" customFormat="1" ht="20.25" customHeight="1">
      <c r="A62" s="161">
        <v>56</v>
      </c>
      <c r="B62" s="179"/>
      <c r="C62" s="71" t="s">
        <v>83</v>
      </c>
      <c r="D62" s="197">
        <v>38758</v>
      </c>
      <c r="E62" s="197" t="s">
        <v>76</v>
      </c>
      <c r="F62" s="71" t="s">
        <v>161</v>
      </c>
      <c r="G62" s="136">
        <v>61</v>
      </c>
      <c r="H62" s="136">
        <v>1</v>
      </c>
      <c r="I62" s="94">
        <v>13</v>
      </c>
      <c r="J62" s="101">
        <v>98</v>
      </c>
      <c r="K62" s="126">
        <v>29</v>
      </c>
      <c r="L62" s="101">
        <v>234</v>
      </c>
      <c r="M62" s="126">
        <v>72</v>
      </c>
      <c r="N62" s="101">
        <v>299</v>
      </c>
      <c r="O62" s="126">
        <v>87</v>
      </c>
      <c r="P62" s="266">
        <f t="shared" si="7"/>
        <v>631</v>
      </c>
      <c r="Q62" s="184">
        <f t="shared" si="7"/>
        <v>188</v>
      </c>
      <c r="R62" s="75">
        <f t="shared" si="8"/>
        <v>188</v>
      </c>
      <c r="S62" s="127">
        <f t="shared" si="9"/>
        <v>3.356382978723404</v>
      </c>
      <c r="T62" s="295">
        <v>1013.5</v>
      </c>
      <c r="U62" s="110">
        <f t="shared" si="0"/>
        <v>-0.37740503206709425</v>
      </c>
      <c r="V62" s="295">
        <v>1290335</v>
      </c>
      <c r="W62" s="74">
        <v>157978</v>
      </c>
      <c r="X62" s="209">
        <f>V62/W62</f>
        <v>8.167814505817265</v>
      </c>
      <c r="Y62" s="153"/>
      <c r="Z62" s="153"/>
      <c r="AA62" s="159"/>
      <c r="AB62" s="159"/>
      <c r="AC62" s="159"/>
      <c r="AD62" s="159"/>
    </row>
    <row r="63" spans="1:30" s="155" customFormat="1" ht="20.25" customHeight="1">
      <c r="A63" s="161">
        <v>57</v>
      </c>
      <c r="B63" s="179"/>
      <c r="C63" s="200" t="s">
        <v>125</v>
      </c>
      <c r="D63" s="294">
        <v>38751</v>
      </c>
      <c r="E63" s="199" t="s">
        <v>94</v>
      </c>
      <c r="F63" s="200" t="s">
        <v>189</v>
      </c>
      <c r="G63" s="150">
        <v>1</v>
      </c>
      <c r="H63" s="150">
        <v>1</v>
      </c>
      <c r="I63" s="96">
        <v>9</v>
      </c>
      <c r="J63" s="103">
        <v>210</v>
      </c>
      <c r="K63" s="312">
        <v>70</v>
      </c>
      <c r="L63" s="103">
        <v>210</v>
      </c>
      <c r="M63" s="312">
        <v>70</v>
      </c>
      <c r="N63" s="103">
        <v>210</v>
      </c>
      <c r="O63" s="312">
        <v>70</v>
      </c>
      <c r="P63" s="266">
        <f t="shared" si="7"/>
        <v>630</v>
      </c>
      <c r="Q63" s="184">
        <f t="shared" si="7"/>
        <v>210</v>
      </c>
      <c r="R63" s="75">
        <f t="shared" si="8"/>
        <v>210</v>
      </c>
      <c r="S63" s="127">
        <f t="shared" si="9"/>
        <v>3</v>
      </c>
      <c r="T63" s="299"/>
      <c r="U63" s="110">
        <f t="shared" si="0"/>
      </c>
      <c r="V63" s="299">
        <v>24356</v>
      </c>
      <c r="W63" s="80">
        <v>3285</v>
      </c>
      <c r="X63" s="209">
        <f>V63/W63</f>
        <v>7.414307458143075</v>
      </c>
      <c r="Y63" s="153"/>
      <c r="Z63" s="153"/>
      <c r="AA63" s="159"/>
      <c r="AB63" s="159"/>
      <c r="AC63" s="159"/>
      <c r="AD63" s="159"/>
    </row>
    <row r="64" spans="1:30" s="155" customFormat="1" ht="20.25" customHeight="1">
      <c r="A64" s="161">
        <v>58</v>
      </c>
      <c r="B64" s="179"/>
      <c r="C64" s="71" t="s">
        <v>114</v>
      </c>
      <c r="D64" s="197">
        <v>38702</v>
      </c>
      <c r="E64" s="71" t="s">
        <v>95</v>
      </c>
      <c r="F64" s="71" t="s">
        <v>274</v>
      </c>
      <c r="G64" s="136">
        <v>10</v>
      </c>
      <c r="H64" s="136">
        <v>3</v>
      </c>
      <c r="I64" s="94">
        <v>14</v>
      </c>
      <c r="J64" s="101">
        <v>118</v>
      </c>
      <c r="K64" s="126">
        <v>23</v>
      </c>
      <c r="L64" s="101">
        <v>195</v>
      </c>
      <c r="M64" s="126">
        <v>44</v>
      </c>
      <c r="N64" s="101">
        <v>313.5</v>
      </c>
      <c r="O64" s="126">
        <v>68</v>
      </c>
      <c r="P64" s="266">
        <f t="shared" si="7"/>
        <v>626.5</v>
      </c>
      <c r="Q64" s="184">
        <f t="shared" si="7"/>
        <v>135</v>
      </c>
      <c r="R64" s="75">
        <f t="shared" si="8"/>
        <v>45</v>
      </c>
      <c r="S64" s="127">
        <f t="shared" si="9"/>
        <v>4.640740740740741</v>
      </c>
      <c r="T64" s="302">
        <v>725</v>
      </c>
      <c r="U64" s="110">
        <f t="shared" si="0"/>
        <v>-0.13586206896551725</v>
      </c>
      <c r="V64" s="301">
        <v>136007.5</v>
      </c>
      <c r="W64" s="80">
        <v>15843</v>
      </c>
      <c r="X64" s="209">
        <f>IF(V64&lt;&gt;0,V64/W64,"")</f>
        <v>8.584706179385217</v>
      </c>
      <c r="Y64" s="153"/>
      <c r="Z64" s="153"/>
      <c r="AA64" s="159"/>
      <c r="AB64" s="159"/>
      <c r="AC64" s="159"/>
      <c r="AD64" s="159"/>
    </row>
    <row r="65" spans="1:30" s="155" customFormat="1" ht="20.25" customHeight="1">
      <c r="A65" s="161">
        <v>59</v>
      </c>
      <c r="B65" s="179"/>
      <c r="C65" s="71" t="s">
        <v>112</v>
      </c>
      <c r="D65" s="197">
        <v>38667</v>
      </c>
      <c r="E65" s="197" t="s">
        <v>76</v>
      </c>
      <c r="F65" s="71" t="s">
        <v>177</v>
      </c>
      <c r="G65" s="136">
        <v>76</v>
      </c>
      <c r="H65" s="136">
        <v>1</v>
      </c>
      <c r="I65" s="94">
        <v>18</v>
      </c>
      <c r="J65" s="101">
        <v>205</v>
      </c>
      <c r="K65" s="126">
        <v>41</v>
      </c>
      <c r="L65" s="101">
        <v>205</v>
      </c>
      <c r="M65" s="126">
        <v>41</v>
      </c>
      <c r="N65" s="101">
        <v>205</v>
      </c>
      <c r="O65" s="126">
        <v>41</v>
      </c>
      <c r="P65" s="266">
        <f>+J65+L65+N65</f>
        <v>615</v>
      </c>
      <c r="Q65" s="184">
        <f>+K65+M65+O65</f>
        <v>123</v>
      </c>
      <c r="R65" s="75">
        <f>IF(P65&lt;&gt;0,Q65/H65,"")</f>
        <v>123</v>
      </c>
      <c r="S65" s="127">
        <f>IF(P65&lt;&gt;0,P65/Q65,"")</f>
        <v>5</v>
      </c>
      <c r="T65" s="295">
        <v>615</v>
      </c>
      <c r="U65" s="110">
        <f aca="true" t="shared" si="10" ref="U65:U72">IF(T65&lt;&gt;0,-(T65-P65)/T65,"")</f>
        <v>0</v>
      </c>
      <c r="V65" s="295">
        <v>2497379.5</v>
      </c>
      <c r="W65" s="74">
        <v>382146</v>
      </c>
      <c r="X65" s="209">
        <f aca="true" t="shared" si="11" ref="X65:X71">V65/W65</f>
        <v>6.535144944602325</v>
      </c>
      <c r="Y65" s="153"/>
      <c r="Z65" s="153"/>
      <c r="AA65" s="159"/>
      <c r="AB65" s="159"/>
      <c r="AC65" s="159"/>
      <c r="AD65" s="159"/>
    </row>
    <row r="66" spans="1:30" s="155" customFormat="1" ht="20.25" customHeight="1">
      <c r="A66" s="161">
        <v>60</v>
      </c>
      <c r="B66" s="179"/>
      <c r="C66" s="71" t="s">
        <v>113</v>
      </c>
      <c r="D66" s="197">
        <v>38667</v>
      </c>
      <c r="E66" s="197" t="s">
        <v>76</v>
      </c>
      <c r="F66" s="71" t="s">
        <v>262</v>
      </c>
      <c r="G66" s="136">
        <v>51</v>
      </c>
      <c r="H66" s="136">
        <v>1</v>
      </c>
      <c r="I66" s="94">
        <v>24</v>
      </c>
      <c r="J66" s="101">
        <v>205</v>
      </c>
      <c r="K66" s="126">
        <v>41</v>
      </c>
      <c r="L66" s="101">
        <v>205</v>
      </c>
      <c r="M66" s="126">
        <v>41</v>
      </c>
      <c r="N66" s="101">
        <v>205</v>
      </c>
      <c r="O66" s="126">
        <v>41</v>
      </c>
      <c r="P66" s="268">
        <f>J66+L66+N66</f>
        <v>615</v>
      </c>
      <c r="Q66" s="183">
        <f>K66+M66+O66</f>
        <v>123</v>
      </c>
      <c r="R66" s="86">
        <f>Q66/H66</f>
        <v>123</v>
      </c>
      <c r="S66" s="226">
        <f>P66/Q66</f>
        <v>5</v>
      </c>
      <c r="T66" s="295">
        <v>615</v>
      </c>
      <c r="U66" s="110">
        <f t="shared" si="10"/>
        <v>0</v>
      </c>
      <c r="V66" s="295">
        <v>1002759.5</v>
      </c>
      <c r="W66" s="74">
        <v>141559</v>
      </c>
      <c r="X66" s="210">
        <f t="shared" si="11"/>
        <v>7.083685954266419</v>
      </c>
      <c r="Y66" s="153"/>
      <c r="Z66" s="153"/>
      <c r="AA66" s="159"/>
      <c r="AB66" s="159"/>
      <c r="AC66" s="159"/>
      <c r="AD66" s="159"/>
    </row>
    <row r="67" spans="1:30" s="155" customFormat="1" ht="20.25" customHeight="1">
      <c r="A67" s="161">
        <v>61</v>
      </c>
      <c r="B67" s="179"/>
      <c r="C67" s="71" t="s">
        <v>68</v>
      </c>
      <c r="D67" s="197">
        <v>38527</v>
      </c>
      <c r="E67" s="197" t="s">
        <v>76</v>
      </c>
      <c r="F67" s="71" t="s">
        <v>171</v>
      </c>
      <c r="G67" s="136">
        <v>43</v>
      </c>
      <c r="H67" s="136">
        <v>1</v>
      </c>
      <c r="I67" s="94">
        <v>30</v>
      </c>
      <c r="J67" s="101">
        <v>205</v>
      </c>
      <c r="K67" s="126">
        <v>41</v>
      </c>
      <c r="L67" s="101">
        <v>205</v>
      </c>
      <c r="M67" s="126">
        <v>41</v>
      </c>
      <c r="N67" s="101">
        <v>205</v>
      </c>
      <c r="O67" s="126">
        <v>41</v>
      </c>
      <c r="P67" s="267">
        <f>J67+L67+N67</f>
        <v>615</v>
      </c>
      <c r="Q67" s="255">
        <f>K67+M67+O67</f>
        <v>123</v>
      </c>
      <c r="R67" s="86">
        <f>Q67/H67</f>
        <v>123</v>
      </c>
      <c r="S67" s="226">
        <f>P67/Q67</f>
        <v>5</v>
      </c>
      <c r="T67" s="295">
        <v>615</v>
      </c>
      <c r="U67" s="110">
        <f t="shared" si="10"/>
        <v>0</v>
      </c>
      <c r="V67" s="295">
        <v>745379.5</v>
      </c>
      <c r="W67" s="74">
        <v>95227</v>
      </c>
      <c r="X67" s="210">
        <f t="shared" si="11"/>
        <v>7.827396641708759</v>
      </c>
      <c r="Y67" s="153"/>
      <c r="Z67" s="153"/>
      <c r="AA67" s="159"/>
      <c r="AB67" s="159"/>
      <c r="AC67" s="159"/>
      <c r="AD67" s="159"/>
    </row>
    <row r="68" spans="1:30" s="155" customFormat="1" ht="20.25" customHeight="1">
      <c r="A68" s="161">
        <v>62</v>
      </c>
      <c r="B68" s="179"/>
      <c r="C68" s="200" t="s">
        <v>88</v>
      </c>
      <c r="D68" s="292">
        <v>38709</v>
      </c>
      <c r="E68" s="293" t="s">
        <v>77</v>
      </c>
      <c r="F68" s="293" t="s">
        <v>170</v>
      </c>
      <c r="G68" s="296">
        <v>233</v>
      </c>
      <c r="H68" s="296">
        <v>1</v>
      </c>
      <c r="I68" s="131">
        <v>19</v>
      </c>
      <c r="J68" s="310">
        <v>166</v>
      </c>
      <c r="K68" s="311">
        <v>51</v>
      </c>
      <c r="L68" s="310">
        <v>115</v>
      </c>
      <c r="M68" s="311">
        <v>35</v>
      </c>
      <c r="N68" s="310">
        <v>265</v>
      </c>
      <c r="O68" s="311">
        <v>80</v>
      </c>
      <c r="P68" s="266">
        <f aca="true" t="shared" si="12" ref="P68:Q70">+J68+L68+N68</f>
        <v>546</v>
      </c>
      <c r="Q68" s="184">
        <f t="shared" si="12"/>
        <v>166</v>
      </c>
      <c r="R68" s="75">
        <f>IF(P68&lt;&gt;0,Q68/H68,"")</f>
        <v>166</v>
      </c>
      <c r="S68" s="127">
        <f>IF(P68&lt;&gt;0,P68/Q68,"")</f>
        <v>3.289156626506024</v>
      </c>
      <c r="T68" s="297"/>
      <c r="U68" s="110">
        <f t="shared" si="10"/>
      </c>
      <c r="V68" s="297">
        <v>17066652.5</v>
      </c>
      <c r="W68" s="298">
        <v>2571990</v>
      </c>
      <c r="X68" s="209">
        <f t="shared" si="11"/>
        <v>6.635582758875423</v>
      </c>
      <c r="Y68" s="153"/>
      <c r="Z68" s="153"/>
      <c r="AA68" s="159"/>
      <c r="AB68" s="159"/>
      <c r="AC68" s="159"/>
      <c r="AD68" s="159"/>
    </row>
    <row r="69" spans="1:30" s="155" customFormat="1" ht="20.25" customHeight="1">
      <c r="A69" s="161">
        <v>63</v>
      </c>
      <c r="B69" s="179"/>
      <c r="C69" s="71" t="s">
        <v>65</v>
      </c>
      <c r="D69" s="197">
        <v>38779</v>
      </c>
      <c r="E69" s="197" t="s">
        <v>76</v>
      </c>
      <c r="F69" s="71" t="s">
        <v>161</v>
      </c>
      <c r="G69" s="136">
        <v>96</v>
      </c>
      <c r="H69" s="136">
        <v>1</v>
      </c>
      <c r="I69" s="94">
        <v>8</v>
      </c>
      <c r="J69" s="101">
        <v>143</v>
      </c>
      <c r="K69" s="126">
        <v>23</v>
      </c>
      <c r="L69" s="101">
        <v>134</v>
      </c>
      <c r="M69" s="126">
        <v>24</v>
      </c>
      <c r="N69" s="101">
        <v>213</v>
      </c>
      <c r="O69" s="126">
        <v>35</v>
      </c>
      <c r="P69" s="266">
        <f t="shared" si="12"/>
        <v>490</v>
      </c>
      <c r="Q69" s="184">
        <f t="shared" si="12"/>
        <v>82</v>
      </c>
      <c r="R69" s="75">
        <f>IF(P69&lt;&gt;0,Q69/H69,"")</f>
        <v>82</v>
      </c>
      <c r="S69" s="127">
        <f>IF(P69&lt;&gt;0,P69/Q69,"")</f>
        <v>5.975609756097561</v>
      </c>
      <c r="T69" s="295">
        <v>760.5</v>
      </c>
      <c r="U69" s="110">
        <f t="shared" si="10"/>
        <v>-0.3556870479947403</v>
      </c>
      <c r="V69" s="295">
        <v>1087267</v>
      </c>
      <c r="W69" s="74">
        <v>143761</v>
      </c>
      <c r="X69" s="209">
        <f t="shared" si="11"/>
        <v>7.563017786465036</v>
      </c>
      <c r="Y69" s="153"/>
      <c r="Z69" s="153"/>
      <c r="AA69" s="159"/>
      <c r="AB69" s="159"/>
      <c r="AC69" s="159"/>
      <c r="AD69" s="159"/>
    </row>
    <row r="70" spans="1:30" s="155" customFormat="1" ht="20.25" customHeight="1">
      <c r="A70" s="161">
        <v>64</v>
      </c>
      <c r="B70" s="179"/>
      <c r="C70" s="200" t="s">
        <v>196</v>
      </c>
      <c r="D70" s="294">
        <v>38562</v>
      </c>
      <c r="E70" s="199" t="s">
        <v>94</v>
      </c>
      <c r="F70" s="200" t="s">
        <v>275</v>
      </c>
      <c r="G70" s="150">
        <v>17</v>
      </c>
      <c r="H70" s="150">
        <v>1</v>
      </c>
      <c r="I70" s="96">
        <v>18</v>
      </c>
      <c r="J70" s="103">
        <v>120</v>
      </c>
      <c r="K70" s="312">
        <v>40</v>
      </c>
      <c r="L70" s="103">
        <v>150</v>
      </c>
      <c r="M70" s="312">
        <v>50</v>
      </c>
      <c r="N70" s="103">
        <v>150</v>
      </c>
      <c r="O70" s="312">
        <v>50</v>
      </c>
      <c r="P70" s="266">
        <f t="shared" si="12"/>
        <v>420</v>
      </c>
      <c r="Q70" s="184">
        <f t="shared" si="12"/>
        <v>140</v>
      </c>
      <c r="R70" s="75">
        <f>IF(P70&lt;&gt;0,Q70/H70,"")</f>
        <v>140</v>
      </c>
      <c r="S70" s="127">
        <f>IF(P70&lt;&gt;0,P70/Q70,"")</f>
        <v>3</v>
      </c>
      <c r="T70" s="299"/>
      <c r="U70" s="110">
        <f t="shared" si="10"/>
      </c>
      <c r="V70" s="299">
        <v>126127</v>
      </c>
      <c r="W70" s="80">
        <v>19274</v>
      </c>
      <c r="X70" s="209">
        <f t="shared" si="11"/>
        <v>6.543893327799108</v>
      </c>
      <c r="Y70" s="153"/>
      <c r="Z70" s="153"/>
      <c r="AA70" s="159"/>
      <c r="AB70" s="159"/>
      <c r="AC70" s="159"/>
      <c r="AD70" s="159"/>
    </row>
    <row r="71" spans="1:30" s="155" customFormat="1" ht="20.25" customHeight="1">
      <c r="A71" s="161">
        <v>65</v>
      </c>
      <c r="B71" s="179"/>
      <c r="C71" s="200" t="s">
        <v>198</v>
      </c>
      <c r="D71" s="294">
        <v>38723</v>
      </c>
      <c r="E71" s="199" t="s">
        <v>94</v>
      </c>
      <c r="F71" s="200" t="s">
        <v>223</v>
      </c>
      <c r="G71" s="150">
        <v>3</v>
      </c>
      <c r="H71" s="150">
        <v>1</v>
      </c>
      <c r="I71" s="96">
        <v>13</v>
      </c>
      <c r="J71" s="103">
        <v>120</v>
      </c>
      <c r="K71" s="312">
        <v>40</v>
      </c>
      <c r="L71" s="103">
        <v>150</v>
      </c>
      <c r="M71" s="312">
        <v>50</v>
      </c>
      <c r="N71" s="103">
        <v>150</v>
      </c>
      <c r="O71" s="312">
        <v>50</v>
      </c>
      <c r="P71" s="267">
        <f>J71+L71+N71</f>
        <v>420</v>
      </c>
      <c r="Q71" s="255">
        <f>K71+M71+O71</f>
        <v>140</v>
      </c>
      <c r="R71" s="86">
        <f>Q71/H71</f>
        <v>140</v>
      </c>
      <c r="S71" s="226">
        <f>P71/Q71</f>
        <v>3</v>
      </c>
      <c r="T71" s="299"/>
      <c r="U71" s="110">
        <f t="shared" si="10"/>
      </c>
      <c r="V71" s="299">
        <v>57387.5</v>
      </c>
      <c r="W71" s="80">
        <v>8396</v>
      </c>
      <c r="X71" s="210">
        <f t="shared" si="11"/>
        <v>6.835100047641734</v>
      </c>
      <c r="Y71" s="153"/>
      <c r="Z71" s="153"/>
      <c r="AA71" s="159"/>
      <c r="AB71" s="159"/>
      <c r="AC71" s="159"/>
      <c r="AD71" s="159"/>
    </row>
    <row r="72" spans="1:30" s="155" customFormat="1" ht="20.25" customHeight="1">
      <c r="A72" s="161">
        <v>66</v>
      </c>
      <c r="B72" s="179"/>
      <c r="C72" s="200" t="s">
        <v>199</v>
      </c>
      <c r="D72" s="294">
        <v>38653</v>
      </c>
      <c r="E72" s="199" t="s">
        <v>94</v>
      </c>
      <c r="F72" s="200" t="s">
        <v>276</v>
      </c>
      <c r="G72" s="150">
        <v>3</v>
      </c>
      <c r="H72" s="150">
        <v>1</v>
      </c>
      <c r="I72" s="96">
        <v>14</v>
      </c>
      <c r="J72" s="103">
        <v>120</v>
      </c>
      <c r="K72" s="312">
        <v>40</v>
      </c>
      <c r="L72" s="103">
        <v>150</v>
      </c>
      <c r="M72" s="312">
        <v>50</v>
      </c>
      <c r="N72" s="103">
        <v>150</v>
      </c>
      <c r="O72" s="312">
        <v>50</v>
      </c>
      <c r="P72" s="266">
        <f aca="true" t="shared" si="13" ref="P72:Q74">+J72+L72+N72</f>
        <v>420</v>
      </c>
      <c r="Q72" s="184">
        <f t="shared" si="13"/>
        <v>140</v>
      </c>
      <c r="R72" s="75">
        <f>IF(P72&lt;&gt;0,Q72/H72,"")</f>
        <v>140</v>
      </c>
      <c r="S72" s="127">
        <f>IF(P72&lt;&gt;0,P72/Q72,"")</f>
        <v>3</v>
      </c>
      <c r="T72" s="299"/>
      <c r="U72" s="110">
        <f t="shared" si="10"/>
      </c>
      <c r="V72" s="299">
        <v>19704</v>
      </c>
      <c r="W72" s="80">
        <v>4345</v>
      </c>
      <c r="X72" s="209">
        <f>IF(V72&lt;&gt;0,V72/W72,"")</f>
        <v>4.534867663981588</v>
      </c>
      <c r="Y72" s="153"/>
      <c r="Z72" s="153"/>
      <c r="AA72" s="159"/>
      <c r="AB72" s="159"/>
      <c r="AC72" s="159"/>
      <c r="AD72" s="159"/>
    </row>
    <row r="73" spans="1:30" s="155" customFormat="1" ht="20.25" customHeight="1">
      <c r="A73" s="161">
        <v>67</v>
      </c>
      <c r="B73" s="179"/>
      <c r="C73" s="71" t="s">
        <v>91</v>
      </c>
      <c r="D73" s="197">
        <v>38695</v>
      </c>
      <c r="E73" s="71" t="s">
        <v>80</v>
      </c>
      <c r="F73" s="71" t="s">
        <v>152</v>
      </c>
      <c r="G73" s="136">
        <v>77</v>
      </c>
      <c r="H73" s="136">
        <v>2</v>
      </c>
      <c r="I73" s="94">
        <v>22</v>
      </c>
      <c r="J73" s="101">
        <v>47</v>
      </c>
      <c r="K73" s="126">
        <v>25</v>
      </c>
      <c r="L73" s="101">
        <v>153</v>
      </c>
      <c r="M73" s="126">
        <v>72</v>
      </c>
      <c r="N73" s="101">
        <v>174</v>
      </c>
      <c r="O73" s="126">
        <v>81</v>
      </c>
      <c r="P73" s="266">
        <f t="shared" si="13"/>
        <v>374</v>
      </c>
      <c r="Q73" s="184">
        <f t="shared" si="13"/>
        <v>178</v>
      </c>
      <c r="R73" s="75">
        <f>IF(P73&lt;&gt;0,Q73/H73,"")</f>
        <v>89</v>
      </c>
      <c r="S73" s="127">
        <f>IF(P73&lt;&gt;0,P73/Q73,"")</f>
        <v>2.101123595505618</v>
      </c>
      <c r="T73" s="301">
        <v>94</v>
      </c>
      <c r="U73" s="110">
        <f aca="true" t="shared" si="14" ref="U73:U84">IF(T73&lt;&gt;0,-(T73-P73)/T73,"")</f>
        <v>2.978723404255319</v>
      </c>
      <c r="V73" s="295">
        <v>1922095</v>
      </c>
      <c r="W73" s="74">
        <v>280865</v>
      </c>
      <c r="X73" s="209">
        <f aca="true" t="shared" si="15" ref="X73:X80">V73/W73</f>
        <v>6.843483524113008</v>
      </c>
      <c r="Y73" s="153"/>
      <c r="Z73" s="153"/>
      <c r="AA73" s="159"/>
      <c r="AB73" s="159"/>
      <c r="AC73" s="159"/>
      <c r="AD73" s="159"/>
    </row>
    <row r="74" spans="1:30" s="155" customFormat="1" ht="20.25" customHeight="1">
      <c r="A74" s="161">
        <v>68</v>
      </c>
      <c r="B74" s="179"/>
      <c r="C74" s="71" t="s">
        <v>72</v>
      </c>
      <c r="D74" s="197">
        <v>38779</v>
      </c>
      <c r="E74" s="71" t="s">
        <v>95</v>
      </c>
      <c r="F74" s="71" t="s">
        <v>251</v>
      </c>
      <c r="G74" s="136">
        <v>10</v>
      </c>
      <c r="H74" s="136">
        <v>1</v>
      </c>
      <c r="I74" s="94">
        <v>9</v>
      </c>
      <c r="J74" s="101">
        <v>94</v>
      </c>
      <c r="K74" s="126">
        <v>17</v>
      </c>
      <c r="L74" s="101">
        <v>185</v>
      </c>
      <c r="M74" s="126">
        <v>36</v>
      </c>
      <c r="N74" s="101">
        <v>91</v>
      </c>
      <c r="O74" s="126">
        <v>17</v>
      </c>
      <c r="P74" s="266">
        <f t="shared" si="13"/>
        <v>370</v>
      </c>
      <c r="Q74" s="184">
        <f t="shared" si="13"/>
        <v>70</v>
      </c>
      <c r="R74" s="75">
        <f>IF(P74&lt;&gt;0,Q74/H74,"")</f>
        <v>70</v>
      </c>
      <c r="S74" s="127">
        <f>IF(P74&lt;&gt;0,P74/Q74,"")</f>
        <v>5.285714285714286</v>
      </c>
      <c r="T74" s="302">
        <v>606</v>
      </c>
      <c r="U74" s="110">
        <f t="shared" si="14"/>
        <v>-0.38943894389438943</v>
      </c>
      <c r="V74" s="295">
        <v>94590</v>
      </c>
      <c r="W74" s="74">
        <v>11802</v>
      </c>
      <c r="X74" s="209">
        <f t="shared" si="15"/>
        <v>8.014743263853584</v>
      </c>
      <c r="Y74" s="153"/>
      <c r="Z74" s="153"/>
      <c r="AA74" s="159"/>
      <c r="AB74" s="159"/>
      <c r="AC74" s="159"/>
      <c r="AD74" s="159"/>
    </row>
    <row r="75" spans="1:30" s="155" customFormat="1" ht="20.25" customHeight="1">
      <c r="A75" s="161">
        <v>69</v>
      </c>
      <c r="B75" s="179"/>
      <c r="C75" s="200" t="s">
        <v>126</v>
      </c>
      <c r="D75" s="294">
        <v>38723</v>
      </c>
      <c r="E75" s="199" t="s">
        <v>94</v>
      </c>
      <c r="F75" s="200" t="s">
        <v>277</v>
      </c>
      <c r="G75" s="150">
        <v>5</v>
      </c>
      <c r="H75" s="150">
        <v>1</v>
      </c>
      <c r="I75" s="96">
        <v>8</v>
      </c>
      <c r="J75" s="103">
        <v>42</v>
      </c>
      <c r="K75" s="312">
        <v>8</v>
      </c>
      <c r="L75" s="103">
        <v>104</v>
      </c>
      <c r="M75" s="312">
        <v>20</v>
      </c>
      <c r="N75" s="103">
        <v>94</v>
      </c>
      <c r="O75" s="312">
        <v>18</v>
      </c>
      <c r="P75" s="268">
        <f>J75+L75+N75</f>
        <v>240</v>
      </c>
      <c r="Q75" s="183">
        <f>K75+M75+O75</f>
        <v>46</v>
      </c>
      <c r="R75" s="86">
        <f>Q75/H75</f>
        <v>46</v>
      </c>
      <c r="S75" s="226">
        <f>P75/Q75</f>
        <v>5.217391304347826</v>
      </c>
      <c r="T75" s="299"/>
      <c r="U75" s="110">
        <f t="shared" si="14"/>
      </c>
      <c r="V75" s="299">
        <v>12665</v>
      </c>
      <c r="W75" s="80">
        <v>1813</v>
      </c>
      <c r="X75" s="210">
        <f t="shared" si="15"/>
        <v>6.9856591285162715</v>
      </c>
      <c r="Y75" s="153"/>
      <c r="Z75" s="153"/>
      <c r="AA75" s="159"/>
      <c r="AB75" s="159"/>
      <c r="AC75" s="159"/>
      <c r="AD75" s="159"/>
    </row>
    <row r="76" spans="1:30" s="155" customFormat="1" ht="20.25" customHeight="1">
      <c r="A76" s="161">
        <v>70</v>
      </c>
      <c r="B76" s="179"/>
      <c r="C76" s="71" t="s">
        <v>70</v>
      </c>
      <c r="D76" s="197">
        <v>38765</v>
      </c>
      <c r="E76" s="197" t="s">
        <v>76</v>
      </c>
      <c r="F76" s="71" t="s">
        <v>81</v>
      </c>
      <c r="G76" s="136">
        <v>24</v>
      </c>
      <c r="H76" s="136">
        <v>2</v>
      </c>
      <c r="I76" s="94">
        <v>10</v>
      </c>
      <c r="J76" s="101">
        <v>30</v>
      </c>
      <c r="K76" s="126">
        <v>3</v>
      </c>
      <c r="L76" s="101">
        <v>60</v>
      </c>
      <c r="M76" s="126">
        <v>7</v>
      </c>
      <c r="N76" s="101">
        <v>104</v>
      </c>
      <c r="O76" s="126">
        <v>13</v>
      </c>
      <c r="P76" s="266">
        <f aca="true" t="shared" si="16" ref="P76:Q84">+J76+L76+N76</f>
        <v>194</v>
      </c>
      <c r="Q76" s="184">
        <f t="shared" si="16"/>
        <v>23</v>
      </c>
      <c r="R76" s="75">
        <f aca="true" t="shared" si="17" ref="R76:R84">IF(P76&lt;&gt;0,Q76/H76,"")</f>
        <v>11.5</v>
      </c>
      <c r="S76" s="127">
        <f aca="true" t="shared" si="18" ref="S76:S84">IF(P76&lt;&gt;0,P76/Q76,"")</f>
        <v>8.434782608695652</v>
      </c>
      <c r="T76" s="295">
        <v>4569</v>
      </c>
      <c r="U76" s="110">
        <f t="shared" si="14"/>
        <v>-0.9575399430947691</v>
      </c>
      <c r="V76" s="295">
        <v>725916</v>
      </c>
      <c r="W76" s="74">
        <v>82747</v>
      </c>
      <c r="X76" s="209">
        <f t="shared" si="15"/>
        <v>8.772716835655674</v>
      </c>
      <c r="Y76" s="153"/>
      <c r="Z76" s="153"/>
      <c r="AA76" s="159"/>
      <c r="AB76" s="159"/>
      <c r="AC76" s="159"/>
      <c r="AD76" s="159"/>
    </row>
    <row r="77" spans="1:30" s="155" customFormat="1" ht="20.25" customHeight="1">
      <c r="A77" s="161">
        <v>71</v>
      </c>
      <c r="B77" s="179"/>
      <c r="C77" s="71" t="s">
        <v>130</v>
      </c>
      <c r="D77" s="197">
        <v>38793</v>
      </c>
      <c r="E77" s="71" t="s">
        <v>150</v>
      </c>
      <c r="F77" s="71" t="s">
        <v>168</v>
      </c>
      <c r="G77" s="136">
        <v>71</v>
      </c>
      <c r="H77" s="136">
        <v>1</v>
      </c>
      <c r="I77" s="94">
        <v>8</v>
      </c>
      <c r="J77" s="101">
        <v>21.5</v>
      </c>
      <c r="K77" s="126">
        <v>7</v>
      </c>
      <c r="L77" s="101">
        <v>81.5</v>
      </c>
      <c r="M77" s="126">
        <v>27</v>
      </c>
      <c r="N77" s="101">
        <v>64</v>
      </c>
      <c r="O77" s="126">
        <v>21</v>
      </c>
      <c r="P77" s="266">
        <f aca="true" t="shared" si="19" ref="P77:Q79">+J77+L77+N77</f>
        <v>167</v>
      </c>
      <c r="Q77" s="184">
        <f t="shared" si="19"/>
        <v>55</v>
      </c>
      <c r="R77" s="75">
        <f>IF(P77&lt;&gt;0,Q77/H77,"")</f>
        <v>55</v>
      </c>
      <c r="S77" s="127">
        <f>IF(P77&lt;&gt;0,P77/Q77,"")</f>
        <v>3.036363636363636</v>
      </c>
      <c r="T77" s="295">
        <v>2566.5</v>
      </c>
      <c r="U77" s="110">
        <f t="shared" si="14"/>
        <v>-0.9349308396649133</v>
      </c>
      <c r="V77" s="301">
        <f>139188.5+65126.5+15320+6439+3617+3772+4116+167</f>
        <v>237746</v>
      </c>
      <c r="W77" s="80">
        <f>20151+10232+2945+1343+1021+739+717+55</f>
        <v>37203</v>
      </c>
      <c r="X77" s="209">
        <f t="shared" si="15"/>
        <v>6.390506141977798</v>
      </c>
      <c r="Y77" s="153"/>
      <c r="Z77" s="153"/>
      <c r="AA77" s="159"/>
      <c r="AB77" s="159"/>
      <c r="AC77" s="159"/>
      <c r="AD77" s="159"/>
    </row>
    <row r="78" spans="1:30" s="155" customFormat="1" ht="20.25" customHeight="1">
      <c r="A78" s="161">
        <v>72</v>
      </c>
      <c r="B78" s="179"/>
      <c r="C78" s="200" t="s">
        <v>197</v>
      </c>
      <c r="D78" s="294">
        <v>38520</v>
      </c>
      <c r="E78" s="199" t="s">
        <v>94</v>
      </c>
      <c r="F78" s="200" t="s">
        <v>219</v>
      </c>
      <c r="G78" s="150">
        <v>2</v>
      </c>
      <c r="H78" s="150">
        <v>1</v>
      </c>
      <c r="I78" s="96">
        <v>20</v>
      </c>
      <c r="J78" s="103">
        <v>33</v>
      </c>
      <c r="K78" s="312">
        <v>11</v>
      </c>
      <c r="L78" s="103">
        <v>30</v>
      </c>
      <c r="M78" s="312">
        <v>10</v>
      </c>
      <c r="N78" s="103">
        <v>72</v>
      </c>
      <c r="O78" s="312">
        <v>24</v>
      </c>
      <c r="P78" s="266">
        <f t="shared" si="19"/>
        <v>135</v>
      </c>
      <c r="Q78" s="184">
        <f t="shared" si="19"/>
        <v>45</v>
      </c>
      <c r="R78" s="75">
        <f>IF(P78&lt;&gt;0,Q78/H78,"")</f>
        <v>45</v>
      </c>
      <c r="S78" s="127">
        <f>IF(P78&lt;&gt;0,P78/Q78,"")</f>
        <v>3</v>
      </c>
      <c r="T78" s="299"/>
      <c r="U78" s="110">
        <f t="shared" si="14"/>
      </c>
      <c r="V78" s="299">
        <v>50843.5</v>
      </c>
      <c r="W78" s="80">
        <v>8682</v>
      </c>
      <c r="X78" s="209">
        <f t="shared" si="15"/>
        <v>5.856196728864317</v>
      </c>
      <c r="Y78" s="153"/>
      <c r="Z78" s="153"/>
      <c r="AA78" s="159"/>
      <c r="AB78" s="159"/>
      <c r="AC78" s="159"/>
      <c r="AD78" s="159"/>
    </row>
    <row r="79" spans="1:30" s="155" customFormat="1" ht="20.25" customHeight="1">
      <c r="A79" s="161">
        <v>73</v>
      </c>
      <c r="B79" s="179"/>
      <c r="C79" s="200" t="s">
        <v>278</v>
      </c>
      <c r="D79" s="294">
        <v>38499</v>
      </c>
      <c r="E79" s="199" t="s">
        <v>94</v>
      </c>
      <c r="F79" s="200" t="s">
        <v>219</v>
      </c>
      <c r="G79" s="150">
        <v>4</v>
      </c>
      <c r="H79" s="150">
        <v>2</v>
      </c>
      <c r="I79" s="96">
        <v>25</v>
      </c>
      <c r="J79" s="103">
        <v>20</v>
      </c>
      <c r="K79" s="312">
        <v>6</v>
      </c>
      <c r="L79" s="103">
        <v>70</v>
      </c>
      <c r="M79" s="312">
        <v>22</v>
      </c>
      <c r="N79" s="103">
        <v>34</v>
      </c>
      <c r="O79" s="312">
        <v>10</v>
      </c>
      <c r="P79" s="266">
        <f t="shared" si="19"/>
        <v>124</v>
      </c>
      <c r="Q79" s="184">
        <f t="shared" si="19"/>
        <v>38</v>
      </c>
      <c r="R79" s="75">
        <f>IF(P79&lt;&gt;0,Q79/H79,"")</f>
        <v>19</v>
      </c>
      <c r="S79" s="127">
        <f>IF(P79&lt;&gt;0,P79/Q79,"")</f>
        <v>3.263157894736842</v>
      </c>
      <c r="T79" s="299"/>
      <c r="U79" s="110">
        <f t="shared" si="14"/>
      </c>
      <c r="V79" s="299">
        <v>122342.5</v>
      </c>
      <c r="W79" s="80">
        <v>21310</v>
      </c>
      <c r="X79" s="209">
        <f t="shared" si="15"/>
        <v>5.741083998122947</v>
      </c>
      <c r="Y79" s="153"/>
      <c r="Z79" s="153"/>
      <c r="AA79" s="159"/>
      <c r="AB79" s="159"/>
      <c r="AC79" s="159"/>
      <c r="AD79" s="159"/>
    </row>
    <row r="80" spans="1:30" s="155" customFormat="1" ht="20.25" customHeight="1">
      <c r="A80" s="161">
        <v>74</v>
      </c>
      <c r="B80" s="179"/>
      <c r="C80" s="71" t="s">
        <v>85</v>
      </c>
      <c r="D80" s="197">
        <v>38744</v>
      </c>
      <c r="E80" s="71" t="s">
        <v>80</v>
      </c>
      <c r="F80" s="71" t="s">
        <v>182</v>
      </c>
      <c r="G80" s="136">
        <v>71</v>
      </c>
      <c r="H80" s="136">
        <v>1</v>
      </c>
      <c r="I80" s="94">
        <v>14</v>
      </c>
      <c r="J80" s="101">
        <v>40</v>
      </c>
      <c r="K80" s="126">
        <v>6</v>
      </c>
      <c r="L80" s="101">
        <v>25</v>
      </c>
      <c r="M80" s="126">
        <v>4</v>
      </c>
      <c r="N80" s="101">
        <v>58</v>
      </c>
      <c r="O80" s="126">
        <v>9</v>
      </c>
      <c r="P80" s="266">
        <f t="shared" si="16"/>
        <v>123</v>
      </c>
      <c r="Q80" s="184">
        <f t="shared" si="16"/>
        <v>19</v>
      </c>
      <c r="R80" s="75">
        <f t="shared" si="17"/>
        <v>19</v>
      </c>
      <c r="S80" s="127">
        <f t="shared" si="18"/>
        <v>6.473684210526316</v>
      </c>
      <c r="T80" s="295">
        <v>1596</v>
      </c>
      <c r="U80" s="110">
        <f t="shared" si="14"/>
        <v>-0.9229323308270677</v>
      </c>
      <c r="V80" s="295">
        <v>1843993</v>
      </c>
      <c r="W80" s="74">
        <v>228723</v>
      </c>
      <c r="X80" s="209">
        <f t="shared" si="15"/>
        <v>8.06212317956655</v>
      </c>
      <c r="Y80" s="153"/>
      <c r="Z80" s="153"/>
      <c r="AA80" s="159"/>
      <c r="AB80" s="159"/>
      <c r="AC80" s="159"/>
      <c r="AD80" s="159"/>
    </row>
    <row r="81" spans="1:30" s="155" customFormat="1" ht="20.25" customHeight="1">
      <c r="A81" s="161">
        <v>75</v>
      </c>
      <c r="B81" s="179"/>
      <c r="C81" s="200" t="s">
        <v>71</v>
      </c>
      <c r="D81" s="292">
        <v>38772</v>
      </c>
      <c r="E81" s="293" t="s">
        <v>78</v>
      </c>
      <c r="F81" s="293" t="s">
        <v>148</v>
      </c>
      <c r="G81" s="296">
        <v>49</v>
      </c>
      <c r="H81" s="296">
        <v>1</v>
      </c>
      <c r="I81" s="131">
        <v>11</v>
      </c>
      <c r="J81" s="310">
        <v>24</v>
      </c>
      <c r="K81" s="311">
        <v>6</v>
      </c>
      <c r="L81" s="310">
        <v>53</v>
      </c>
      <c r="M81" s="311">
        <v>13</v>
      </c>
      <c r="N81" s="310">
        <v>28</v>
      </c>
      <c r="O81" s="311">
        <v>7</v>
      </c>
      <c r="P81" s="269">
        <f t="shared" si="16"/>
        <v>105</v>
      </c>
      <c r="Q81" s="256">
        <f t="shared" si="16"/>
        <v>26</v>
      </c>
      <c r="R81" s="75">
        <f t="shared" si="17"/>
        <v>26</v>
      </c>
      <c r="S81" s="275">
        <f t="shared" si="18"/>
        <v>4.038461538461538</v>
      </c>
      <c r="T81" s="297">
        <v>363</v>
      </c>
      <c r="U81" s="110">
        <f t="shared" si="14"/>
        <v>-0.7107438016528925</v>
      </c>
      <c r="V81" s="297">
        <v>319926</v>
      </c>
      <c r="W81" s="298">
        <v>49470</v>
      </c>
      <c r="X81" s="209">
        <f>IF(V81&lt;&gt;0,V81/W81,"")</f>
        <v>6.467070952092177</v>
      </c>
      <c r="Y81" s="153"/>
      <c r="Z81" s="153"/>
      <c r="AA81" s="159"/>
      <c r="AB81" s="159"/>
      <c r="AC81" s="159"/>
      <c r="AD81" s="159"/>
    </row>
    <row r="82" spans="1:30" s="155" customFormat="1" ht="20.25" customHeight="1">
      <c r="A82" s="161">
        <v>76</v>
      </c>
      <c r="B82" s="179"/>
      <c r="C82" s="71" t="s">
        <v>216</v>
      </c>
      <c r="D82" s="197">
        <v>38730</v>
      </c>
      <c r="E82" s="71" t="s">
        <v>80</v>
      </c>
      <c r="F82" s="71" t="s">
        <v>152</v>
      </c>
      <c r="G82" s="136">
        <v>116</v>
      </c>
      <c r="H82" s="136">
        <v>1</v>
      </c>
      <c r="I82" s="94">
        <v>17</v>
      </c>
      <c r="J82" s="101">
        <v>10</v>
      </c>
      <c r="K82" s="126">
        <v>2</v>
      </c>
      <c r="L82" s="101">
        <v>22</v>
      </c>
      <c r="M82" s="126">
        <v>4</v>
      </c>
      <c r="N82" s="101">
        <v>30</v>
      </c>
      <c r="O82" s="126">
        <v>6</v>
      </c>
      <c r="P82" s="266">
        <f t="shared" si="16"/>
        <v>62</v>
      </c>
      <c r="Q82" s="184">
        <f t="shared" si="16"/>
        <v>12</v>
      </c>
      <c r="R82" s="75">
        <f t="shared" si="17"/>
        <v>12</v>
      </c>
      <c r="S82" s="127">
        <f t="shared" si="18"/>
        <v>5.166666666666667</v>
      </c>
      <c r="T82" s="301"/>
      <c r="U82" s="110">
        <f t="shared" si="14"/>
      </c>
      <c r="V82" s="295">
        <v>3275456</v>
      </c>
      <c r="W82" s="74">
        <v>466213</v>
      </c>
      <c r="X82" s="209">
        <f>V82/W82</f>
        <v>7.025664235017041</v>
      </c>
      <c r="Y82" s="153"/>
      <c r="Z82" s="153"/>
      <c r="AA82" s="159"/>
      <c r="AB82" s="159"/>
      <c r="AC82" s="159"/>
      <c r="AD82" s="159"/>
    </row>
    <row r="83" spans="1:30" s="155" customFormat="1" ht="20.25" customHeight="1">
      <c r="A83" s="161">
        <v>77</v>
      </c>
      <c r="B83" s="179"/>
      <c r="C83" s="71" t="s">
        <v>142</v>
      </c>
      <c r="D83" s="197">
        <v>38653</v>
      </c>
      <c r="E83" s="71" t="s">
        <v>80</v>
      </c>
      <c r="F83" s="71" t="s">
        <v>182</v>
      </c>
      <c r="G83" s="136">
        <v>92</v>
      </c>
      <c r="H83" s="136">
        <v>1</v>
      </c>
      <c r="I83" s="94">
        <v>28</v>
      </c>
      <c r="J83" s="101">
        <v>42</v>
      </c>
      <c r="K83" s="126">
        <v>7</v>
      </c>
      <c r="L83" s="101">
        <v>0</v>
      </c>
      <c r="M83" s="126">
        <v>0</v>
      </c>
      <c r="N83" s="101">
        <v>0</v>
      </c>
      <c r="O83" s="126">
        <v>0</v>
      </c>
      <c r="P83" s="266">
        <f t="shared" si="16"/>
        <v>42</v>
      </c>
      <c r="Q83" s="184">
        <f t="shared" si="16"/>
        <v>7</v>
      </c>
      <c r="R83" s="75">
        <f t="shared" si="17"/>
        <v>7</v>
      </c>
      <c r="S83" s="127">
        <f t="shared" si="18"/>
        <v>6</v>
      </c>
      <c r="T83" s="295">
        <v>30</v>
      </c>
      <c r="U83" s="110">
        <f t="shared" si="14"/>
        <v>0.4</v>
      </c>
      <c r="V83" s="295">
        <v>1041741</v>
      </c>
      <c r="W83" s="74">
        <v>151728</v>
      </c>
      <c r="X83" s="209">
        <f>V83/W83</f>
        <v>6.865845460297375</v>
      </c>
      <c r="Y83" s="153"/>
      <c r="Z83" s="153"/>
      <c r="AA83" s="159"/>
      <c r="AB83" s="159"/>
      <c r="AC83" s="159"/>
      <c r="AD83" s="159"/>
    </row>
    <row r="84" spans="1:30" s="155" customFormat="1" ht="20.25" customHeight="1" thickBot="1">
      <c r="A84" s="161">
        <v>78</v>
      </c>
      <c r="B84" s="181"/>
      <c r="C84" s="111" t="s">
        <v>89</v>
      </c>
      <c r="D84" s="252">
        <v>38730</v>
      </c>
      <c r="E84" s="252" t="s">
        <v>76</v>
      </c>
      <c r="F84" s="111" t="s">
        <v>79</v>
      </c>
      <c r="G84" s="182">
        <v>62</v>
      </c>
      <c r="H84" s="182">
        <v>1</v>
      </c>
      <c r="I84" s="114">
        <v>16</v>
      </c>
      <c r="J84" s="117">
        <v>0</v>
      </c>
      <c r="K84" s="189">
        <v>0</v>
      </c>
      <c r="L84" s="117">
        <v>21</v>
      </c>
      <c r="M84" s="189">
        <v>3</v>
      </c>
      <c r="N84" s="117">
        <v>14</v>
      </c>
      <c r="O84" s="189">
        <v>2</v>
      </c>
      <c r="P84" s="270">
        <f t="shared" si="16"/>
        <v>35</v>
      </c>
      <c r="Q84" s="257">
        <f t="shared" si="16"/>
        <v>5</v>
      </c>
      <c r="R84" s="119">
        <f t="shared" si="17"/>
        <v>5</v>
      </c>
      <c r="S84" s="276">
        <f t="shared" si="18"/>
        <v>7</v>
      </c>
      <c r="T84" s="309">
        <v>386</v>
      </c>
      <c r="U84" s="120">
        <f t="shared" si="14"/>
        <v>-0.9093264248704663</v>
      </c>
      <c r="V84" s="309">
        <v>1182666.5</v>
      </c>
      <c r="W84" s="121">
        <v>139028</v>
      </c>
      <c r="X84" s="214">
        <f>V84/W84</f>
        <v>8.50667851080358</v>
      </c>
      <c r="Y84" s="153"/>
      <c r="Z84" s="153"/>
      <c r="AA84" s="159"/>
      <c r="AB84" s="159"/>
      <c r="AC84" s="159"/>
      <c r="AD84" s="159"/>
    </row>
    <row r="85" spans="1:30" s="60" customFormat="1" ht="20.25" customHeight="1" thickBot="1">
      <c r="A85" s="137"/>
      <c r="B85" s="162"/>
      <c r="C85" s="163"/>
      <c r="D85" s="164"/>
      <c r="E85" s="164"/>
      <c r="F85" s="165"/>
      <c r="G85" s="166"/>
      <c r="H85" s="166"/>
      <c r="I85" s="166"/>
      <c r="J85" s="167"/>
      <c r="K85" s="168"/>
      <c r="L85" s="167"/>
      <c r="M85" s="168"/>
      <c r="N85" s="167"/>
      <c r="O85" s="168"/>
      <c r="P85" s="169"/>
      <c r="Q85" s="170"/>
      <c r="R85" s="171"/>
      <c r="S85" s="172"/>
      <c r="T85" s="167"/>
      <c r="U85" s="173"/>
      <c r="V85" s="167"/>
      <c r="W85" s="173"/>
      <c r="X85" s="173"/>
      <c r="Y85" s="58"/>
      <c r="Z85" s="59"/>
      <c r="AA85" s="58"/>
      <c r="AB85" s="58"/>
      <c r="AC85" s="58"/>
      <c r="AD85" s="58"/>
    </row>
    <row r="86" spans="1:30" s="91" customFormat="1" ht="20.25" customHeight="1" thickBot="1">
      <c r="A86" s="140"/>
      <c r="B86" s="328" t="s">
        <v>115</v>
      </c>
      <c r="C86" s="329"/>
      <c r="D86" s="329"/>
      <c r="E86" s="329"/>
      <c r="F86" s="329"/>
      <c r="G86" s="142"/>
      <c r="H86" s="142">
        <f>SUM(H7:H85)</f>
        <v>1191</v>
      </c>
      <c r="I86" s="141"/>
      <c r="J86" s="143"/>
      <c r="K86" s="144"/>
      <c r="L86" s="143"/>
      <c r="M86" s="144"/>
      <c r="N86" s="143"/>
      <c r="O86" s="144"/>
      <c r="P86" s="143">
        <f>SUM(P7:P85)</f>
        <v>2364488</v>
      </c>
      <c r="Q86" s="144">
        <f>SUM(Q7:Q85)</f>
        <v>323656</v>
      </c>
      <c r="R86" s="145">
        <f>P86/H86</f>
        <v>1985.296389588581</v>
      </c>
      <c r="S86" s="146">
        <f>P86/Q86</f>
        <v>7.305558988555751</v>
      </c>
      <c r="T86" s="143"/>
      <c r="U86" s="147"/>
      <c r="V86" s="160"/>
      <c r="W86" s="148"/>
      <c r="X86" s="149"/>
      <c r="Z86" s="92"/>
      <c r="AD86" s="91" t="s">
        <v>116</v>
      </c>
    </row>
    <row r="87" spans="20:24" ht="18">
      <c r="T87" s="342" t="s">
        <v>117</v>
      </c>
      <c r="U87" s="342"/>
      <c r="V87" s="342"/>
      <c r="W87" s="342"/>
      <c r="X87" s="342"/>
    </row>
    <row r="88" spans="20:24" ht="18">
      <c r="T88" s="343"/>
      <c r="U88" s="343"/>
      <c r="V88" s="343"/>
      <c r="W88" s="343"/>
      <c r="X88" s="343"/>
    </row>
    <row r="89" spans="20:24" ht="18">
      <c r="T89" s="343"/>
      <c r="U89" s="343"/>
      <c r="V89" s="343"/>
      <c r="W89" s="343"/>
      <c r="X89" s="343"/>
    </row>
    <row r="90" spans="20:24" ht="18">
      <c r="T90" s="343"/>
      <c r="U90" s="343"/>
      <c r="V90" s="343"/>
      <c r="W90" s="343"/>
      <c r="X90" s="343"/>
    </row>
    <row r="91" spans="20:24" ht="18">
      <c r="T91" s="343"/>
      <c r="U91" s="343"/>
      <c r="V91" s="343"/>
      <c r="W91" s="343"/>
      <c r="X91" s="343"/>
    </row>
    <row r="92" spans="20:24" ht="18">
      <c r="T92" s="343"/>
      <c r="U92" s="343"/>
      <c r="V92" s="343"/>
      <c r="W92" s="343"/>
      <c r="X92" s="343"/>
    </row>
    <row r="93" spans="1:24" ht="18">
      <c r="A93" s="344" t="s">
        <v>118</v>
      </c>
      <c r="B93" s="345"/>
      <c r="C93" s="345"/>
      <c r="D93" s="345"/>
      <c r="E93" s="345"/>
      <c r="F93" s="345"/>
      <c r="G93" s="345"/>
      <c r="H93" s="345"/>
      <c r="I93" s="345"/>
      <c r="J93" s="345"/>
      <c r="K93" s="345"/>
      <c r="L93" s="345"/>
      <c r="M93" s="345"/>
      <c r="N93" s="345"/>
      <c r="O93" s="345"/>
      <c r="P93" s="345"/>
      <c r="Q93" s="345"/>
      <c r="R93" s="345"/>
      <c r="S93" s="345"/>
      <c r="T93" s="345"/>
      <c r="U93" s="345"/>
      <c r="V93" s="345"/>
      <c r="W93" s="345"/>
      <c r="X93" s="345"/>
    </row>
    <row r="94" spans="1:24" ht="18">
      <c r="A94" s="345"/>
      <c r="B94" s="345"/>
      <c r="C94" s="345"/>
      <c r="D94" s="345"/>
      <c r="E94" s="345"/>
      <c r="F94" s="345"/>
      <c r="G94" s="345"/>
      <c r="H94" s="345"/>
      <c r="I94" s="345"/>
      <c r="J94" s="345"/>
      <c r="K94" s="345"/>
      <c r="L94" s="345"/>
      <c r="M94" s="345"/>
      <c r="N94" s="345"/>
      <c r="O94" s="345"/>
      <c r="P94" s="345"/>
      <c r="Q94" s="345"/>
      <c r="R94" s="345"/>
      <c r="S94" s="345"/>
      <c r="T94" s="345"/>
      <c r="U94" s="345"/>
      <c r="V94" s="345"/>
      <c r="W94" s="345"/>
      <c r="X94" s="345"/>
    </row>
    <row r="95" spans="1:24" ht="18">
      <c r="A95" s="345"/>
      <c r="B95" s="345"/>
      <c r="C95" s="345"/>
      <c r="D95" s="345"/>
      <c r="E95" s="345"/>
      <c r="F95" s="345"/>
      <c r="G95" s="345"/>
      <c r="H95" s="345"/>
      <c r="I95" s="345"/>
      <c r="J95" s="345"/>
      <c r="K95" s="345"/>
      <c r="L95" s="345"/>
      <c r="M95" s="345"/>
      <c r="N95" s="345"/>
      <c r="O95" s="345"/>
      <c r="P95" s="345"/>
      <c r="Q95" s="345"/>
      <c r="R95" s="345"/>
      <c r="S95" s="345"/>
      <c r="T95" s="345"/>
      <c r="U95" s="345"/>
      <c r="V95" s="345"/>
      <c r="W95" s="345"/>
      <c r="X95" s="345"/>
    </row>
    <row r="96" spans="1:24" ht="18">
      <c r="A96" s="345"/>
      <c r="B96" s="345"/>
      <c r="C96" s="345"/>
      <c r="D96" s="345"/>
      <c r="E96" s="345"/>
      <c r="F96" s="345"/>
      <c r="G96" s="345"/>
      <c r="H96" s="345"/>
      <c r="I96" s="345"/>
      <c r="J96" s="345"/>
      <c r="K96" s="345"/>
      <c r="L96" s="345"/>
      <c r="M96" s="345"/>
      <c r="N96" s="345"/>
      <c r="O96" s="345"/>
      <c r="P96" s="345"/>
      <c r="Q96" s="345"/>
      <c r="R96" s="345"/>
      <c r="S96" s="345"/>
      <c r="T96" s="345"/>
      <c r="U96" s="345"/>
      <c r="V96" s="345"/>
      <c r="W96" s="345"/>
      <c r="X96" s="345"/>
    </row>
    <row r="97" spans="1:30" ht="18">
      <c r="A97" s="345"/>
      <c r="B97" s="345"/>
      <c r="C97" s="345"/>
      <c r="D97" s="345"/>
      <c r="E97" s="345"/>
      <c r="F97" s="345"/>
      <c r="G97" s="345"/>
      <c r="H97" s="345"/>
      <c r="I97" s="345"/>
      <c r="J97" s="345"/>
      <c r="K97" s="345"/>
      <c r="L97" s="345"/>
      <c r="M97" s="345"/>
      <c r="N97" s="345"/>
      <c r="O97" s="345"/>
      <c r="P97" s="345"/>
      <c r="Q97" s="345"/>
      <c r="R97" s="345"/>
      <c r="S97" s="345"/>
      <c r="T97" s="345"/>
      <c r="U97" s="345"/>
      <c r="V97" s="345"/>
      <c r="W97" s="345"/>
      <c r="X97" s="345"/>
      <c r="AD97" s="57" t="s">
        <v>116</v>
      </c>
    </row>
  </sheetData>
  <mergeCells count="21">
    <mergeCell ref="A93:X97"/>
    <mergeCell ref="V5:X5"/>
    <mergeCell ref="B86:F86"/>
    <mergeCell ref="T87:X89"/>
    <mergeCell ref="T90:X92"/>
    <mergeCell ref="C5:C6"/>
    <mergeCell ref="D5:D6"/>
    <mergeCell ref="E5:E6"/>
    <mergeCell ref="F5:F6"/>
    <mergeCell ref="J5:K5"/>
    <mergeCell ref="A1:X1"/>
    <mergeCell ref="A2:X2"/>
    <mergeCell ref="O3:X3"/>
    <mergeCell ref="A4:X4"/>
    <mergeCell ref="P5:S5"/>
    <mergeCell ref="G5:G6"/>
    <mergeCell ref="T5:U5"/>
    <mergeCell ref="L5:M5"/>
    <mergeCell ref="N5:O5"/>
    <mergeCell ref="H5:H6"/>
    <mergeCell ref="I5:I6"/>
  </mergeCells>
  <printOptions/>
  <pageMargins left="0.58" right="0.34" top="0.5" bottom="0.56" header="0.37" footer="0.5"/>
  <pageSetup orientation="portrait" paperSize="9" scale="35" r:id="rId2"/>
  <ignoredErrors>
    <ignoredError sqref="D21" twoDigitTextYear="1"/>
    <ignoredError sqref="T83 P83:S83 P8:X64 R75:S76 P75:Q76 P80:Q80 P82:S82 T77:T79 R80:S80 T75:T76 T80:T82 R77:S79 T71:T74 R71:S74 P71:Q74 P77:Q79 U71:X82" formula="1"/>
    <ignoredError sqref="P81:S81" formula="1" unlockedFormula="1"/>
  </ignoredErrors>
  <drawing r:id="rId1"/>
</worksheet>
</file>

<file path=xl/worksheets/sheet6.xml><?xml version="1.0" encoding="utf-8"?>
<worksheet xmlns="http://schemas.openxmlformats.org/spreadsheetml/2006/main" xmlns:r="http://schemas.openxmlformats.org/officeDocument/2006/relationships">
  <dimension ref="A1:AB25"/>
  <sheetViews>
    <sheetView zoomScale="80" zoomScaleNormal="80" workbookViewId="0" topLeftCell="A1">
      <selection activeCell="C3" sqref="C3"/>
    </sheetView>
  </sheetViews>
  <sheetFormatPr defaultColWidth="9.140625" defaultRowHeight="12.75"/>
  <cols>
    <col min="1" max="1" width="3.57421875" style="122" bestFit="1" customWidth="1"/>
    <col min="2" max="2" width="1.57421875" style="61" customWidth="1"/>
    <col min="3" max="3" width="25.28125" style="57" bestFit="1" customWidth="1"/>
    <col min="4" max="4" width="9.140625" style="57" bestFit="1" customWidth="1"/>
    <col min="5" max="5" width="10.57421875" style="57" bestFit="1" customWidth="1"/>
    <col min="6" max="6" width="7.8515625" style="63" bestFit="1" customWidth="1"/>
    <col min="7" max="7" width="8.8515625" style="57" customWidth="1"/>
    <col min="8" max="8" width="12.00390625" style="57" hidden="1" customWidth="1"/>
    <col min="9" max="9" width="7.7109375" style="57" hidden="1" customWidth="1"/>
    <col min="10" max="10" width="12.00390625" style="57" hidden="1" customWidth="1"/>
    <col min="11" max="11" width="7.7109375" style="57" hidden="1" customWidth="1"/>
    <col min="12" max="12" width="12.00390625" style="57" hidden="1" customWidth="1"/>
    <col min="13" max="13" width="7.7109375" style="57" hidden="1" customWidth="1"/>
    <col min="14" max="14" width="14.00390625" style="90" bestFit="1" customWidth="1"/>
    <col min="15" max="15" width="8.8515625" style="57" bestFit="1" customWidth="1"/>
    <col min="16" max="16" width="9.28125" style="57" bestFit="1" customWidth="1"/>
    <col min="17" max="17" width="6.8515625" style="57" bestFit="1" customWidth="1"/>
    <col min="18" max="18" width="12.28125" style="89" bestFit="1" customWidth="1"/>
    <col min="19" max="19" width="8.7109375" style="57" bestFit="1" customWidth="1"/>
    <col min="20" max="20" width="14.140625" style="89" bestFit="1" customWidth="1"/>
    <col min="21" max="21" width="8.8515625" style="57" bestFit="1" customWidth="1"/>
    <col min="22" max="22" width="6.7109375" style="57" customWidth="1"/>
    <col min="23" max="23" width="10.140625" style="57" customWidth="1"/>
    <col min="24" max="24" width="10.140625" style="53" customWidth="1"/>
    <col min="25" max="27" width="10.140625" style="57" customWidth="1"/>
    <col min="28" max="28" width="1.7109375" style="57" bestFit="1" customWidth="1"/>
    <col min="29" max="48" width="10.140625" style="57" customWidth="1"/>
    <col min="49" max="16384" width="1.57421875" style="57" customWidth="1"/>
  </cols>
  <sheetData>
    <row r="1" spans="1:22" ht="26.25">
      <c r="A1" s="351" t="s">
        <v>234</v>
      </c>
      <c r="B1" s="352"/>
      <c r="C1" s="352"/>
      <c r="D1" s="352"/>
      <c r="E1" s="352"/>
      <c r="F1" s="352"/>
      <c r="G1" s="352"/>
      <c r="H1" s="352"/>
      <c r="I1" s="352"/>
      <c r="J1" s="352"/>
      <c r="K1" s="352"/>
      <c r="L1" s="352"/>
      <c r="M1" s="352"/>
      <c r="N1" s="352"/>
      <c r="O1" s="352"/>
      <c r="P1" s="352"/>
      <c r="Q1" s="352"/>
      <c r="R1" s="352"/>
      <c r="S1" s="352"/>
      <c r="T1" s="352"/>
      <c r="U1" s="352"/>
      <c r="V1" s="353"/>
    </row>
    <row r="2" spans="1:22" ht="37.5">
      <c r="A2" s="354" t="s">
        <v>235</v>
      </c>
      <c r="B2" s="355"/>
      <c r="C2" s="355"/>
      <c r="D2" s="355"/>
      <c r="E2" s="355"/>
      <c r="F2" s="355"/>
      <c r="G2" s="355"/>
      <c r="H2" s="355"/>
      <c r="I2" s="355"/>
      <c r="J2" s="355"/>
      <c r="K2" s="355"/>
      <c r="L2" s="355"/>
      <c r="M2" s="355"/>
      <c r="N2" s="355"/>
      <c r="O2" s="355"/>
      <c r="P2" s="355"/>
      <c r="Q2" s="355"/>
      <c r="R2" s="355"/>
      <c r="S2" s="355"/>
      <c r="T2" s="355"/>
      <c r="U2" s="355"/>
      <c r="V2" s="356"/>
    </row>
    <row r="3" spans="1:22" ht="30" customHeight="1">
      <c r="A3" s="217"/>
      <c r="B3" s="218"/>
      <c r="C3" s="221" t="s">
        <v>237</v>
      </c>
      <c r="D3" s="218"/>
      <c r="E3" s="218"/>
      <c r="F3" s="218"/>
      <c r="G3" s="218"/>
      <c r="H3" s="350"/>
      <c r="I3" s="350"/>
      <c r="J3" s="350"/>
      <c r="K3" s="350"/>
      <c r="L3" s="350"/>
      <c r="M3" s="357" t="s">
        <v>260</v>
      </c>
      <c r="N3" s="357"/>
      <c r="O3" s="357"/>
      <c r="P3" s="357"/>
      <c r="Q3" s="357"/>
      <c r="R3" s="357"/>
      <c r="S3" s="357"/>
      <c r="T3" s="357"/>
      <c r="U3" s="357"/>
      <c r="V3" s="358"/>
    </row>
    <row r="4" spans="1:22" s="54" customFormat="1" ht="27.75" hidden="1" thickBot="1">
      <c r="A4" s="359" t="s">
        <v>202</v>
      </c>
      <c r="B4" s="360"/>
      <c r="C4" s="360"/>
      <c r="D4" s="360"/>
      <c r="E4" s="360"/>
      <c r="F4" s="360"/>
      <c r="G4" s="360"/>
      <c r="H4" s="360"/>
      <c r="I4" s="360"/>
      <c r="J4" s="360"/>
      <c r="K4" s="360"/>
      <c r="L4" s="360"/>
      <c r="M4" s="360"/>
      <c r="N4" s="360"/>
      <c r="O4" s="361"/>
      <c r="P4" s="361"/>
      <c r="Q4" s="361"/>
      <c r="R4" s="361"/>
      <c r="S4" s="361"/>
      <c r="T4" s="361"/>
      <c r="U4" s="361"/>
      <c r="V4" s="362"/>
    </row>
    <row r="5" spans="1:24" s="288" customFormat="1" ht="15">
      <c r="A5" s="287"/>
      <c r="B5" s="216"/>
      <c r="C5" s="347" t="s">
        <v>0</v>
      </c>
      <c r="D5" s="340" t="s">
        <v>96</v>
      </c>
      <c r="E5" s="340" t="s">
        <v>2</v>
      </c>
      <c r="F5" s="340" t="s">
        <v>98</v>
      </c>
      <c r="G5" s="340" t="s">
        <v>99</v>
      </c>
      <c r="H5" s="330" t="s">
        <v>4</v>
      </c>
      <c r="I5" s="330"/>
      <c r="J5" s="330" t="s">
        <v>7</v>
      </c>
      <c r="K5" s="330"/>
      <c r="L5" s="330" t="s">
        <v>8</v>
      </c>
      <c r="M5" s="330"/>
      <c r="N5" s="330" t="s">
        <v>100</v>
      </c>
      <c r="O5" s="330"/>
      <c r="P5" s="330"/>
      <c r="Q5" s="330"/>
      <c r="R5" s="330" t="s">
        <v>101</v>
      </c>
      <c r="S5" s="330"/>
      <c r="T5" s="330" t="s">
        <v>102</v>
      </c>
      <c r="U5" s="330"/>
      <c r="V5" s="346"/>
      <c r="X5" s="289"/>
    </row>
    <row r="6" spans="1:24" s="288" customFormat="1" ht="26.25" thickBot="1">
      <c r="A6" s="290"/>
      <c r="B6" s="64"/>
      <c r="C6" s="348"/>
      <c r="D6" s="349"/>
      <c r="E6" s="341"/>
      <c r="F6" s="349"/>
      <c r="G6" s="349"/>
      <c r="H6" s="67" t="s">
        <v>82</v>
      </c>
      <c r="I6" s="67" t="s">
        <v>16</v>
      </c>
      <c r="J6" s="67" t="s">
        <v>82</v>
      </c>
      <c r="K6" s="67" t="s">
        <v>16</v>
      </c>
      <c r="L6" s="67" t="s">
        <v>82</v>
      </c>
      <c r="M6" s="67" t="s">
        <v>16</v>
      </c>
      <c r="N6" s="65" t="s">
        <v>82</v>
      </c>
      <c r="O6" s="65" t="s">
        <v>16</v>
      </c>
      <c r="P6" s="228" t="s">
        <v>103</v>
      </c>
      <c r="Q6" s="228" t="s">
        <v>104</v>
      </c>
      <c r="R6" s="139" t="s">
        <v>82</v>
      </c>
      <c r="S6" s="67" t="s">
        <v>11</v>
      </c>
      <c r="T6" s="139" t="s">
        <v>82</v>
      </c>
      <c r="U6" s="67" t="s">
        <v>16</v>
      </c>
      <c r="V6" s="291" t="s">
        <v>104</v>
      </c>
      <c r="X6" s="289"/>
    </row>
    <row r="7" spans="1:22" s="55" customFormat="1" ht="18">
      <c r="A7" s="161">
        <v>1</v>
      </c>
      <c r="B7" s="70"/>
      <c r="C7" s="87" t="s">
        <v>261</v>
      </c>
      <c r="D7" s="305">
        <v>38842</v>
      </c>
      <c r="E7" s="87" t="s">
        <v>80</v>
      </c>
      <c r="F7" s="306">
        <v>178</v>
      </c>
      <c r="G7" s="93">
        <v>1</v>
      </c>
      <c r="H7" s="97">
        <v>280933</v>
      </c>
      <c r="I7" s="104">
        <v>34264</v>
      </c>
      <c r="J7" s="97">
        <v>443418</v>
      </c>
      <c r="K7" s="104">
        <v>53093</v>
      </c>
      <c r="L7" s="97">
        <v>386984</v>
      </c>
      <c r="M7" s="104">
        <v>48062</v>
      </c>
      <c r="N7" s="265">
        <f>SUM(H7+J7+L7)</f>
        <v>1111335</v>
      </c>
      <c r="O7" s="254">
        <f>SUM(I7+K7+M7)</f>
        <v>135419</v>
      </c>
      <c r="P7" s="206">
        <f>O7/F7</f>
        <v>760.7808988764045</v>
      </c>
      <c r="Q7" s="225">
        <f>N7/O7</f>
        <v>8.206640131739269</v>
      </c>
      <c r="R7" s="308"/>
      <c r="S7" s="109">
        <f aca="true" t="shared" si="0" ref="S7:S16">IF(R7&lt;&gt;0,-(R7-N7)/R7,"")</f>
      </c>
      <c r="T7" s="307">
        <v>1111335</v>
      </c>
      <c r="U7" s="88">
        <v>135419</v>
      </c>
      <c r="V7" s="208">
        <f aca="true" t="shared" si="1" ref="V7:V16">T7/U7</f>
        <v>8.206640131739269</v>
      </c>
    </row>
    <row r="8" spans="1:22" s="151" customFormat="1" ht="18">
      <c r="A8" s="161">
        <v>2</v>
      </c>
      <c r="B8" s="178"/>
      <c r="C8" s="200" t="s">
        <v>241</v>
      </c>
      <c r="D8" s="292">
        <v>38821</v>
      </c>
      <c r="E8" s="293" t="s">
        <v>78</v>
      </c>
      <c r="F8" s="296">
        <v>115</v>
      </c>
      <c r="G8" s="131">
        <v>4</v>
      </c>
      <c r="H8" s="310">
        <v>76318</v>
      </c>
      <c r="I8" s="311">
        <v>12413</v>
      </c>
      <c r="J8" s="310">
        <v>172239.5</v>
      </c>
      <c r="K8" s="311">
        <v>24337</v>
      </c>
      <c r="L8" s="310">
        <v>175604</v>
      </c>
      <c r="M8" s="311">
        <v>24519</v>
      </c>
      <c r="N8" s="266">
        <f>+H8+J8+L8</f>
        <v>424161.5</v>
      </c>
      <c r="O8" s="184">
        <f>+I8+K8+M8</f>
        <v>61269</v>
      </c>
      <c r="P8" s="75">
        <f>IF(N8&lt;&gt;0,O8/F8,"")</f>
        <v>532.7739130434783</v>
      </c>
      <c r="Q8" s="127">
        <f>IF(N8&lt;&gt;0,N8/O8,"")</f>
        <v>6.922938190602099</v>
      </c>
      <c r="R8" s="297">
        <v>686120.5</v>
      </c>
      <c r="S8" s="110">
        <f t="shared" si="0"/>
        <v>-0.38179736649757584</v>
      </c>
      <c r="T8" s="297">
        <v>4893516</v>
      </c>
      <c r="U8" s="298">
        <v>697121</v>
      </c>
      <c r="V8" s="209">
        <f t="shared" si="1"/>
        <v>7.0196077868834825</v>
      </c>
    </row>
    <row r="9" spans="1:22" s="151" customFormat="1" ht="18">
      <c r="A9" s="161">
        <v>3</v>
      </c>
      <c r="B9" s="178"/>
      <c r="C9" s="71" t="s">
        <v>242</v>
      </c>
      <c r="D9" s="197">
        <v>38835</v>
      </c>
      <c r="E9" s="71" t="s">
        <v>80</v>
      </c>
      <c r="F9" s="136">
        <v>73</v>
      </c>
      <c r="G9" s="94">
        <v>2</v>
      </c>
      <c r="H9" s="101">
        <v>37321</v>
      </c>
      <c r="I9" s="126">
        <v>4068</v>
      </c>
      <c r="J9" s="101">
        <v>70384</v>
      </c>
      <c r="K9" s="126">
        <v>7768</v>
      </c>
      <c r="L9" s="101">
        <v>57683</v>
      </c>
      <c r="M9" s="126">
        <v>6477</v>
      </c>
      <c r="N9" s="267">
        <f>SUM(H9+J9+L9)</f>
        <v>165388</v>
      </c>
      <c r="O9" s="255">
        <f>SUM(I9+K9+M9)</f>
        <v>18313</v>
      </c>
      <c r="P9" s="86">
        <f>O9/F9</f>
        <v>250.86301369863014</v>
      </c>
      <c r="Q9" s="226">
        <f>N9/O9</f>
        <v>9.031180036039972</v>
      </c>
      <c r="R9" s="301">
        <v>372754</v>
      </c>
      <c r="S9" s="110">
        <f t="shared" si="0"/>
        <v>-0.556307913530103</v>
      </c>
      <c r="T9" s="295">
        <v>678904</v>
      </c>
      <c r="U9" s="74">
        <v>77519</v>
      </c>
      <c r="V9" s="210">
        <f t="shared" si="1"/>
        <v>8.757904513732118</v>
      </c>
    </row>
    <row r="10" spans="1:23" s="154" customFormat="1" ht="18">
      <c r="A10" s="161">
        <v>4</v>
      </c>
      <c r="B10" s="179"/>
      <c r="C10" s="200" t="s">
        <v>243</v>
      </c>
      <c r="D10" s="292">
        <v>38835</v>
      </c>
      <c r="E10" s="293" t="s">
        <v>78</v>
      </c>
      <c r="F10" s="296">
        <v>65</v>
      </c>
      <c r="G10" s="131">
        <v>2</v>
      </c>
      <c r="H10" s="310">
        <v>30808.5</v>
      </c>
      <c r="I10" s="311">
        <v>4248</v>
      </c>
      <c r="J10" s="310">
        <v>61066.5</v>
      </c>
      <c r="K10" s="311">
        <v>7846</v>
      </c>
      <c r="L10" s="310">
        <v>65023</v>
      </c>
      <c r="M10" s="311">
        <v>8467</v>
      </c>
      <c r="N10" s="266">
        <f aca="true" t="shared" si="2" ref="N10:O12">+H10+J10+L10</f>
        <v>156898</v>
      </c>
      <c r="O10" s="184">
        <f t="shared" si="2"/>
        <v>20561</v>
      </c>
      <c r="P10" s="75">
        <f>IF(N10&lt;&gt;0,O10/F10,"")</f>
        <v>316.32307692307694</v>
      </c>
      <c r="Q10" s="127">
        <f>IF(N10&lt;&gt;0,N10/O10,"")</f>
        <v>7.630854530421672</v>
      </c>
      <c r="R10" s="297">
        <v>248945</v>
      </c>
      <c r="S10" s="110">
        <f t="shared" si="0"/>
        <v>-0.3697483379863022</v>
      </c>
      <c r="T10" s="297">
        <v>538476</v>
      </c>
      <c r="U10" s="298">
        <v>72518</v>
      </c>
      <c r="V10" s="209">
        <f t="shared" si="1"/>
        <v>7.425411621942138</v>
      </c>
      <c r="W10" s="153"/>
    </row>
    <row r="11" spans="1:22" s="155" customFormat="1" ht="18">
      <c r="A11" s="161">
        <v>5</v>
      </c>
      <c r="B11" s="179"/>
      <c r="C11" s="71" t="s">
        <v>203</v>
      </c>
      <c r="D11" s="197">
        <v>38828</v>
      </c>
      <c r="E11" s="197" t="s">
        <v>76</v>
      </c>
      <c r="F11" s="136">
        <v>54</v>
      </c>
      <c r="G11" s="94">
        <v>3</v>
      </c>
      <c r="H11" s="101">
        <v>13134</v>
      </c>
      <c r="I11" s="126">
        <v>1510</v>
      </c>
      <c r="J11" s="101">
        <v>25001</v>
      </c>
      <c r="K11" s="126">
        <v>2868</v>
      </c>
      <c r="L11" s="101">
        <v>24572</v>
      </c>
      <c r="M11" s="126">
        <v>2967</v>
      </c>
      <c r="N11" s="266">
        <f t="shared" si="2"/>
        <v>62707</v>
      </c>
      <c r="O11" s="184">
        <f t="shared" si="2"/>
        <v>7345</v>
      </c>
      <c r="P11" s="75">
        <f>IF(N11&lt;&gt;0,O11/F11,"")</f>
        <v>136.0185185185185</v>
      </c>
      <c r="Q11" s="127">
        <f>IF(N11&lt;&gt;0,N11/O11,"")</f>
        <v>8.537372362151123</v>
      </c>
      <c r="R11" s="295">
        <v>165067</v>
      </c>
      <c r="S11" s="110">
        <f t="shared" si="0"/>
        <v>-0.62011183337675</v>
      </c>
      <c r="T11" s="295">
        <v>671546.5</v>
      </c>
      <c r="U11" s="74">
        <v>82406</v>
      </c>
      <c r="V11" s="209">
        <f t="shared" si="1"/>
        <v>8.149242773584447</v>
      </c>
    </row>
    <row r="12" spans="1:22" s="155" customFormat="1" ht="18">
      <c r="A12" s="161">
        <v>6</v>
      </c>
      <c r="B12" s="179"/>
      <c r="C12" s="200" t="s">
        <v>204</v>
      </c>
      <c r="D12" s="292">
        <v>38828</v>
      </c>
      <c r="E12" s="293" t="s">
        <v>78</v>
      </c>
      <c r="F12" s="296">
        <v>43</v>
      </c>
      <c r="G12" s="131">
        <v>3</v>
      </c>
      <c r="H12" s="310">
        <v>11545</v>
      </c>
      <c r="I12" s="311">
        <v>1694</v>
      </c>
      <c r="J12" s="310">
        <v>23677</v>
      </c>
      <c r="K12" s="311">
        <v>3363</v>
      </c>
      <c r="L12" s="310">
        <v>26622.5</v>
      </c>
      <c r="M12" s="311">
        <v>3760</v>
      </c>
      <c r="N12" s="266">
        <f t="shared" si="2"/>
        <v>61844.5</v>
      </c>
      <c r="O12" s="184">
        <f t="shared" si="2"/>
        <v>8817</v>
      </c>
      <c r="P12" s="75">
        <f>IF(N12&lt;&gt;0,O12/F12,"")</f>
        <v>205.04651162790697</v>
      </c>
      <c r="Q12" s="127">
        <f>IF(N12&lt;&gt;0,N12/O12,"")</f>
        <v>7.0142338663944654</v>
      </c>
      <c r="R12" s="297">
        <v>100754</v>
      </c>
      <c r="S12" s="110">
        <f t="shared" si="0"/>
        <v>-0.3861831788316097</v>
      </c>
      <c r="T12" s="297">
        <v>435408</v>
      </c>
      <c r="U12" s="298">
        <v>61525</v>
      </c>
      <c r="V12" s="209">
        <f t="shared" si="1"/>
        <v>7.076928078017066</v>
      </c>
    </row>
    <row r="13" spans="1:22" s="155" customFormat="1" ht="18">
      <c r="A13" s="161">
        <v>7</v>
      </c>
      <c r="B13" s="179"/>
      <c r="C13" s="71" t="s">
        <v>244</v>
      </c>
      <c r="D13" s="197">
        <v>38815</v>
      </c>
      <c r="E13" s="71" t="s">
        <v>80</v>
      </c>
      <c r="F13" s="136">
        <v>88</v>
      </c>
      <c r="G13" s="94">
        <v>4</v>
      </c>
      <c r="H13" s="101">
        <v>8958</v>
      </c>
      <c r="I13" s="126">
        <v>1720</v>
      </c>
      <c r="J13" s="101">
        <v>21136</v>
      </c>
      <c r="K13" s="126">
        <v>3311</v>
      </c>
      <c r="L13" s="101">
        <v>22583</v>
      </c>
      <c r="M13" s="126">
        <v>3503</v>
      </c>
      <c r="N13" s="267">
        <f>SUM(H13+J13+L13)</f>
        <v>52677</v>
      </c>
      <c r="O13" s="255">
        <f>SUM(I13+K13+M13)</f>
        <v>8534</v>
      </c>
      <c r="P13" s="86">
        <f>O13/F13</f>
        <v>96.97727272727273</v>
      </c>
      <c r="Q13" s="226">
        <f>N13/O13</f>
        <v>6.172603702835716</v>
      </c>
      <c r="R13" s="301">
        <v>108339</v>
      </c>
      <c r="S13" s="110">
        <f t="shared" si="0"/>
        <v>-0.5137762024755628</v>
      </c>
      <c r="T13" s="295">
        <v>880577</v>
      </c>
      <c r="U13" s="74">
        <v>123983</v>
      </c>
      <c r="V13" s="210">
        <f t="shared" si="1"/>
        <v>7.102401135639563</v>
      </c>
    </row>
    <row r="14" spans="1:22" s="155" customFormat="1" ht="18">
      <c r="A14" s="161">
        <v>8</v>
      </c>
      <c r="B14" s="179"/>
      <c r="C14" s="71" t="s">
        <v>245</v>
      </c>
      <c r="D14" s="197">
        <v>38835</v>
      </c>
      <c r="E14" s="197" t="s">
        <v>76</v>
      </c>
      <c r="F14" s="136">
        <v>40</v>
      </c>
      <c r="G14" s="94">
        <v>2</v>
      </c>
      <c r="H14" s="101">
        <v>8072</v>
      </c>
      <c r="I14" s="126">
        <v>918</v>
      </c>
      <c r="J14" s="101">
        <v>14966.5</v>
      </c>
      <c r="K14" s="126">
        <v>1679</v>
      </c>
      <c r="L14" s="101">
        <v>13776.5</v>
      </c>
      <c r="M14" s="126">
        <v>1576</v>
      </c>
      <c r="N14" s="266">
        <f>+H14+J14+L14</f>
        <v>36815</v>
      </c>
      <c r="O14" s="184">
        <f>+I14+K14+M14</f>
        <v>4173</v>
      </c>
      <c r="P14" s="75">
        <f>IF(N14&lt;&gt;0,O14/F14,"")</f>
        <v>104.325</v>
      </c>
      <c r="Q14" s="127">
        <f>IF(N14&lt;&gt;0,N14/O14,"")</f>
        <v>8.822190270788402</v>
      </c>
      <c r="R14" s="295">
        <v>100780</v>
      </c>
      <c r="S14" s="110">
        <f t="shared" si="0"/>
        <v>-0.6346993451081564</v>
      </c>
      <c r="T14" s="295">
        <v>177342</v>
      </c>
      <c r="U14" s="74">
        <v>20415</v>
      </c>
      <c r="V14" s="209">
        <f t="shared" si="1"/>
        <v>8.686847905951506</v>
      </c>
    </row>
    <row r="15" spans="1:22" s="155" customFormat="1" ht="18">
      <c r="A15" s="161">
        <v>9</v>
      </c>
      <c r="B15" s="179"/>
      <c r="C15" s="71" t="s">
        <v>263</v>
      </c>
      <c r="D15" s="197">
        <v>38716</v>
      </c>
      <c r="E15" s="197" t="s">
        <v>76</v>
      </c>
      <c r="F15" s="136">
        <v>14</v>
      </c>
      <c r="G15" s="94">
        <v>1</v>
      </c>
      <c r="H15" s="101">
        <v>5228</v>
      </c>
      <c r="I15" s="126">
        <v>521</v>
      </c>
      <c r="J15" s="101">
        <v>11741</v>
      </c>
      <c r="K15" s="126">
        <v>1146</v>
      </c>
      <c r="L15" s="101">
        <v>9421</v>
      </c>
      <c r="M15" s="126">
        <v>962</v>
      </c>
      <c r="N15" s="266">
        <f>+H15+J15+L15</f>
        <v>26390</v>
      </c>
      <c r="O15" s="184">
        <f>+I15+K15+M15</f>
        <v>2629</v>
      </c>
      <c r="P15" s="75">
        <f>IF(N15&lt;&gt;0,O15/F15,"")</f>
        <v>187.78571428571428</v>
      </c>
      <c r="Q15" s="127">
        <f>IF(N15&lt;&gt;0,N15/O15,"")</f>
        <v>10.038037276531</v>
      </c>
      <c r="R15" s="295"/>
      <c r="S15" s="110">
        <f t="shared" si="0"/>
      </c>
      <c r="T15" s="295">
        <v>26390</v>
      </c>
      <c r="U15" s="74">
        <v>2629</v>
      </c>
      <c r="V15" s="209">
        <f t="shared" si="1"/>
        <v>10.038037276531</v>
      </c>
    </row>
    <row r="16" spans="1:22" s="155" customFormat="1" ht="18.75" thickBot="1">
      <c r="A16" s="161">
        <v>10</v>
      </c>
      <c r="B16" s="181"/>
      <c r="C16" s="277" t="s">
        <v>264</v>
      </c>
      <c r="D16" s="314">
        <v>38842</v>
      </c>
      <c r="E16" s="315" t="s">
        <v>78</v>
      </c>
      <c r="F16" s="316">
        <v>40</v>
      </c>
      <c r="G16" s="132">
        <v>1</v>
      </c>
      <c r="H16" s="317">
        <v>4896</v>
      </c>
      <c r="I16" s="318">
        <v>842</v>
      </c>
      <c r="J16" s="317">
        <v>8986</v>
      </c>
      <c r="K16" s="318">
        <v>1406</v>
      </c>
      <c r="L16" s="317">
        <v>11698</v>
      </c>
      <c r="M16" s="318">
        <v>1834</v>
      </c>
      <c r="N16" s="284">
        <f>SUM(H16+J16+L16)</f>
        <v>25580</v>
      </c>
      <c r="O16" s="285">
        <f>SUM(I16+K16+M16)</f>
        <v>4082</v>
      </c>
      <c r="P16" s="125">
        <f>O16/F16</f>
        <v>102.05</v>
      </c>
      <c r="Q16" s="227">
        <f>N16/O16</f>
        <v>6.266536011758942</v>
      </c>
      <c r="R16" s="319"/>
      <c r="S16" s="120">
        <f t="shared" si="0"/>
      </c>
      <c r="T16" s="320">
        <v>25580</v>
      </c>
      <c r="U16" s="321">
        <v>4082</v>
      </c>
      <c r="V16" s="286">
        <f t="shared" si="1"/>
        <v>6.266536011758942</v>
      </c>
    </row>
    <row r="17" spans="1:28" s="60" customFormat="1" ht="19.5" thickBot="1">
      <c r="A17" s="137"/>
      <c r="B17" s="162"/>
      <c r="C17" s="163"/>
      <c r="D17" s="164"/>
      <c r="E17" s="164"/>
      <c r="F17" s="166"/>
      <c r="G17" s="166"/>
      <c r="H17" s="167"/>
      <c r="I17" s="168"/>
      <c r="J17" s="167"/>
      <c r="K17" s="168"/>
      <c r="L17" s="167"/>
      <c r="M17" s="168"/>
      <c r="N17" s="169"/>
      <c r="O17" s="170"/>
      <c r="P17" s="171"/>
      <c r="Q17" s="172"/>
      <c r="R17" s="167"/>
      <c r="S17" s="173"/>
      <c r="T17" s="167"/>
      <c r="U17" s="173"/>
      <c r="V17" s="173"/>
      <c r="W17" s="58"/>
      <c r="X17" s="59"/>
      <c r="Y17" s="58"/>
      <c r="Z17" s="58"/>
      <c r="AA17" s="58"/>
      <c r="AB17" s="58"/>
    </row>
    <row r="18" spans="1:28" s="91" customFormat="1" ht="15.75" thickBot="1">
      <c r="A18" s="140"/>
      <c r="B18" s="328" t="s">
        <v>115</v>
      </c>
      <c r="C18" s="329"/>
      <c r="D18" s="329"/>
      <c r="E18" s="329"/>
      <c r="F18" s="142">
        <f>SUM(F7:F17)</f>
        <v>710</v>
      </c>
      <c r="G18" s="141"/>
      <c r="H18" s="143"/>
      <c r="I18" s="144"/>
      <c r="J18" s="143"/>
      <c r="K18" s="144"/>
      <c r="L18" s="143"/>
      <c r="M18" s="144"/>
      <c r="N18" s="143">
        <f>SUM(N7:N17)</f>
        <v>2123796</v>
      </c>
      <c r="O18" s="144">
        <f>SUM(O7:O17)</f>
        <v>271142</v>
      </c>
      <c r="P18" s="145">
        <f>N18/F18</f>
        <v>2991.261971830986</v>
      </c>
      <c r="Q18" s="146">
        <f>N18/O18</f>
        <v>7.832781347043246</v>
      </c>
      <c r="R18" s="143"/>
      <c r="S18" s="147"/>
      <c r="T18" s="160"/>
      <c r="U18" s="148"/>
      <c r="V18" s="149"/>
      <c r="X18" s="92"/>
      <c r="AB18" s="91" t="s">
        <v>116</v>
      </c>
    </row>
    <row r="19" spans="18:22" ht="18">
      <c r="R19" s="342" t="s">
        <v>117</v>
      </c>
      <c r="S19" s="342"/>
      <c r="T19" s="342"/>
      <c r="U19" s="342"/>
      <c r="V19" s="342"/>
    </row>
    <row r="20" spans="3:22" ht="12" customHeight="1">
      <c r="C20" s="220"/>
      <c r="D20" s="220"/>
      <c r="E20" s="220"/>
      <c r="F20" s="219"/>
      <c r="G20" s="219"/>
      <c r="R20" s="343"/>
      <c r="S20" s="343"/>
      <c r="T20" s="343"/>
      <c r="U20" s="343"/>
      <c r="V20" s="343"/>
    </row>
    <row r="21" spans="18:22" ht="18">
      <c r="R21" s="343"/>
      <c r="S21" s="343"/>
      <c r="T21" s="343"/>
      <c r="U21" s="343"/>
      <c r="V21" s="343"/>
    </row>
    <row r="22" spans="1:22" ht="18">
      <c r="A22" s="344" t="s">
        <v>118</v>
      </c>
      <c r="B22" s="345"/>
      <c r="C22" s="345"/>
      <c r="D22" s="345"/>
      <c r="E22" s="345"/>
      <c r="F22" s="345"/>
      <c r="G22" s="345"/>
      <c r="H22" s="345"/>
      <c r="I22" s="345"/>
      <c r="J22" s="345"/>
      <c r="K22" s="345"/>
      <c r="L22" s="345"/>
      <c r="M22" s="345"/>
      <c r="N22" s="345"/>
      <c r="O22" s="345"/>
      <c r="P22" s="345"/>
      <c r="Q22" s="345"/>
      <c r="R22" s="345"/>
      <c r="S22" s="345"/>
      <c r="T22" s="345"/>
      <c r="U22" s="345"/>
      <c r="V22" s="345"/>
    </row>
    <row r="23" spans="1:22" ht="18">
      <c r="A23" s="345"/>
      <c r="B23" s="345"/>
      <c r="C23" s="345"/>
      <c r="D23" s="345"/>
      <c r="E23" s="345"/>
      <c r="F23" s="345"/>
      <c r="G23" s="345"/>
      <c r="H23" s="345"/>
      <c r="I23" s="345"/>
      <c r="J23" s="345"/>
      <c r="K23" s="345"/>
      <c r="L23" s="345"/>
      <c r="M23" s="345"/>
      <c r="N23" s="345"/>
      <c r="O23" s="345"/>
      <c r="P23" s="345"/>
      <c r="Q23" s="345"/>
      <c r="R23" s="345"/>
      <c r="S23" s="345"/>
      <c r="T23" s="345"/>
      <c r="U23" s="345"/>
      <c r="V23" s="345"/>
    </row>
    <row r="24" spans="1:22" ht="18">
      <c r="A24" s="345"/>
      <c r="B24" s="345"/>
      <c r="C24" s="345"/>
      <c r="D24" s="345"/>
      <c r="E24" s="345"/>
      <c r="F24" s="345"/>
      <c r="G24" s="345"/>
      <c r="H24" s="345"/>
      <c r="I24" s="345"/>
      <c r="J24" s="345"/>
      <c r="K24" s="345"/>
      <c r="L24" s="345"/>
      <c r="M24" s="345"/>
      <c r="N24" s="345"/>
      <c r="O24" s="345"/>
      <c r="P24" s="345"/>
      <c r="Q24" s="345"/>
      <c r="R24" s="345"/>
      <c r="S24" s="345"/>
      <c r="T24" s="345"/>
      <c r="U24" s="345"/>
      <c r="V24" s="345"/>
    </row>
    <row r="25" spans="1:22" ht="4.5" customHeight="1">
      <c r="A25" s="345"/>
      <c r="B25" s="345"/>
      <c r="C25" s="345"/>
      <c r="D25" s="345"/>
      <c r="E25" s="345"/>
      <c r="F25" s="345"/>
      <c r="G25" s="345"/>
      <c r="H25" s="345"/>
      <c r="I25" s="345"/>
      <c r="J25" s="345"/>
      <c r="K25" s="345"/>
      <c r="L25" s="345"/>
      <c r="M25" s="345"/>
      <c r="N25" s="345"/>
      <c r="O25" s="345"/>
      <c r="P25" s="345"/>
      <c r="Q25" s="345"/>
      <c r="R25" s="345"/>
      <c r="S25" s="345"/>
      <c r="T25" s="345"/>
      <c r="U25" s="345"/>
      <c r="V25" s="345"/>
    </row>
  </sheetData>
  <mergeCells count="19">
    <mergeCell ref="A22:V25"/>
    <mergeCell ref="R5:S5"/>
    <mergeCell ref="T5:V5"/>
    <mergeCell ref="B18:E18"/>
    <mergeCell ref="R19:V21"/>
    <mergeCell ref="A4:V4"/>
    <mergeCell ref="C5:C6"/>
    <mergeCell ref="D5:D6"/>
    <mergeCell ref="E5:E6"/>
    <mergeCell ref="F5:F6"/>
    <mergeCell ref="G5:G6"/>
    <mergeCell ref="H5:I5"/>
    <mergeCell ref="J5:K5"/>
    <mergeCell ref="L5:M5"/>
    <mergeCell ref="N5:Q5"/>
    <mergeCell ref="A1:V1"/>
    <mergeCell ref="A2:V2"/>
    <mergeCell ref="H3:L3"/>
    <mergeCell ref="M3:V3"/>
  </mergeCells>
  <printOptions/>
  <pageMargins left="0.65" right="0.62" top="1" bottom="1" header="0.5" footer="0.5"/>
  <pageSetup orientation="landscape" paperSize="9" scale="80" r:id="rId2"/>
  <ignoredErrors>
    <ignoredError sqref="N8:V16" formula="1"/>
  </ignoredErrors>
  <drawing r:id="rId1"/>
</worksheet>
</file>

<file path=xl/worksheets/sheet7.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26</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+'May,5-7 (we19)'!N37</f>
        <v>1257</v>
      </c>
      <c r="Q37" s="17">
        <f t="shared" si="1"/>
        <v>1</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27</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+'May,12-14(we20)'!N37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37"/>
  <sheetViews>
    <sheetView zoomScale="90" zoomScaleNormal="90" workbookViewId="0" topLeftCell="A1">
      <selection activeCell="P38" sqref="P38"/>
    </sheetView>
  </sheetViews>
  <sheetFormatPr defaultColWidth="9.140625" defaultRowHeight="12.75"/>
  <cols>
    <col min="1" max="1" width="5.140625" style="1" bestFit="1" customWidth="1"/>
    <col min="2" max="2" width="18.421875" style="1" customWidth="1"/>
    <col min="3" max="3" width="13.28125" style="20" bestFit="1" customWidth="1"/>
    <col min="4" max="4" width="9.140625" style="1" customWidth="1"/>
    <col min="5" max="5" width="5.8515625" style="1" customWidth="1"/>
    <col min="6" max="6" width="5.7109375" style="1" customWidth="1"/>
    <col min="7" max="7" width="6.421875" style="1" customWidth="1"/>
    <col min="8" max="8" width="11.421875" style="2" customWidth="1"/>
    <col min="9" max="9" width="11.28125" style="2" customWidth="1"/>
    <col min="10" max="10" width="11.421875" style="2" customWidth="1"/>
    <col min="11" max="11" width="8.7109375" style="2" bestFit="1" customWidth="1"/>
    <col min="12" max="12" width="11.421875" style="2" customWidth="1"/>
    <col min="13" max="13" width="10.28125" style="2" bestFit="1" customWidth="1"/>
    <col min="14" max="14" width="11.421875" style="2" customWidth="1"/>
    <col min="15" max="15" width="9.7109375" style="2" bestFit="1" customWidth="1"/>
    <col min="16" max="16" width="11.140625" style="2" customWidth="1"/>
    <col min="17" max="19" width="9.140625" style="1" customWidth="1"/>
    <col min="20" max="20" width="10.57421875" style="1" customWidth="1"/>
    <col min="21" max="21" width="9.8515625" style="1" customWidth="1"/>
    <col min="22" max="16384" width="9.140625" style="1" customWidth="1"/>
  </cols>
  <sheetData>
    <row r="1" spans="1:22" ht="15">
      <c r="A1" s="366" t="s">
        <v>23</v>
      </c>
      <c r="B1" s="366"/>
      <c r="C1" s="366"/>
      <c r="D1" s="366"/>
      <c r="E1" s="366"/>
      <c r="F1" s="366"/>
      <c r="G1" s="366"/>
      <c r="H1" s="366"/>
      <c r="I1" s="366"/>
      <c r="J1" s="366"/>
      <c r="K1" s="366"/>
      <c r="L1" s="366"/>
      <c r="M1" s="366"/>
      <c r="N1" s="366"/>
      <c r="O1" s="366"/>
      <c r="P1" s="366"/>
      <c r="Q1" s="366"/>
      <c r="R1" s="366"/>
      <c r="S1" s="366"/>
      <c r="T1" s="366"/>
      <c r="U1" s="366"/>
      <c r="V1" s="366"/>
    </row>
    <row r="2" spans="1:22" ht="15.75">
      <c r="A2" s="368" t="s">
        <v>59</v>
      </c>
      <c r="B2" s="369"/>
      <c r="C2" s="369"/>
      <c r="D2" s="369"/>
      <c r="E2" s="369"/>
      <c r="F2" s="369"/>
      <c r="G2" s="369"/>
      <c r="H2" s="369"/>
      <c r="I2" s="369"/>
      <c r="J2" s="369"/>
      <c r="K2" s="369"/>
      <c r="L2" s="369"/>
      <c r="M2" s="369"/>
      <c r="N2" s="369"/>
      <c r="O2" s="369"/>
      <c r="P2" s="369"/>
      <c r="Q2" s="369"/>
      <c r="R2" s="369"/>
      <c r="S2" s="369"/>
      <c r="T2" s="369"/>
      <c r="U2" s="369"/>
      <c r="V2" s="369"/>
    </row>
    <row r="3" spans="1:22" ht="15.75" thickBot="1">
      <c r="A3" s="367" t="s">
        <v>28</v>
      </c>
      <c r="B3" s="367"/>
      <c r="C3" s="367"/>
      <c r="D3" s="367"/>
      <c r="E3" s="367"/>
      <c r="F3" s="367"/>
      <c r="G3" s="367"/>
      <c r="H3" s="367"/>
      <c r="I3" s="367"/>
      <c r="J3" s="367"/>
      <c r="K3" s="367"/>
      <c r="L3" s="367"/>
      <c r="M3" s="367"/>
      <c r="N3" s="367"/>
      <c r="O3" s="367"/>
      <c r="P3" s="367"/>
      <c r="Q3" s="367"/>
      <c r="R3" s="367"/>
      <c r="S3" s="367"/>
      <c r="T3" s="367"/>
      <c r="U3" s="367"/>
      <c r="V3" s="367"/>
    </row>
    <row r="4" spans="1:22" ht="12">
      <c r="A4" s="370" t="s">
        <v>21</v>
      </c>
      <c r="B4" s="363" t="s">
        <v>0</v>
      </c>
      <c r="C4" s="373" t="s">
        <v>1</v>
      </c>
      <c r="D4" s="363" t="s">
        <v>2</v>
      </c>
      <c r="E4" s="363" t="s">
        <v>3</v>
      </c>
      <c r="F4" s="363" t="s">
        <v>20</v>
      </c>
      <c r="G4" s="363" t="s">
        <v>19</v>
      </c>
      <c r="H4" s="383" t="s">
        <v>10</v>
      </c>
      <c r="I4" s="384"/>
      <c r="J4" s="384"/>
      <c r="K4" s="384"/>
      <c r="L4" s="384"/>
      <c r="M4" s="384"/>
      <c r="N4" s="384"/>
      <c r="O4" s="385"/>
      <c r="P4" s="14"/>
      <c r="Q4" s="15"/>
      <c r="R4" s="363" t="s">
        <v>12</v>
      </c>
      <c r="S4" s="363" t="s">
        <v>13</v>
      </c>
      <c r="T4" s="363" t="s">
        <v>14</v>
      </c>
      <c r="U4" s="363" t="s">
        <v>15</v>
      </c>
      <c r="V4" s="376" t="s">
        <v>13</v>
      </c>
    </row>
    <row r="5" spans="1:22" ht="12">
      <c r="A5" s="364"/>
      <c r="B5" s="371"/>
      <c r="C5" s="374"/>
      <c r="D5" s="364"/>
      <c r="E5" s="364"/>
      <c r="F5" s="364"/>
      <c r="G5" s="364"/>
      <c r="H5" s="379" t="s">
        <v>4</v>
      </c>
      <c r="I5" s="380"/>
      <c r="J5" s="379" t="s">
        <v>7</v>
      </c>
      <c r="K5" s="380"/>
      <c r="L5" s="379" t="s">
        <v>8</v>
      </c>
      <c r="M5" s="380"/>
      <c r="N5" s="379" t="s">
        <v>9</v>
      </c>
      <c r="O5" s="380"/>
      <c r="P5" s="381" t="s">
        <v>17</v>
      </c>
      <c r="Q5" s="382"/>
      <c r="R5" s="364"/>
      <c r="S5" s="364"/>
      <c r="T5" s="364"/>
      <c r="U5" s="364"/>
      <c r="V5" s="377"/>
    </row>
    <row r="6" spans="1:22" ht="36">
      <c r="A6" s="365"/>
      <c r="B6" s="372"/>
      <c r="C6" s="375"/>
      <c r="D6" s="365"/>
      <c r="E6" s="365"/>
      <c r="F6" s="365"/>
      <c r="G6" s="365"/>
      <c r="H6" s="16" t="s">
        <v>5</v>
      </c>
      <c r="I6" s="3" t="s">
        <v>16</v>
      </c>
      <c r="J6" s="16" t="s">
        <v>5</v>
      </c>
      <c r="K6" s="3" t="s">
        <v>6</v>
      </c>
      <c r="L6" s="16" t="s">
        <v>5</v>
      </c>
      <c r="M6" s="3" t="s">
        <v>6</v>
      </c>
      <c r="N6" s="16" t="s">
        <v>5</v>
      </c>
      <c r="O6" s="3" t="s">
        <v>6</v>
      </c>
      <c r="P6" s="16" t="s">
        <v>18</v>
      </c>
      <c r="Q6" s="4" t="s">
        <v>11</v>
      </c>
      <c r="R6" s="365"/>
      <c r="S6" s="365"/>
      <c r="T6" s="365"/>
      <c r="U6" s="365"/>
      <c r="V6" s="378"/>
    </row>
    <row r="7" spans="1:22" s="11" customFormat="1" ht="16.5" customHeight="1">
      <c r="A7" s="9">
        <v>1</v>
      </c>
      <c r="B7" s="10"/>
      <c r="C7" s="49"/>
      <c r="D7" s="9"/>
      <c r="E7" s="9"/>
      <c r="F7" s="9"/>
      <c r="G7" s="21"/>
      <c r="H7" s="22"/>
      <c r="I7" s="23"/>
      <c r="J7" s="22"/>
      <c r="K7" s="23"/>
      <c r="L7" s="22"/>
      <c r="M7" s="23"/>
      <c r="N7" s="22">
        <f>+L7+J7+H7</f>
        <v>0</v>
      </c>
      <c r="O7" s="23">
        <f>+M7+K7+I7</f>
        <v>0</v>
      </c>
      <c r="P7" s="22"/>
      <c r="Q7" s="24" t="e">
        <f>(+P7-N7)/P7</f>
        <v>#DIV/0!</v>
      </c>
      <c r="R7" s="25" t="e">
        <f>+O7/F7</f>
        <v>#DIV/0!</v>
      </c>
      <c r="S7" s="26" t="e">
        <f>+N7/O7</f>
        <v>#DIV/0!</v>
      </c>
      <c r="T7" s="25"/>
      <c r="U7" s="25"/>
      <c r="V7" s="27" t="e">
        <f>+T7/U7</f>
        <v>#DIV/0!</v>
      </c>
    </row>
    <row r="8" spans="1:22" ht="16.5" customHeight="1">
      <c r="A8" s="7">
        <f>+A7+1</f>
        <v>2</v>
      </c>
      <c r="B8" s="5"/>
      <c r="C8" s="50"/>
      <c r="D8" s="7"/>
      <c r="E8" s="7"/>
      <c r="F8" s="7"/>
      <c r="G8" s="28"/>
      <c r="H8" s="29"/>
      <c r="I8" s="30"/>
      <c r="J8" s="29"/>
      <c r="K8" s="30"/>
      <c r="L8" s="29"/>
      <c r="M8" s="30"/>
      <c r="N8" s="29">
        <f aca="true" t="shared" si="0" ref="N8:O36">+L8+J8+H8</f>
        <v>0</v>
      </c>
      <c r="O8" s="30">
        <f t="shared" si="0"/>
        <v>0</v>
      </c>
      <c r="P8" s="29"/>
      <c r="Q8" s="31" t="e">
        <f aca="true" t="shared" si="1" ref="Q8:Q37">(+P8-N8)/P8</f>
        <v>#DIV/0!</v>
      </c>
      <c r="R8" s="32" t="e">
        <f aca="true" t="shared" si="2" ref="R8:S37">+O8/F8</f>
        <v>#DIV/0!</v>
      </c>
      <c r="S8" s="33" t="e">
        <f aca="true" t="shared" si="3" ref="S8:S36">+N8/O8</f>
        <v>#DIV/0!</v>
      </c>
      <c r="T8" s="32"/>
      <c r="U8" s="32"/>
      <c r="V8" s="34" t="e">
        <f aca="true" t="shared" si="4" ref="V8:V36">+T8/U8</f>
        <v>#DIV/0!</v>
      </c>
    </row>
    <row r="9" spans="1:22" s="11" customFormat="1" ht="16.5" customHeight="1">
      <c r="A9" s="12">
        <f aca="true" t="shared" si="5" ref="A9:A33">+A8+1</f>
        <v>3</v>
      </c>
      <c r="B9" s="13"/>
      <c r="C9" s="51"/>
      <c r="D9" s="12"/>
      <c r="E9" s="12"/>
      <c r="F9" s="12"/>
      <c r="G9" s="35"/>
      <c r="H9" s="36"/>
      <c r="I9" s="37"/>
      <c r="J9" s="36"/>
      <c r="K9" s="37"/>
      <c r="L9" s="36"/>
      <c r="M9" s="37"/>
      <c r="N9" s="36">
        <f t="shared" si="0"/>
        <v>0</v>
      </c>
      <c r="O9" s="37">
        <f t="shared" si="0"/>
        <v>0</v>
      </c>
      <c r="P9" s="36"/>
      <c r="Q9" s="38" t="e">
        <f t="shared" si="1"/>
        <v>#DIV/0!</v>
      </c>
      <c r="R9" s="39" t="e">
        <f t="shared" si="2"/>
        <v>#DIV/0!</v>
      </c>
      <c r="S9" s="40" t="e">
        <f t="shared" si="3"/>
        <v>#DIV/0!</v>
      </c>
      <c r="T9" s="39"/>
      <c r="U9" s="39"/>
      <c r="V9" s="41" t="e">
        <f t="shared" si="4"/>
        <v>#DIV/0!</v>
      </c>
    </row>
    <row r="10" spans="1:22" ht="16.5" customHeight="1">
      <c r="A10" s="7">
        <f t="shared" si="5"/>
        <v>4</v>
      </c>
      <c r="B10" s="5"/>
      <c r="C10" s="50"/>
      <c r="D10" s="7"/>
      <c r="E10" s="7"/>
      <c r="F10" s="7"/>
      <c r="G10" s="28"/>
      <c r="H10" s="29"/>
      <c r="I10" s="30"/>
      <c r="J10" s="29"/>
      <c r="K10" s="30"/>
      <c r="L10" s="29"/>
      <c r="M10" s="30"/>
      <c r="N10" s="29">
        <f t="shared" si="0"/>
        <v>0</v>
      </c>
      <c r="O10" s="30">
        <f t="shared" si="0"/>
        <v>0</v>
      </c>
      <c r="P10" s="29"/>
      <c r="Q10" s="31" t="e">
        <f t="shared" si="1"/>
        <v>#DIV/0!</v>
      </c>
      <c r="R10" s="32" t="e">
        <f t="shared" si="2"/>
        <v>#DIV/0!</v>
      </c>
      <c r="S10" s="33" t="e">
        <f t="shared" si="3"/>
        <v>#DIV/0!</v>
      </c>
      <c r="T10" s="32"/>
      <c r="U10" s="32"/>
      <c r="V10" s="34" t="e">
        <f t="shared" si="4"/>
        <v>#DIV/0!</v>
      </c>
    </row>
    <row r="11" spans="1:22" s="11" customFormat="1" ht="16.5" customHeight="1">
      <c r="A11" s="12">
        <f t="shared" si="5"/>
        <v>5</v>
      </c>
      <c r="B11" s="13"/>
      <c r="C11" s="51"/>
      <c r="D11" s="12"/>
      <c r="E11" s="12"/>
      <c r="F11" s="12"/>
      <c r="G11" s="35"/>
      <c r="H11" s="36"/>
      <c r="I11" s="37"/>
      <c r="J11" s="36"/>
      <c r="K11" s="37"/>
      <c r="L11" s="36"/>
      <c r="M11" s="37"/>
      <c r="N11" s="36">
        <f t="shared" si="0"/>
        <v>0</v>
      </c>
      <c r="O11" s="37">
        <f t="shared" si="0"/>
        <v>0</v>
      </c>
      <c r="P11" s="36"/>
      <c r="Q11" s="38" t="e">
        <f t="shared" si="1"/>
        <v>#DIV/0!</v>
      </c>
      <c r="R11" s="39" t="e">
        <f t="shared" si="2"/>
        <v>#DIV/0!</v>
      </c>
      <c r="S11" s="40" t="e">
        <f t="shared" si="3"/>
        <v>#DIV/0!</v>
      </c>
      <c r="T11" s="39"/>
      <c r="U11" s="39"/>
      <c r="V11" s="41" t="e">
        <f t="shared" si="4"/>
        <v>#DIV/0!</v>
      </c>
    </row>
    <row r="12" spans="1:22" ht="16.5" customHeight="1">
      <c r="A12" s="7">
        <f t="shared" si="5"/>
        <v>6</v>
      </c>
      <c r="B12" s="5"/>
      <c r="C12" s="50"/>
      <c r="D12" s="7"/>
      <c r="E12" s="7"/>
      <c r="F12" s="7"/>
      <c r="G12" s="28"/>
      <c r="H12" s="29"/>
      <c r="I12" s="30"/>
      <c r="J12" s="29"/>
      <c r="K12" s="30"/>
      <c r="L12" s="29"/>
      <c r="M12" s="30"/>
      <c r="N12" s="29">
        <f t="shared" si="0"/>
        <v>0</v>
      </c>
      <c r="O12" s="30">
        <f t="shared" si="0"/>
        <v>0</v>
      </c>
      <c r="P12" s="29"/>
      <c r="Q12" s="31" t="e">
        <f t="shared" si="1"/>
        <v>#DIV/0!</v>
      </c>
      <c r="R12" s="32" t="e">
        <f t="shared" si="2"/>
        <v>#DIV/0!</v>
      </c>
      <c r="S12" s="33" t="e">
        <f t="shared" si="3"/>
        <v>#DIV/0!</v>
      </c>
      <c r="T12" s="32"/>
      <c r="U12" s="32"/>
      <c r="V12" s="34" t="e">
        <f t="shared" si="4"/>
        <v>#DIV/0!</v>
      </c>
    </row>
    <row r="13" spans="1:22" s="11" customFormat="1" ht="16.5" customHeight="1">
      <c r="A13" s="12">
        <f t="shared" si="5"/>
        <v>7</v>
      </c>
      <c r="B13" s="13"/>
      <c r="C13" s="51"/>
      <c r="D13" s="12"/>
      <c r="E13" s="12"/>
      <c r="F13" s="12"/>
      <c r="G13" s="35"/>
      <c r="H13" s="36"/>
      <c r="I13" s="37"/>
      <c r="J13" s="36"/>
      <c r="K13" s="37"/>
      <c r="L13" s="36"/>
      <c r="M13" s="37"/>
      <c r="N13" s="36">
        <f t="shared" si="0"/>
        <v>0</v>
      </c>
      <c r="O13" s="37">
        <f t="shared" si="0"/>
        <v>0</v>
      </c>
      <c r="P13" s="36"/>
      <c r="Q13" s="38" t="e">
        <f t="shared" si="1"/>
        <v>#DIV/0!</v>
      </c>
      <c r="R13" s="39" t="e">
        <f t="shared" si="2"/>
        <v>#DIV/0!</v>
      </c>
      <c r="S13" s="40" t="e">
        <f t="shared" si="3"/>
        <v>#DIV/0!</v>
      </c>
      <c r="T13" s="39"/>
      <c r="U13" s="39"/>
      <c r="V13" s="41" t="e">
        <f t="shared" si="4"/>
        <v>#DIV/0!</v>
      </c>
    </row>
    <row r="14" spans="1:22" ht="16.5" customHeight="1">
      <c r="A14" s="7">
        <f t="shared" si="5"/>
        <v>8</v>
      </c>
      <c r="B14" s="5"/>
      <c r="C14" s="50"/>
      <c r="D14" s="7"/>
      <c r="E14" s="7"/>
      <c r="F14" s="7"/>
      <c r="G14" s="28"/>
      <c r="H14" s="29"/>
      <c r="I14" s="30"/>
      <c r="J14" s="29"/>
      <c r="K14" s="30"/>
      <c r="L14" s="29"/>
      <c r="M14" s="30"/>
      <c r="N14" s="29">
        <f t="shared" si="0"/>
        <v>0</v>
      </c>
      <c r="O14" s="30">
        <f t="shared" si="0"/>
        <v>0</v>
      </c>
      <c r="P14" s="29"/>
      <c r="Q14" s="31" t="e">
        <f t="shared" si="1"/>
        <v>#DIV/0!</v>
      </c>
      <c r="R14" s="32" t="e">
        <f t="shared" si="2"/>
        <v>#DIV/0!</v>
      </c>
      <c r="S14" s="33" t="e">
        <f t="shared" si="3"/>
        <v>#DIV/0!</v>
      </c>
      <c r="T14" s="32"/>
      <c r="U14" s="32"/>
      <c r="V14" s="34" t="e">
        <f t="shared" si="4"/>
        <v>#DIV/0!</v>
      </c>
    </row>
    <row r="15" spans="1:22" s="11" customFormat="1" ht="16.5" customHeight="1">
      <c r="A15" s="12">
        <f t="shared" si="5"/>
        <v>9</v>
      </c>
      <c r="B15" s="13"/>
      <c r="C15" s="51"/>
      <c r="D15" s="12"/>
      <c r="E15" s="12"/>
      <c r="F15" s="12"/>
      <c r="G15" s="35"/>
      <c r="H15" s="36"/>
      <c r="I15" s="37"/>
      <c r="J15" s="36"/>
      <c r="K15" s="37"/>
      <c r="L15" s="36"/>
      <c r="M15" s="37"/>
      <c r="N15" s="36">
        <f t="shared" si="0"/>
        <v>0</v>
      </c>
      <c r="O15" s="37">
        <f t="shared" si="0"/>
        <v>0</v>
      </c>
      <c r="P15" s="36"/>
      <c r="Q15" s="38" t="e">
        <f t="shared" si="1"/>
        <v>#DIV/0!</v>
      </c>
      <c r="R15" s="39" t="e">
        <f t="shared" si="2"/>
        <v>#DIV/0!</v>
      </c>
      <c r="S15" s="40" t="e">
        <f t="shared" si="3"/>
        <v>#DIV/0!</v>
      </c>
      <c r="T15" s="39"/>
      <c r="U15" s="39"/>
      <c r="V15" s="41" t="e">
        <f t="shared" si="4"/>
        <v>#DIV/0!</v>
      </c>
    </row>
    <row r="16" spans="1:22" ht="16.5" customHeight="1">
      <c r="A16" s="7">
        <f t="shared" si="5"/>
        <v>10</v>
      </c>
      <c r="B16" s="5"/>
      <c r="C16" s="50"/>
      <c r="D16" s="7"/>
      <c r="E16" s="7"/>
      <c r="F16" s="7"/>
      <c r="G16" s="28"/>
      <c r="H16" s="29"/>
      <c r="I16" s="30"/>
      <c r="J16" s="29"/>
      <c r="K16" s="30"/>
      <c r="L16" s="29"/>
      <c r="M16" s="30"/>
      <c r="N16" s="29">
        <f t="shared" si="0"/>
        <v>0</v>
      </c>
      <c r="O16" s="30">
        <f t="shared" si="0"/>
        <v>0</v>
      </c>
      <c r="P16" s="29"/>
      <c r="Q16" s="31" t="e">
        <f t="shared" si="1"/>
        <v>#DIV/0!</v>
      </c>
      <c r="R16" s="32" t="e">
        <f t="shared" si="2"/>
        <v>#DIV/0!</v>
      </c>
      <c r="S16" s="33" t="e">
        <f t="shared" si="3"/>
        <v>#DIV/0!</v>
      </c>
      <c r="T16" s="32"/>
      <c r="U16" s="32"/>
      <c r="V16" s="34" t="e">
        <f t="shared" si="4"/>
        <v>#DIV/0!</v>
      </c>
    </row>
    <row r="17" spans="1:22" s="11" customFormat="1" ht="16.5" customHeight="1">
      <c r="A17" s="12">
        <f t="shared" si="5"/>
        <v>11</v>
      </c>
      <c r="B17" s="13"/>
      <c r="C17" s="51"/>
      <c r="D17" s="12"/>
      <c r="E17" s="12"/>
      <c r="F17" s="12"/>
      <c r="G17" s="35"/>
      <c r="H17" s="36"/>
      <c r="I17" s="37"/>
      <c r="J17" s="36"/>
      <c r="K17" s="37"/>
      <c r="L17" s="36"/>
      <c r="M17" s="37"/>
      <c r="N17" s="36">
        <f t="shared" si="0"/>
        <v>0</v>
      </c>
      <c r="O17" s="37">
        <f t="shared" si="0"/>
        <v>0</v>
      </c>
      <c r="P17" s="36"/>
      <c r="Q17" s="38" t="e">
        <f t="shared" si="1"/>
        <v>#DIV/0!</v>
      </c>
      <c r="R17" s="39" t="e">
        <f t="shared" si="2"/>
        <v>#DIV/0!</v>
      </c>
      <c r="S17" s="40" t="e">
        <f t="shared" si="3"/>
        <v>#DIV/0!</v>
      </c>
      <c r="T17" s="39"/>
      <c r="U17" s="39"/>
      <c r="V17" s="41" t="e">
        <f t="shared" si="4"/>
        <v>#DIV/0!</v>
      </c>
    </row>
    <row r="18" spans="1:22" ht="16.5" customHeight="1">
      <c r="A18" s="7">
        <f t="shared" si="5"/>
        <v>12</v>
      </c>
      <c r="B18" s="5"/>
      <c r="C18" s="50"/>
      <c r="D18" s="7"/>
      <c r="E18" s="7"/>
      <c r="F18" s="7"/>
      <c r="G18" s="28"/>
      <c r="H18" s="29"/>
      <c r="I18" s="30"/>
      <c r="J18" s="29"/>
      <c r="K18" s="30"/>
      <c r="L18" s="29"/>
      <c r="M18" s="30"/>
      <c r="N18" s="29">
        <f t="shared" si="0"/>
        <v>0</v>
      </c>
      <c r="O18" s="30">
        <f t="shared" si="0"/>
        <v>0</v>
      </c>
      <c r="P18" s="29"/>
      <c r="Q18" s="31" t="e">
        <f t="shared" si="1"/>
        <v>#DIV/0!</v>
      </c>
      <c r="R18" s="32" t="e">
        <f t="shared" si="2"/>
        <v>#DIV/0!</v>
      </c>
      <c r="S18" s="33" t="e">
        <f t="shared" si="3"/>
        <v>#DIV/0!</v>
      </c>
      <c r="T18" s="32"/>
      <c r="U18" s="32"/>
      <c r="V18" s="34" t="e">
        <f t="shared" si="4"/>
        <v>#DIV/0!</v>
      </c>
    </row>
    <row r="19" spans="1:22" s="11" customFormat="1" ht="16.5" customHeight="1">
      <c r="A19" s="12">
        <f t="shared" si="5"/>
        <v>13</v>
      </c>
      <c r="B19" s="13"/>
      <c r="C19" s="51"/>
      <c r="D19" s="12"/>
      <c r="E19" s="12"/>
      <c r="F19" s="12"/>
      <c r="G19" s="35"/>
      <c r="H19" s="36"/>
      <c r="I19" s="37"/>
      <c r="J19" s="36"/>
      <c r="K19" s="37"/>
      <c r="L19" s="36"/>
      <c r="M19" s="37"/>
      <c r="N19" s="36">
        <f t="shared" si="0"/>
        <v>0</v>
      </c>
      <c r="O19" s="37">
        <f t="shared" si="0"/>
        <v>0</v>
      </c>
      <c r="P19" s="36"/>
      <c r="Q19" s="38" t="e">
        <f t="shared" si="1"/>
        <v>#DIV/0!</v>
      </c>
      <c r="R19" s="39" t="e">
        <f t="shared" si="2"/>
        <v>#DIV/0!</v>
      </c>
      <c r="S19" s="40" t="e">
        <f t="shared" si="3"/>
        <v>#DIV/0!</v>
      </c>
      <c r="T19" s="39"/>
      <c r="U19" s="39"/>
      <c r="V19" s="41" t="e">
        <f t="shared" si="4"/>
        <v>#DIV/0!</v>
      </c>
    </row>
    <row r="20" spans="1:22" ht="16.5" customHeight="1">
      <c r="A20" s="7">
        <f t="shared" si="5"/>
        <v>14</v>
      </c>
      <c r="B20" s="5"/>
      <c r="C20" s="50"/>
      <c r="D20" s="7"/>
      <c r="E20" s="7"/>
      <c r="F20" s="7"/>
      <c r="G20" s="28"/>
      <c r="H20" s="29"/>
      <c r="I20" s="30"/>
      <c r="J20" s="29"/>
      <c r="K20" s="30"/>
      <c r="L20" s="29"/>
      <c r="M20" s="30"/>
      <c r="N20" s="29">
        <f t="shared" si="0"/>
        <v>0</v>
      </c>
      <c r="O20" s="30">
        <f t="shared" si="0"/>
        <v>0</v>
      </c>
      <c r="P20" s="29"/>
      <c r="Q20" s="31" t="e">
        <f t="shared" si="1"/>
        <v>#DIV/0!</v>
      </c>
      <c r="R20" s="32" t="e">
        <f t="shared" si="2"/>
        <v>#DIV/0!</v>
      </c>
      <c r="S20" s="33" t="e">
        <f t="shared" si="3"/>
        <v>#DIV/0!</v>
      </c>
      <c r="T20" s="32"/>
      <c r="U20" s="32"/>
      <c r="V20" s="34" t="e">
        <f t="shared" si="4"/>
        <v>#DIV/0!</v>
      </c>
    </row>
    <row r="21" spans="1:22" s="11" customFormat="1" ht="16.5" customHeight="1">
      <c r="A21" s="12">
        <f t="shared" si="5"/>
        <v>15</v>
      </c>
      <c r="B21" s="13"/>
      <c r="C21" s="51"/>
      <c r="D21" s="12"/>
      <c r="E21" s="12"/>
      <c r="F21" s="12"/>
      <c r="G21" s="35"/>
      <c r="H21" s="36"/>
      <c r="I21" s="37"/>
      <c r="J21" s="36"/>
      <c r="K21" s="37"/>
      <c r="L21" s="36"/>
      <c r="M21" s="37"/>
      <c r="N21" s="36">
        <f t="shared" si="0"/>
        <v>0</v>
      </c>
      <c r="O21" s="37">
        <f t="shared" si="0"/>
        <v>0</v>
      </c>
      <c r="P21" s="36"/>
      <c r="Q21" s="38" t="e">
        <f t="shared" si="1"/>
        <v>#DIV/0!</v>
      </c>
      <c r="R21" s="39" t="e">
        <f t="shared" si="2"/>
        <v>#DIV/0!</v>
      </c>
      <c r="S21" s="40" t="e">
        <f t="shared" si="3"/>
        <v>#DIV/0!</v>
      </c>
      <c r="T21" s="39"/>
      <c r="U21" s="39"/>
      <c r="V21" s="41" t="e">
        <f t="shared" si="4"/>
        <v>#DIV/0!</v>
      </c>
    </row>
    <row r="22" spans="1:22" ht="16.5" customHeight="1">
      <c r="A22" s="7">
        <f t="shared" si="5"/>
        <v>16</v>
      </c>
      <c r="B22" s="5"/>
      <c r="C22" s="50"/>
      <c r="D22" s="7"/>
      <c r="E22" s="7"/>
      <c r="F22" s="7"/>
      <c r="G22" s="28"/>
      <c r="H22" s="29"/>
      <c r="I22" s="30"/>
      <c r="J22" s="29"/>
      <c r="K22" s="30"/>
      <c r="L22" s="29"/>
      <c r="M22" s="30"/>
      <c r="N22" s="29">
        <f t="shared" si="0"/>
        <v>0</v>
      </c>
      <c r="O22" s="30">
        <f t="shared" si="0"/>
        <v>0</v>
      </c>
      <c r="P22" s="29"/>
      <c r="Q22" s="31" t="e">
        <f t="shared" si="1"/>
        <v>#DIV/0!</v>
      </c>
      <c r="R22" s="32" t="e">
        <f t="shared" si="2"/>
        <v>#DIV/0!</v>
      </c>
      <c r="S22" s="33" t="e">
        <f t="shared" si="3"/>
        <v>#DIV/0!</v>
      </c>
      <c r="T22" s="32"/>
      <c r="U22" s="32"/>
      <c r="V22" s="34" t="e">
        <f t="shared" si="4"/>
        <v>#DIV/0!</v>
      </c>
    </row>
    <row r="23" spans="1:22" s="11" customFormat="1" ht="16.5" customHeight="1">
      <c r="A23" s="12">
        <f t="shared" si="5"/>
        <v>17</v>
      </c>
      <c r="B23" s="13"/>
      <c r="C23" s="51"/>
      <c r="D23" s="12"/>
      <c r="E23" s="12"/>
      <c r="F23" s="12"/>
      <c r="G23" s="35"/>
      <c r="H23" s="36"/>
      <c r="I23" s="37"/>
      <c r="J23" s="36"/>
      <c r="K23" s="37"/>
      <c r="L23" s="36"/>
      <c r="M23" s="37"/>
      <c r="N23" s="36">
        <f t="shared" si="0"/>
        <v>0</v>
      </c>
      <c r="O23" s="37">
        <f t="shared" si="0"/>
        <v>0</v>
      </c>
      <c r="P23" s="36"/>
      <c r="Q23" s="38" t="e">
        <f t="shared" si="1"/>
        <v>#DIV/0!</v>
      </c>
      <c r="R23" s="39" t="e">
        <f t="shared" si="2"/>
        <v>#DIV/0!</v>
      </c>
      <c r="S23" s="40" t="e">
        <f t="shared" si="3"/>
        <v>#DIV/0!</v>
      </c>
      <c r="T23" s="39"/>
      <c r="U23" s="39"/>
      <c r="V23" s="41" t="e">
        <f t="shared" si="4"/>
        <v>#DIV/0!</v>
      </c>
    </row>
    <row r="24" spans="1:22" ht="16.5" customHeight="1">
      <c r="A24" s="7">
        <f t="shared" si="5"/>
        <v>18</v>
      </c>
      <c r="B24" s="5"/>
      <c r="C24" s="50"/>
      <c r="D24" s="7"/>
      <c r="E24" s="7"/>
      <c r="F24" s="7"/>
      <c r="G24" s="28"/>
      <c r="H24" s="29"/>
      <c r="I24" s="30"/>
      <c r="J24" s="29"/>
      <c r="K24" s="30"/>
      <c r="L24" s="29"/>
      <c r="M24" s="30"/>
      <c r="N24" s="29">
        <f t="shared" si="0"/>
        <v>0</v>
      </c>
      <c r="O24" s="30">
        <f t="shared" si="0"/>
        <v>0</v>
      </c>
      <c r="P24" s="29"/>
      <c r="Q24" s="31" t="e">
        <f t="shared" si="1"/>
        <v>#DIV/0!</v>
      </c>
      <c r="R24" s="32" t="e">
        <f t="shared" si="2"/>
        <v>#DIV/0!</v>
      </c>
      <c r="S24" s="33" t="e">
        <f t="shared" si="3"/>
        <v>#DIV/0!</v>
      </c>
      <c r="T24" s="32"/>
      <c r="U24" s="32"/>
      <c r="V24" s="34" t="e">
        <f t="shared" si="4"/>
        <v>#DIV/0!</v>
      </c>
    </row>
    <row r="25" spans="1:22" s="11" customFormat="1" ht="16.5" customHeight="1">
      <c r="A25" s="12">
        <f t="shared" si="5"/>
        <v>19</v>
      </c>
      <c r="B25" s="13"/>
      <c r="C25" s="51"/>
      <c r="D25" s="12"/>
      <c r="E25" s="12"/>
      <c r="F25" s="12"/>
      <c r="G25" s="35"/>
      <c r="H25" s="36"/>
      <c r="I25" s="37"/>
      <c r="J25" s="36"/>
      <c r="K25" s="37"/>
      <c r="L25" s="36"/>
      <c r="M25" s="37"/>
      <c r="N25" s="36">
        <f t="shared" si="0"/>
        <v>0</v>
      </c>
      <c r="O25" s="37">
        <f t="shared" si="0"/>
        <v>0</v>
      </c>
      <c r="P25" s="36"/>
      <c r="Q25" s="38" t="e">
        <f t="shared" si="1"/>
        <v>#DIV/0!</v>
      </c>
      <c r="R25" s="39" t="e">
        <f t="shared" si="2"/>
        <v>#DIV/0!</v>
      </c>
      <c r="S25" s="40" t="e">
        <f t="shared" si="3"/>
        <v>#DIV/0!</v>
      </c>
      <c r="T25" s="39"/>
      <c r="U25" s="39"/>
      <c r="V25" s="41" t="e">
        <f t="shared" si="4"/>
        <v>#DIV/0!</v>
      </c>
    </row>
    <row r="26" spans="1:22" ht="16.5" customHeight="1">
      <c r="A26" s="7">
        <f t="shared" si="5"/>
        <v>20</v>
      </c>
      <c r="B26" s="5"/>
      <c r="C26" s="50"/>
      <c r="D26" s="7"/>
      <c r="E26" s="7"/>
      <c r="F26" s="7"/>
      <c r="G26" s="28"/>
      <c r="H26" s="29"/>
      <c r="I26" s="30"/>
      <c r="J26" s="29"/>
      <c r="K26" s="30"/>
      <c r="L26" s="29"/>
      <c r="M26" s="30"/>
      <c r="N26" s="29">
        <f t="shared" si="0"/>
        <v>0</v>
      </c>
      <c r="O26" s="30">
        <f t="shared" si="0"/>
        <v>0</v>
      </c>
      <c r="P26" s="29"/>
      <c r="Q26" s="31" t="e">
        <f t="shared" si="1"/>
        <v>#DIV/0!</v>
      </c>
      <c r="R26" s="32" t="e">
        <f t="shared" si="2"/>
        <v>#DIV/0!</v>
      </c>
      <c r="S26" s="33" t="e">
        <f t="shared" si="3"/>
        <v>#DIV/0!</v>
      </c>
      <c r="T26" s="32"/>
      <c r="U26" s="32"/>
      <c r="V26" s="34" t="e">
        <f t="shared" si="4"/>
        <v>#DIV/0!</v>
      </c>
    </row>
    <row r="27" spans="1:22" s="11" customFormat="1" ht="16.5" customHeight="1">
      <c r="A27" s="12">
        <f t="shared" si="5"/>
        <v>21</v>
      </c>
      <c r="B27" s="13"/>
      <c r="C27" s="51"/>
      <c r="D27" s="12"/>
      <c r="E27" s="12"/>
      <c r="F27" s="12"/>
      <c r="G27" s="35"/>
      <c r="H27" s="36"/>
      <c r="I27" s="37"/>
      <c r="J27" s="36"/>
      <c r="K27" s="37"/>
      <c r="L27" s="36"/>
      <c r="M27" s="37"/>
      <c r="N27" s="36">
        <f t="shared" si="0"/>
        <v>0</v>
      </c>
      <c r="O27" s="37">
        <f t="shared" si="0"/>
        <v>0</v>
      </c>
      <c r="P27" s="36"/>
      <c r="Q27" s="38" t="e">
        <f t="shared" si="1"/>
        <v>#DIV/0!</v>
      </c>
      <c r="R27" s="39" t="e">
        <f t="shared" si="2"/>
        <v>#DIV/0!</v>
      </c>
      <c r="S27" s="40" t="e">
        <f t="shared" si="3"/>
        <v>#DIV/0!</v>
      </c>
      <c r="T27" s="39"/>
      <c r="U27" s="39"/>
      <c r="V27" s="41" t="e">
        <f t="shared" si="4"/>
        <v>#DIV/0!</v>
      </c>
    </row>
    <row r="28" spans="1:22" ht="16.5" customHeight="1">
      <c r="A28" s="7">
        <f t="shared" si="5"/>
        <v>22</v>
      </c>
      <c r="B28" s="5"/>
      <c r="C28" s="50"/>
      <c r="D28" s="7"/>
      <c r="E28" s="7"/>
      <c r="F28" s="7"/>
      <c r="G28" s="28"/>
      <c r="H28" s="29"/>
      <c r="I28" s="30"/>
      <c r="J28" s="29"/>
      <c r="K28" s="30"/>
      <c r="L28" s="29"/>
      <c r="M28" s="30"/>
      <c r="N28" s="29">
        <f t="shared" si="0"/>
        <v>0</v>
      </c>
      <c r="O28" s="30">
        <f t="shared" si="0"/>
        <v>0</v>
      </c>
      <c r="P28" s="29"/>
      <c r="Q28" s="31" t="e">
        <f t="shared" si="1"/>
        <v>#DIV/0!</v>
      </c>
      <c r="R28" s="32" t="e">
        <f t="shared" si="2"/>
        <v>#DIV/0!</v>
      </c>
      <c r="S28" s="33" t="e">
        <f t="shared" si="3"/>
        <v>#DIV/0!</v>
      </c>
      <c r="T28" s="32"/>
      <c r="U28" s="32"/>
      <c r="V28" s="34" t="e">
        <f t="shared" si="4"/>
        <v>#DIV/0!</v>
      </c>
    </row>
    <row r="29" spans="1:22" s="11" customFormat="1" ht="16.5" customHeight="1">
      <c r="A29" s="12">
        <f t="shared" si="5"/>
        <v>23</v>
      </c>
      <c r="B29" s="13"/>
      <c r="C29" s="51"/>
      <c r="D29" s="12"/>
      <c r="E29" s="12"/>
      <c r="F29" s="12"/>
      <c r="G29" s="35"/>
      <c r="H29" s="36"/>
      <c r="I29" s="37"/>
      <c r="J29" s="36"/>
      <c r="K29" s="37"/>
      <c r="L29" s="36"/>
      <c r="M29" s="37"/>
      <c r="N29" s="36">
        <f t="shared" si="0"/>
        <v>0</v>
      </c>
      <c r="O29" s="37">
        <f t="shared" si="0"/>
        <v>0</v>
      </c>
      <c r="P29" s="36"/>
      <c r="Q29" s="38" t="e">
        <f t="shared" si="1"/>
        <v>#DIV/0!</v>
      </c>
      <c r="R29" s="39" t="e">
        <f t="shared" si="2"/>
        <v>#DIV/0!</v>
      </c>
      <c r="S29" s="40" t="e">
        <f t="shared" si="3"/>
        <v>#DIV/0!</v>
      </c>
      <c r="T29" s="39"/>
      <c r="U29" s="39"/>
      <c r="V29" s="41" t="e">
        <f t="shared" si="4"/>
        <v>#DIV/0!</v>
      </c>
    </row>
    <row r="30" spans="1:22" ht="16.5" customHeight="1">
      <c r="A30" s="7">
        <f t="shared" si="5"/>
        <v>24</v>
      </c>
      <c r="B30" s="5"/>
      <c r="C30" s="50"/>
      <c r="D30" s="7"/>
      <c r="E30" s="7"/>
      <c r="F30" s="7"/>
      <c r="G30" s="28"/>
      <c r="H30" s="29"/>
      <c r="I30" s="30"/>
      <c r="J30" s="29"/>
      <c r="K30" s="30"/>
      <c r="L30" s="29"/>
      <c r="M30" s="30"/>
      <c r="N30" s="29">
        <f t="shared" si="0"/>
        <v>0</v>
      </c>
      <c r="O30" s="30">
        <f t="shared" si="0"/>
        <v>0</v>
      </c>
      <c r="P30" s="29"/>
      <c r="Q30" s="31" t="e">
        <f t="shared" si="1"/>
        <v>#DIV/0!</v>
      </c>
      <c r="R30" s="32" t="e">
        <f t="shared" si="2"/>
        <v>#DIV/0!</v>
      </c>
      <c r="S30" s="33" t="e">
        <f t="shared" si="3"/>
        <v>#DIV/0!</v>
      </c>
      <c r="T30" s="32"/>
      <c r="U30" s="32"/>
      <c r="V30" s="34" t="e">
        <f t="shared" si="4"/>
        <v>#DIV/0!</v>
      </c>
    </row>
    <row r="31" spans="1:22" s="11" customFormat="1" ht="16.5" customHeight="1">
      <c r="A31" s="12">
        <f t="shared" si="5"/>
        <v>25</v>
      </c>
      <c r="B31" s="13"/>
      <c r="C31" s="51"/>
      <c r="D31" s="12"/>
      <c r="E31" s="12"/>
      <c r="F31" s="12"/>
      <c r="G31" s="35"/>
      <c r="H31" s="36"/>
      <c r="I31" s="37"/>
      <c r="J31" s="36"/>
      <c r="K31" s="37"/>
      <c r="L31" s="36"/>
      <c r="M31" s="37"/>
      <c r="N31" s="36">
        <f t="shared" si="0"/>
        <v>0</v>
      </c>
      <c r="O31" s="37">
        <f t="shared" si="0"/>
        <v>0</v>
      </c>
      <c r="P31" s="36"/>
      <c r="Q31" s="38" t="e">
        <f t="shared" si="1"/>
        <v>#DIV/0!</v>
      </c>
      <c r="R31" s="39" t="e">
        <f t="shared" si="2"/>
        <v>#DIV/0!</v>
      </c>
      <c r="S31" s="40" t="e">
        <f t="shared" si="3"/>
        <v>#DIV/0!</v>
      </c>
      <c r="T31" s="39"/>
      <c r="U31" s="39"/>
      <c r="V31" s="41" t="e">
        <f t="shared" si="4"/>
        <v>#DIV/0!</v>
      </c>
    </row>
    <row r="32" spans="1:22" ht="16.5" customHeight="1">
      <c r="A32" s="7">
        <f t="shared" si="5"/>
        <v>26</v>
      </c>
      <c r="B32" s="5"/>
      <c r="C32" s="50"/>
      <c r="D32" s="7"/>
      <c r="E32" s="7"/>
      <c r="F32" s="7"/>
      <c r="G32" s="28"/>
      <c r="H32" s="29"/>
      <c r="I32" s="30"/>
      <c r="J32" s="29"/>
      <c r="K32" s="30"/>
      <c r="L32" s="29"/>
      <c r="M32" s="30"/>
      <c r="N32" s="29">
        <f t="shared" si="0"/>
        <v>0</v>
      </c>
      <c r="O32" s="30">
        <f t="shared" si="0"/>
        <v>0</v>
      </c>
      <c r="P32" s="29"/>
      <c r="Q32" s="31" t="e">
        <f t="shared" si="1"/>
        <v>#DIV/0!</v>
      </c>
      <c r="R32" s="32" t="e">
        <f t="shared" si="2"/>
        <v>#DIV/0!</v>
      </c>
      <c r="S32" s="33" t="e">
        <f t="shared" si="3"/>
        <v>#DIV/0!</v>
      </c>
      <c r="T32" s="32"/>
      <c r="U32" s="32"/>
      <c r="V32" s="34" t="e">
        <f t="shared" si="4"/>
        <v>#DIV/0!</v>
      </c>
    </row>
    <row r="33" spans="1:22" s="11" customFormat="1" ht="16.5" customHeight="1">
      <c r="A33" s="12">
        <f t="shared" si="5"/>
        <v>27</v>
      </c>
      <c r="B33" s="13"/>
      <c r="C33" s="51"/>
      <c r="D33" s="12"/>
      <c r="E33" s="12"/>
      <c r="F33" s="12"/>
      <c r="G33" s="35"/>
      <c r="H33" s="36"/>
      <c r="I33" s="37"/>
      <c r="J33" s="36"/>
      <c r="K33" s="37"/>
      <c r="L33" s="36"/>
      <c r="M33" s="37"/>
      <c r="N33" s="36">
        <f t="shared" si="0"/>
        <v>0</v>
      </c>
      <c r="O33" s="37">
        <f t="shared" si="0"/>
        <v>0</v>
      </c>
      <c r="P33" s="36"/>
      <c r="Q33" s="38" t="e">
        <f t="shared" si="1"/>
        <v>#DIV/0!</v>
      </c>
      <c r="R33" s="39" t="e">
        <f t="shared" si="2"/>
        <v>#DIV/0!</v>
      </c>
      <c r="S33" s="40" t="e">
        <f t="shared" si="3"/>
        <v>#DIV/0!</v>
      </c>
      <c r="T33" s="39"/>
      <c r="U33" s="39"/>
      <c r="V33" s="41" t="e">
        <f t="shared" si="4"/>
        <v>#DIV/0!</v>
      </c>
    </row>
    <row r="34" spans="1:22" ht="16.5" customHeight="1">
      <c r="A34" s="7">
        <f>+A33+1</f>
        <v>28</v>
      </c>
      <c r="B34" s="5"/>
      <c r="C34" s="50"/>
      <c r="D34" s="7"/>
      <c r="E34" s="7"/>
      <c r="F34" s="7"/>
      <c r="G34" s="28"/>
      <c r="H34" s="29"/>
      <c r="I34" s="30"/>
      <c r="J34" s="29"/>
      <c r="K34" s="30"/>
      <c r="L34" s="29"/>
      <c r="M34" s="30"/>
      <c r="N34" s="29">
        <f t="shared" si="0"/>
        <v>0</v>
      </c>
      <c r="O34" s="30">
        <f t="shared" si="0"/>
        <v>0</v>
      </c>
      <c r="P34" s="29"/>
      <c r="Q34" s="31" t="e">
        <f t="shared" si="1"/>
        <v>#DIV/0!</v>
      </c>
      <c r="R34" s="32" t="e">
        <f t="shared" si="2"/>
        <v>#DIV/0!</v>
      </c>
      <c r="S34" s="33" t="e">
        <f t="shared" si="3"/>
        <v>#DIV/0!</v>
      </c>
      <c r="T34" s="32"/>
      <c r="U34" s="32"/>
      <c r="V34" s="34" t="e">
        <f t="shared" si="4"/>
        <v>#DIV/0!</v>
      </c>
    </row>
    <row r="35" spans="1:22" s="11" customFormat="1" ht="16.5" customHeight="1">
      <c r="A35" s="12">
        <f>+A34+1</f>
        <v>29</v>
      </c>
      <c r="B35" s="13"/>
      <c r="C35" s="51"/>
      <c r="D35" s="12"/>
      <c r="E35" s="12"/>
      <c r="F35" s="12"/>
      <c r="G35" s="35"/>
      <c r="H35" s="36"/>
      <c r="I35" s="37"/>
      <c r="J35" s="36"/>
      <c r="K35" s="37"/>
      <c r="L35" s="36"/>
      <c r="M35" s="37"/>
      <c r="N35" s="36">
        <f t="shared" si="0"/>
        <v>0</v>
      </c>
      <c r="O35" s="37">
        <f t="shared" si="0"/>
        <v>0</v>
      </c>
      <c r="P35" s="36"/>
      <c r="Q35" s="38" t="e">
        <f t="shared" si="1"/>
        <v>#DIV/0!</v>
      </c>
      <c r="R35" s="39" t="e">
        <f t="shared" si="2"/>
        <v>#DIV/0!</v>
      </c>
      <c r="S35" s="40" t="e">
        <f t="shared" si="3"/>
        <v>#DIV/0!</v>
      </c>
      <c r="T35" s="39"/>
      <c r="U35" s="39"/>
      <c r="V35" s="41" t="e">
        <f t="shared" si="4"/>
        <v>#DIV/0!</v>
      </c>
    </row>
    <row r="36" spans="1:22" ht="16.5" customHeight="1" thickBot="1">
      <c r="A36" s="8">
        <f>+A35+1</f>
        <v>30</v>
      </c>
      <c r="B36" s="6"/>
      <c r="C36" s="52"/>
      <c r="D36" s="8"/>
      <c r="E36" s="8"/>
      <c r="F36" s="8"/>
      <c r="G36" s="42"/>
      <c r="H36" s="43"/>
      <c r="I36" s="44"/>
      <c r="J36" s="43"/>
      <c r="K36" s="44"/>
      <c r="L36" s="43"/>
      <c r="M36" s="44"/>
      <c r="N36" s="43">
        <f t="shared" si="0"/>
        <v>0</v>
      </c>
      <c r="O36" s="44">
        <f t="shared" si="0"/>
        <v>0</v>
      </c>
      <c r="P36" s="43"/>
      <c r="Q36" s="45" t="e">
        <f t="shared" si="1"/>
        <v>#DIV/0!</v>
      </c>
      <c r="R36" s="46" t="e">
        <f t="shared" si="2"/>
        <v>#DIV/0!</v>
      </c>
      <c r="S36" s="47" t="e">
        <f t="shared" si="3"/>
        <v>#DIV/0!</v>
      </c>
      <c r="T36" s="46"/>
      <c r="U36" s="46"/>
      <c r="V36" s="48" t="e">
        <f t="shared" si="4"/>
        <v>#DIV/0!</v>
      </c>
    </row>
    <row r="37" spans="1:22" ht="12">
      <c r="A37" s="17"/>
      <c r="B37" s="17" t="s">
        <v>22</v>
      </c>
      <c r="C37" s="19"/>
      <c r="D37" s="17"/>
      <c r="E37" s="17">
        <f>SUM(E7:E36)</f>
        <v>0</v>
      </c>
      <c r="F37" s="17">
        <f>SUM(F7:F36)</f>
        <v>0</v>
      </c>
      <c r="G37" s="17"/>
      <c r="H37" s="17">
        <f>SUM(H7:H36)</f>
        <v>0</v>
      </c>
      <c r="I37" s="18"/>
      <c r="J37" s="17">
        <f>SUM(J7:J36)</f>
        <v>0</v>
      </c>
      <c r="K37" s="18"/>
      <c r="L37" s="17">
        <f>SUM(L7:L36)</f>
        <v>0</v>
      </c>
      <c r="M37" s="18"/>
      <c r="N37" s="17">
        <f>SUM(N7:N36)</f>
        <v>0</v>
      </c>
      <c r="O37" s="17">
        <f>SUM(O7:O36)</f>
        <v>0</v>
      </c>
      <c r="P37" s="17">
        <f>+'May,19-21 (we21)'!O37</f>
        <v>0</v>
      </c>
      <c r="Q37" s="17" t="e">
        <f t="shared" si="1"/>
        <v>#DIV/0!</v>
      </c>
      <c r="R37" s="17" t="e">
        <f t="shared" si="2"/>
        <v>#DIV/0!</v>
      </c>
      <c r="S37" s="17" t="e">
        <f t="shared" si="2"/>
        <v>#DIV/0!</v>
      </c>
      <c r="T37" s="17"/>
      <c r="U37" s="17"/>
      <c r="V37" s="17"/>
    </row>
  </sheetData>
  <mergeCells count="21">
    <mergeCell ref="V4:V6"/>
    <mergeCell ref="H5:I5"/>
    <mergeCell ref="J5:K5"/>
    <mergeCell ref="L5:M5"/>
    <mergeCell ref="N5:O5"/>
    <mergeCell ref="P5:Q5"/>
    <mergeCell ref="H4:O4"/>
    <mergeCell ref="A1:V1"/>
    <mergeCell ref="A3:V3"/>
    <mergeCell ref="A2:V2"/>
    <mergeCell ref="A4:A6"/>
    <mergeCell ref="B4:B6"/>
    <mergeCell ref="C4:C6"/>
    <mergeCell ref="D4:D6"/>
    <mergeCell ref="S4:S6"/>
    <mergeCell ref="F4:F6"/>
    <mergeCell ref="U4:U6"/>
    <mergeCell ref="E4:E6"/>
    <mergeCell ref="R4:R6"/>
    <mergeCell ref="G4:G6"/>
    <mergeCell ref="T4:T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2006-05-08T15:13:07Z</cp:lastPrinted>
  <dcterms:created xsi:type="dcterms:W3CDTF">2006-03-15T09:07:04Z</dcterms:created>
  <dcterms:modified xsi:type="dcterms:W3CDTF">2006-05-08T16:43:11Z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