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320" windowHeight="12120" activeTab="0"/>
  </bookViews>
  <sheets>
    <sheet name="10 Mar - 16 Mar (WK 11)" sheetId="1" r:id="rId1"/>
    <sheet name="03 Dec - 16 Mar (Annual)" sheetId="2" r:id="rId2"/>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'03 Dec - 16 Mar (Annual)'!$A$1:$I$48</definedName>
    <definedName name="_xlnm.Print_Area" localSheetId="0">'10 Mar - 16 Mar (WK 11)'!$A$1:$O$96</definedName>
  </definedNames>
  <calcPr fullCalcOnLoad="1"/>
</workbook>
</file>

<file path=xl/sharedStrings.xml><?xml version="1.0" encoding="utf-8"?>
<sst xmlns="http://schemas.openxmlformats.org/spreadsheetml/2006/main" count="268" uniqueCount="163">
  <si>
    <t>SAINT ANGE</t>
  </si>
  <si>
    <t>CACHE</t>
  </si>
  <si>
    <t>THE WEDDING DATE</t>
  </si>
  <si>
    <t>SEN NE DILERSEN</t>
  </si>
  <si>
    <t>SQUID AND THE WHALE, THE</t>
  </si>
  <si>
    <t>OZEN / AVSAR</t>
  </si>
  <si>
    <t>OZEN / ARZU/FIDA</t>
  </si>
  <si>
    <t>OZEN / TRAVMA</t>
  </si>
  <si>
    <t>OZEN / UMUT</t>
  </si>
  <si>
    <t>OZEN / FOX</t>
  </si>
  <si>
    <t>OZEN / J PLAN</t>
  </si>
  <si>
    <t xml:space="preserve">OZEN / FOCUS </t>
  </si>
  <si>
    <t>OZEN / UMUT SANAT</t>
  </si>
  <si>
    <t>35 MM / BELGE FILM</t>
  </si>
  <si>
    <t xml:space="preserve">35 MM / AVSAR FILM </t>
  </si>
  <si>
    <t>35 MM / KARA FILM</t>
  </si>
  <si>
    <t>BARBAR FILM / SONY</t>
  </si>
  <si>
    <t>CRASH</t>
  </si>
  <si>
    <t>ME AND YOU AND EVERYONE WE KNOW</t>
  </si>
  <si>
    <t>HACIVAT KARAGOZ NEDEN OLDURULDU?</t>
  </si>
  <si>
    <t>KURTLAR VADISI IRAK</t>
  </si>
  <si>
    <t>KELOGLAN KARA PRENS'E KARSI</t>
  </si>
  <si>
    <t>ORGANIZE ISLER</t>
  </si>
  <si>
    <t>16.03.2006 - 15.00</t>
  </si>
  <si>
    <t>GOOD WOMAN, A</t>
  </si>
  <si>
    <t>CHANTIER / FILMFOUR</t>
  </si>
  <si>
    <t>MOTORCYCLE DIARIES</t>
  </si>
  <si>
    <t>This Week's Total</t>
  </si>
  <si>
    <t>Films</t>
  </si>
  <si>
    <t>Admission</t>
  </si>
  <si>
    <t>EXCHANGE RATES</t>
  </si>
  <si>
    <t>Buying</t>
  </si>
  <si>
    <t>Selling</t>
  </si>
  <si>
    <t>Avg. Ticket</t>
  </si>
  <si>
    <t>USD</t>
  </si>
  <si>
    <t>EUR</t>
  </si>
  <si>
    <t>GBP</t>
  </si>
  <si>
    <t>CHF</t>
  </si>
  <si>
    <t>Title</t>
  </si>
  <si>
    <t>Release
Date</t>
  </si>
  <si>
    <t># of
Prints</t>
  </si>
  <si>
    <t>Week</t>
  </si>
  <si>
    <t>Cumulative</t>
  </si>
  <si>
    <t>G.B.O.</t>
  </si>
  <si>
    <t>Adm.</t>
  </si>
  <si>
    <t>Avg.
Ticket</t>
  </si>
  <si>
    <t xml:space="preserve">Avg.
Ticket </t>
  </si>
  <si>
    <t>HOSTEL</t>
  </si>
  <si>
    <t>WB / COLUMBIA</t>
  </si>
  <si>
    <t>FUN WITH DICK &amp; JANE</t>
  </si>
  <si>
    <t>WB / PRA</t>
  </si>
  <si>
    <t>NEW WORLD, THE</t>
  </si>
  <si>
    <t>MATCHPOINT</t>
  </si>
  <si>
    <t>WB / CHANTIER</t>
  </si>
  <si>
    <t>MEMOIRS OF A GEISHA</t>
  </si>
  <si>
    <t>FOG, THE</t>
  </si>
  <si>
    <t>RUMOR HAS IT</t>
  </si>
  <si>
    <t>WB / WARNER BROS.</t>
  </si>
  <si>
    <t>TIM BURTON'S CORPSE BRIDE</t>
  </si>
  <si>
    <t>EXORCISM OF EMILY ROSE</t>
  </si>
  <si>
    <t>SIN CITY</t>
  </si>
  <si>
    <t>WB / FILMPOP</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</si>
  <si>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i/>
        <sz val="8"/>
        <rFont val="Trebuchet MS"/>
        <family val="0"/>
      </rPr>
      <t>"Turkey's Weekly Market Datas" chart which is given above displays the number of admmissions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r>
      <rPr>
        <sz val="8"/>
        <rFont val="Trebuchet MS"/>
        <family val="0"/>
      </rPr>
      <t xml:space="preserve">
</t>
    </r>
  </si>
  <si>
    <t>BIG MOMA'S HOUSE</t>
  </si>
  <si>
    <t>DABBE</t>
  </si>
  <si>
    <t>WALK THE LINE</t>
  </si>
  <si>
    <t>DANNY THE DOG</t>
  </si>
  <si>
    <t>SAW 2</t>
  </si>
  <si>
    <t>WB / FIDA</t>
  </si>
  <si>
    <t>LEGEND OF ZORRO</t>
  </si>
  <si>
    <t>HOSTAGE</t>
  </si>
  <si>
    <t>WB / AVSAR</t>
  </si>
  <si>
    <t>ZATHURA</t>
  </si>
  <si>
    <t>CUORE SACRO</t>
  </si>
  <si>
    <t>WB / AFS</t>
  </si>
  <si>
    <t>HARRY POTTER 4</t>
  </si>
  <si>
    <t>BABAM VE OGLUM</t>
  </si>
  <si>
    <t>JARHEAD</t>
  </si>
  <si>
    <t>VOKSNE MENNESKER (DARK HORSE)</t>
  </si>
  <si>
    <t>SEX &amp; PHILOSOPHY</t>
  </si>
  <si>
    <t>CONEJO EN LA LUNA (RABBIT ON THE MOON)</t>
  </si>
  <si>
    <t>ENEL MUNDO A CADA RATO</t>
  </si>
  <si>
    <t>G.B.O. YTL</t>
  </si>
  <si>
    <t>25/11/05</t>
  </si>
  <si>
    <t>BIR FILM / CAPITOL</t>
  </si>
  <si>
    <t>R FILM / UNICEF</t>
  </si>
  <si>
    <t>KENDA / IFR.</t>
  </si>
  <si>
    <t>BIR FILM / TRUST</t>
  </si>
  <si>
    <t>Distributor &amp; Coımpany</t>
  </si>
  <si>
    <t>Week in Release</t>
  </si>
  <si>
    <t>Avg. Ticket Price</t>
  </si>
  <si>
    <t>Release Date</t>
  </si>
  <si>
    <t>2006 Turkey Annual Box Office Report
30 Dec '05 ~ 16 Mar '06</t>
  </si>
  <si>
    <t>CHANTIER / LIONS GATE</t>
  </si>
  <si>
    <t>R FILM / FRANCE</t>
  </si>
  <si>
    <t>Weekly Antrakt Cinema Newspaper Presents - Haftalık Antrakt Sinema Gazetesi Sunar</t>
  </si>
  <si>
    <t>FAMILY STONE, THE</t>
  </si>
  <si>
    <t>LES TEMPS QUI CHANGENT</t>
  </si>
  <si>
    <t>TIGER AND THE SNOW, THE</t>
  </si>
  <si>
    <t>KENDA / IFR</t>
  </si>
  <si>
    <t>KENDA / PANA</t>
  </si>
  <si>
    <t>KENDA / ENERGY</t>
  </si>
  <si>
    <t>KENDA / BKM</t>
  </si>
  <si>
    <t>DUN GECE BIR RUYA GORDUM</t>
  </si>
  <si>
    <t>HABABAM SINIFI UCBUCUK</t>
  </si>
  <si>
    <t>Distributor &amp;
Company</t>
  </si>
  <si>
    <t># of
Screen</t>
  </si>
  <si>
    <t>Weeks in      Release</t>
  </si>
  <si>
    <t>Screen Avg.
(Admission)</t>
  </si>
  <si>
    <t># of Last Weeks New Releases</t>
  </si>
  <si>
    <t>Total Admission of New Releases</t>
  </si>
  <si>
    <t># of Local Films</t>
  </si>
  <si>
    <t>Total Admission of Local Films</t>
  </si>
  <si>
    <t># of Foreign Films</t>
  </si>
  <si>
    <t>Total Admission of Foraign Films</t>
  </si>
  <si>
    <t>THIS WEEKS - 10 - 16 MARCH 2006 WEEK: 11</t>
  </si>
  <si>
    <t>DISTRIBUTERS CHART</t>
  </si>
  <si>
    <t>WARNER BROS.</t>
  </si>
  <si>
    <t>OZEN FILM</t>
  </si>
  <si>
    <t>U.I.P.</t>
  </si>
  <si>
    <t>KENDA</t>
  </si>
  <si>
    <t>UMUT SANAT</t>
  </si>
  <si>
    <t>35 MM.</t>
  </si>
  <si>
    <t>BARBAR FILM</t>
  </si>
  <si>
    <t>CHANTIER FILMS</t>
  </si>
  <si>
    <t>R FILM</t>
  </si>
  <si>
    <t>WEATHER MAN</t>
  </si>
  <si>
    <t>NANNY  MCHPEE</t>
  </si>
  <si>
    <t>AEON FLUX</t>
  </si>
  <si>
    <t>GOOD NIGHT GOOD LUCK</t>
  </si>
  <si>
    <t>PRIDE&amp;PREJUDICE</t>
  </si>
  <si>
    <t>PROOF</t>
  </si>
  <si>
    <t>MUNICH</t>
  </si>
  <si>
    <t>DREAMER</t>
  </si>
  <si>
    <t>CHICKEN LITTLE</t>
  </si>
  <si>
    <t>WALLACE&amp;GROMIT</t>
  </si>
  <si>
    <t>MADAGASCAR</t>
  </si>
  <si>
    <t>FATELESS</t>
  </si>
  <si>
    <t>LE GRAND VOYAGE</t>
  </si>
  <si>
    <t>KURZ UND SCHMERZLOS</t>
  </si>
  <si>
    <t>DANDELION</t>
  </si>
  <si>
    <t>STOLEN EYES</t>
  </si>
  <si>
    <t>RED SHOES</t>
  </si>
  <si>
    <t>TROUBLE</t>
  </si>
  <si>
    <t>BAMBI 2</t>
  </si>
  <si>
    <t>CRONICLES OF NARNIA</t>
  </si>
  <si>
    <t>UIP / PARAMOUNT</t>
  </si>
  <si>
    <t>UIP / BUENA VISTA</t>
  </si>
  <si>
    <t>UIP / UNIVERSAL</t>
  </si>
  <si>
    <t>UIP / METRO</t>
  </si>
  <si>
    <t>UIP / DREAMWORKS</t>
  </si>
  <si>
    <t>BIR FILM / H20</t>
  </si>
  <si>
    <t>BIR FILM / PYRAMIDE</t>
  </si>
  <si>
    <t>BIR FILM / BAVARIA</t>
  </si>
  <si>
    <t>BIR FILM / WILD BUNCH</t>
  </si>
  <si>
    <t>BIR FILM / YAKA FILM</t>
  </si>
  <si>
    <t>BIR FILM / TF 1</t>
  </si>
  <si>
    <t>BIR FILM / CINECLICK</t>
  </si>
  <si>
    <t>BIR FILM</t>
  </si>
  <si>
    <t>OYUN</t>
  </si>
  <si>
    <t>UMUT SANAT / SINE FILM</t>
  </si>
  <si>
    <t>BRIDES</t>
  </si>
  <si>
    <t>UMUT SANAT / OZEN</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</si>
</sst>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s>
  <fonts count="35">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0"/>
    </font>
    <font>
      <b/>
      <sz val="10"/>
      <name val="Arial"/>
      <family val="2"/>
    </font>
    <font>
      <b/>
      <sz val="14"/>
      <name val="Impact"/>
      <family val="2"/>
    </font>
    <font>
      <b/>
      <sz val="10"/>
      <name val="Impact"/>
      <family val="2"/>
    </font>
    <font>
      <b/>
      <sz val="10"/>
      <color indexed="9"/>
      <name val="Impact"/>
      <family val="2"/>
    </font>
    <font>
      <b/>
      <sz val="14"/>
      <name val="Arial"/>
      <family val="2"/>
    </font>
    <font>
      <sz val="20"/>
      <name val="Impact"/>
      <family val="2"/>
    </font>
    <font>
      <b/>
      <sz val="10"/>
      <name val="Trebuchet MS"/>
      <family val="0"/>
    </font>
    <font>
      <sz val="10"/>
      <name val="Trebuchet MS"/>
      <family val="0"/>
    </font>
    <font>
      <sz val="10"/>
      <color indexed="8"/>
      <name val="Trebuchet MS"/>
      <family val="0"/>
    </font>
    <font>
      <b/>
      <sz val="10"/>
      <color indexed="9"/>
      <name val="Trebuchet MS"/>
      <family val="0"/>
    </font>
    <font>
      <b/>
      <i/>
      <sz val="8"/>
      <name val="Trebuchet MS"/>
      <family val="0"/>
    </font>
    <font>
      <sz val="20"/>
      <color indexed="44"/>
      <name val="GoudyLight"/>
      <family val="0"/>
    </font>
    <font>
      <sz val="8"/>
      <name val="Verdana"/>
      <family val="0"/>
    </font>
    <font>
      <b/>
      <sz val="8"/>
      <name val="Albertus Extra Bold"/>
      <family val="0"/>
    </font>
    <font>
      <sz val="8"/>
      <name val="Arial"/>
      <family val="2"/>
    </font>
    <font>
      <b/>
      <sz val="9"/>
      <name val="Times New Roman"/>
      <family val="1"/>
    </font>
    <font>
      <b/>
      <sz val="9"/>
      <name val="Albertus Extra Bold"/>
      <family val="2"/>
    </font>
    <font>
      <b/>
      <sz val="8"/>
      <color indexed="9"/>
      <name val="Albertus Extra Bold"/>
      <family val="0"/>
    </font>
    <font>
      <b/>
      <sz val="10"/>
      <name val="Albertus Extra Bold"/>
      <family val="2"/>
    </font>
    <font>
      <sz val="25"/>
      <color indexed="9"/>
      <name val="Impact"/>
      <family val="0"/>
    </font>
    <font>
      <b/>
      <sz val="10"/>
      <color indexed="9"/>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56"/>
        <bgColor indexed="64"/>
      </patternFill>
    </fill>
  </fills>
  <borders count="60">
    <border>
      <left/>
      <right/>
      <top/>
      <bottom/>
      <diagonal/>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medium"/>
      <right>
        <color indexed="63"/>
      </righ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hair"/>
      <right style="hair"/>
      <top style="hair"/>
      <bottom style="hair"/>
    </border>
    <border>
      <left style="thin"/>
      <right style="thin"/>
      <top style="thin"/>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dashed"/>
      <top style="dashed"/>
      <bottom>
        <color indexed="63"/>
      </bottom>
    </border>
    <border>
      <left style="dashed"/>
      <right style="thin"/>
      <top style="dashed"/>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color indexed="63"/>
      </top>
      <bottom style="hair"/>
    </border>
    <border>
      <left style="hair"/>
      <right style="medium"/>
      <top>
        <color indexed="63"/>
      </top>
      <bottom style="hair"/>
    </border>
    <border>
      <left style="hair"/>
      <right style="hair"/>
      <top>
        <color indexed="63"/>
      </top>
      <bottom style="hair"/>
    </border>
    <border>
      <left style="hair"/>
      <right>
        <color indexed="63"/>
      </right>
      <top style="hair"/>
      <bottom style="hair"/>
    </border>
    <border>
      <left style="medium"/>
      <right style="dotted"/>
      <top>
        <color indexed="63"/>
      </top>
      <bottom style="medium"/>
    </border>
    <border>
      <left style="dotted"/>
      <right style="dotted"/>
      <top>
        <color indexed="63"/>
      </top>
      <bottom style="medium"/>
    </border>
    <border>
      <left style="dotted"/>
      <right style="medium"/>
      <top>
        <color indexed="63"/>
      </top>
      <bottom style="dotted"/>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medium"/>
      <top style="medium"/>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3" fillId="0" borderId="0" xfId="0" applyFont="1" applyFill="1" applyBorder="1" applyAlignment="1" applyProtection="1">
      <alignment horizontal="center" vertical="center"/>
      <protection/>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187" fontId="7" fillId="0" borderId="0" xfId="0" applyNumberFormat="1" applyFont="1" applyFill="1" applyBorder="1" applyAlignment="1" applyProtection="1">
      <alignment vertical="center"/>
      <protection locked="0"/>
    </xf>
    <xf numFmtId="187" fontId="4" fillId="0" borderId="0" xfId="0" applyNumberFormat="1" applyFont="1" applyFill="1" applyBorder="1" applyAlignment="1" applyProtection="1">
      <alignment horizontal="right" vertical="center"/>
      <protection/>
    </xf>
    <xf numFmtId="181" fontId="4" fillId="0" borderId="0" xfId="0" applyNumberFormat="1" applyFont="1" applyFill="1" applyBorder="1" applyAlignment="1" applyProtection="1">
      <alignment horizontal="right" vertical="center"/>
      <protection/>
    </xf>
    <xf numFmtId="181" fontId="7" fillId="0" borderId="0" xfId="0" applyNumberFormat="1" applyFont="1" applyFill="1" applyBorder="1" applyAlignment="1" applyProtection="1">
      <alignment vertical="center"/>
      <protection locked="0"/>
    </xf>
    <xf numFmtId="181"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187" fontId="13" fillId="0" borderId="0" xfId="0" applyNumberFormat="1" applyFont="1" applyFill="1" applyBorder="1" applyAlignment="1" applyProtection="1">
      <alignment vertical="center"/>
      <protection locked="0"/>
    </xf>
    <xf numFmtId="181" fontId="13" fillId="0" borderId="0" xfId="0" applyNumberFormat="1" applyFont="1" applyFill="1" applyBorder="1" applyAlignment="1" applyProtection="1">
      <alignment vertical="center"/>
      <protection locked="0"/>
    </xf>
    <xf numFmtId="192" fontId="13" fillId="0" borderId="0" xfId="15" applyNumberFormat="1" applyFont="1" applyFill="1" applyBorder="1" applyAlignment="1" applyProtection="1">
      <alignment vertical="center"/>
      <protection/>
    </xf>
    <xf numFmtId="0" fontId="12" fillId="0" borderId="0" xfId="0"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protection locked="0"/>
    </xf>
    <xf numFmtId="0" fontId="13" fillId="0" borderId="2" xfId="0" applyFont="1" applyFill="1" applyBorder="1" applyAlignment="1" applyProtection="1">
      <alignment horizontal="right" vertical="center"/>
      <protection locked="0"/>
    </xf>
    <xf numFmtId="0" fontId="13" fillId="0" borderId="3" xfId="0"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right" vertical="center"/>
      <protection locked="0"/>
    </xf>
    <xf numFmtId="0" fontId="13" fillId="0" borderId="5" xfId="0" applyNumberFormat="1" applyFont="1" applyFill="1" applyBorder="1" applyAlignment="1" applyProtection="1">
      <alignment horizontal="center" vertical="center"/>
      <protection locked="0"/>
    </xf>
    <xf numFmtId="0" fontId="13" fillId="0" borderId="6" xfId="0" applyFont="1" applyFill="1" applyBorder="1" applyAlignment="1" applyProtection="1">
      <alignment vertical="center"/>
      <protection locked="0"/>
    </xf>
    <xf numFmtId="0" fontId="13" fillId="0" borderId="7" xfId="0" applyNumberFormat="1"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3" fillId="0" borderId="9" xfId="0" applyFont="1" applyFill="1" applyBorder="1" applyAlignment="1" applyProtection="1">
      <alignment horizontal="right" vertical="center"/>
      <protection locked="0"/>
    </xf>
    <xf numFmtId="0" fontId="13" fillId="0" borderId="10" xfId="0" applyFont="1" applyFill="1" applyBorder="1" applyAlignment="1" applyProtection="1">
      <alignment horizontal="right" vertical="center"/>
      <protection locked="0"/>
    </xf>
    <xf numFmtId="0" fontId="13" fillId="0" borderId="6" xfId="0" applyNumberFormat="1" applyFont="1" applyFill="1" applyBorder="1" applyAlignment="1" applyProtection="1">
      <alignment horizontal="center" vertical="center"/>
      <protection locked="0"/>
    </xf>
    <xf numFmtId="0" fontId="13" fillId="0" borderId="11" xfId="0" applyFont="1" applyFill="1" applyBorder="1" applyAlignment="1" applyProtection="1">
      <alignment horizontal="right" vertical="center"/>
      <protection locked="0"/>
    </xf>
    <xf numFmtId="0" fontId="13" fillId="0" borderId="12" xfId="0" applyNumberFormat="1" applyFont="1" applyFill="1" applyBorder="1" applyAlignment="1" applyProtection="1">
      <alignment horizontal="center" vertical="center"/>
      <protection locked="0"/>
    </xf>
    <xf numFmtId="0" fontId="13" fillId="0" borderId="13"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3" fillId="0" borderId="14" xfId="0" applyFont="1" applyFill="1" applyBorder="1" applyAlignment="1" applyProtection="1">
      <alignment horizontal="right" vertical="center"/>
      <protection locked="0"/>
    </xf>
    <xf numFmtId="0" fontId="12" fillId="0" borderId="6" xfId="0" applyNumberFormat="1" applyFont="1" applyFill="1" applyBorder="1" applyAlignment="1" applyProtection="1">
      <alignment horizontal="center" vertical="center"/>
      <protection locked="0"/>
    </xf>
    <xf numFmtId="0" fontId="12" fillId="0" borderId="7"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right" vertical="center"/>
      <protection locked="0"/>
    </xf>
    <xf numFmtId="0" fontId="13" fillId="0" borderId="12" xfId="0" applyFont="1" applyFill="1" applyBorder="1" applyAlignment="1" applyProtection="1">
      <alignment horizontal="left" vertical="center" indent="1"/>
      <protection locked="0"/>
    </xf>
    <xf numFmtId="0" fontId="13" fillId="0" borderId="3" xfId="0" applyFont="1" applyFill="1" applyBorder="1" applyAlignment="1" applyProtection="1">
      <alignment horizontal="left" vertical="center" indent="1"/>
      <protection locked="0"/>
    </xf>
    <xf numFmtId="0" fontId="13" fillId="0" borderId="6" xfId="0" applyFont="1" applyFill="1" applyBorder="1" applyAlignment="1" applyProtection="1">
      <alignment horizontal="left" vertical="center" indent="1"/>
      <protection locked="0"/>
    </xf>
    <xf numFmtId="193" fontId="3" fillId="0" borderId="0" xfId="0" applyNumberFormat="1" applyFont="1" applyFill="1" applyBorder="1" applyAlignment="1" applyProtection="1">
      <alignment vertical="center"/>
      <protection/>
    </xf>
    <xf numFmtId="193" fontId="13" fillId="0" borderId="0" xfId="0" applyNumberFormat="1" applyFont="1" applyFill="1" applyBorder="1" applyAlignment="1" applyProtection="1">
      <alignment vertical="center"/>
      <protection locked="0"/>
    </xf>
    <xf numFmtId="193" fontId="7" fillId="0" borderId="0" xfId="0" applyNumberFormat="1" applyFont="1" applyFill="1" applyBorder="1" applyAlignment="1" applyProtection="1">
      <alignment vertical="center"/>
      <protection locked="0"/>
    </xf>
    <xf numFmtId="4" fontId="3" fillId="0" borderId="0" xfId="0" applyNumberFormat="1" applyFont="1" applyFill="1" applyBorder="1" applyAlignment="1" applyProtection="1">
      <alignment vertical="center"/>
      <protection/>
    </xf>
    <xf numFmtId="4" fontId="13" fillId="0" borderId="0" xfId="0" applyNumberFormat="1" applyFont="1" applyFill="1" applyBorder="1" applyAlignment="1" applyProtection="1">
      <alignment vertical="center"/>
      <protection locked="0"/>
    </xf>
    <xf numFmtId="4" fontId="7" fillId="0" borderId="0" xfId="0" applyNumberFormat="1" applyFont="1" applyFill="1" applyBorder="1" applyAlignment="1" applyProtection="1">
      <alignment vertical="center"/>
      <protection locked="0"/>
    </xf>
    <xf numFmtId="192" fontId="13" fillId="0" borderId="13" xfId="0" applyNumberFormat="1" applyFont="1" applyFill="1" applyBorder="1" applyAlignment="1" applyProtection="1">
      <alignment horizontal="center" vertical="center"/>
      <protection locked="0"/>
    </xf>
    <xf numFmtId="192" fontId="13" fillId="0" borderId="5" xfId="0" applyNumberFormat="1" applyFont="1" applyFill="1" applyBorder="1" applyAlignment="1" applyProtection="1">
      <alignment horizontal="center" vertical="center"/>
      <protection locked="0"/>
    </xf>
    <xf numFmtId="4" fontId="12" fillId="0" borderId="12" xfId="0" applyNumberFormat="1" applyFont="1" applyFill="1" applyBorder="1" applyAlignment="1" applyProtection="1">
      <alignment vertical="center"/>
      <protection locked="0"/>
    </xf>
    <xf numFmtId="4" fontId="12" fillId="0" borderId="3" xfId="0" applyNumberFormat="1" applyFont="1" applyFill="1" applyBorder="1" applyAlignment="1" applyProtection="1">
      <alignment vertical="center"/>
      <protection locked="0"/>
    </xf>
    <xf numFmtId="0" fontId="5" fillId="0" borderId="15" xfId="0" applyNumberFormat="1" applyFont="1" applyFill="1" applyBorder="1" applyAlignment="1" applyProtection="1">
      <alignment horizontal="center" vertical="center" wrapText="1"/>
      <protection/>
    </xf>
    <xf numFmtId="4" fontId="5" fillId="0" borderId="15" xfId="0" applyNumberFormat="1" applyFont="1" applyFill="1" applyBorder="1" applyAlignment="1" applyProtection="1">
      <alignment vertical="center"/>
      <protection/>
    </xf>
    <xf numFmtId="193" fontId="5" fillId="0" borderId="15"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protection/>
    </xf>
    <xf numFmtId="181" fontId="5" fillId="0" borderId="16" xfId="0" applyNumberFormat="1" applyFont="1" applyFill="1" applyBorder="1" applyAlignment="1" applyProtection="1">
      <alignment horizontal="center" vertical="center"/>
      <protection/>
    </xf>
    <xf numFmtId="193" fontId="5" fillId="0" borderId="16" xfId="0" applyNumberFormat="1" applyFont="1" applyFill="1" applyBorder="1" applyAlignment="1" applyProtection="1">
      <alignment vertical="center" wrapText="1"/>
      <protection/>
    </xf>
    <xf numFmtId="0" fontId="5" fillId="0" borderId="16" xfId="0" applyFont="1" applyFill="1" applyBorder="1" applyAlignment="1" applyProtection="1">
      <alignment horizontal="center" vertical="center" wrapText="1"/>
      <protection/>
    </xf>
    <xf numFmtId="187" fontId="5" fillId="0" borderId="16" xfId="0" applyNumberFormat="1" applyFont="1" applyFill="1" applyBorder="1" applyAlignment="1" applyProtection="1">
      <alignment horizontal="center" vertical="center"/>
      <protection/>
    </xf>
    <xf numFmtId="0" fontId="19" fillId="0" borderId="0" xfId="0" applyFont="1" applyFill="1" applyBorder="1" applyAlignment="1" applyProtection="1">
      <alignment vertical="center"/>
      <protection locked="0"/>
    </xf>
    <xf numFmtId="0" fontId="20" fillId="0" borderId="0" xfId="0" applyFont="1" applyFill="1" applyBorder="1" applyAlignment="1" applyProtection="1">
      <alignment horizontal="right" vertical="center"/>
      <protection/>
    </xf>
    <xf numFmtId="0" fontId="21" fillId="0" borderId="17" xfId="0" applyFont="1" applyFill="1" applyBorder="1" applyAlignment="1" applyProtection="1">
      <alignment vertical="center"/>
      <protection locked="0"/>
    </xf>
    <xf numFmtId="0" fontId="21" fillId="0" borderId="18" xfId="0" applyNumberFormat="1" applyFont="1" applyFill="1" applyBorder="1" applyAlignment="1" applyProtection="1">
      <alignment horizontal="center" vertical="center"/>
      <protection locked="0"/>
    </xf>
    <xf numFmtId="4" fontId="21" fillId="0" borderId="18" xfId="15" applyNumberFormat="1" applyFont="1" applyFill="1" applyBorder="1" applyAlignment="1" applyProtection="1">
      <alignment vertical="center"/>
      <protection locked="0"/>
    </xf>
    <xf numFmtId="181" fontId="21" fillId="0" borderId="18" xfId="15" applyNumberFormat="1" applyFont="1" applyFill="1" applyBorder="1" applyAlignment="1" applyProtection="1">
      <alignment vertical="center"/>
      <protection locked="0"/>
    </xf>
    <xf numFmtId="193" fontId="21" fillId="0" borderId="18" xfId="15" applyNumberFormat="1" applyFont="1" applyFill="1" applyBorder="1" applyAlignment="1" applyProtection="1">
      <alignment vertical="center"/>
      <protection/>
    </xf>
    <xf numFmtId="192" fontId="21" fillId="0" borderId="18" xfId="15" applyNumberFormat="1" applyFont="1" applyFill="1" applyBorder="1" applyAlignment="1" applyProtection="1">
      <alignment vertical="center"/>
      <protection/>
    </xf>
    <xf numFmtId="192" fontId="21" fillId="0" borderId="19" xfId="15" applyNumberFormat="1" applyFont="1" applyFill="1" applyBorder="1" applyAlignment="1" applyProtection="1">
      <alignment vertical="center"/>
      <protection/>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lignment vertical="center"/>
    </xf>
    <xf numFmtId="0" fontId="21" fillId="0" borderId="15" xfId="0" applyFont="1" applyFill="1" applyBorder="1" applyAlignment="1">
      <alignment vertical="center"/>
    </xf>
    <xf numFmtId="0" fontId="21" fillId="0" borderId="15" xfId="0" applyFont="1" applyFill="1" applyBorder="1" applyAlignment="1">
      <alignment horizontal="center" vertical="center"/>
    </xf>
    <xf numFmtId="4" fontId="21" fillId="0" borderId="15" xfId="15" applyNumberFormat="1" applyFont="1" applyFill="1" applyBorder="1" applyAlignment="1">
      <alignment vertical="center"/>
    </xf>
    <xf numFmtId="181" fontId="21" fillId="0" borderId="15" xfId="15" applyNumberFormat="1" applyFont="1" applyFill="1" applyBorder="1" applyAlignment="1">
      <alignment vertical="center"/>
    </xf>
    <xf numFmtId="193" fontId="21" fillId="0" borderId="15" xfId="15" applyNumberFormat="1" applyFont="1" applyFill="1" applyBorder="1" applyAlignment="1" applyProtection="1">
      <alignment vertical="center"/>
      <protection/>
    </xf>
    <xf numFmtId="192" fontId="21" fillId="0" borderId="15" xfId="15" applyNumberFormat="1" applyFont="1" applyFill="1" applyBorder="1" applyAlignment="1" applyProtection="1">
      <alignment vertical="center"/>
      <protection/>
    </xf>
    <xf numFmtId="192" fontId="21" fillId="0" borderId="21" xfId="15" applyNumberFormat="1" applyFont="1" applyFill="1" applyBorder="1" applyAlignment="1" applyProtection="1">
      <alignment vertical="center"/>
      <protection/>
    </xf>
    <xf numFmtId="0" fontId="21" fillId="0" borderId="15" xfId="0" applyNumberFormat="1" applyFont="1" applyFill="1" applyBorder="1" applyAlignment="1" applyProtection="1">
      <alignment horizontal="center" vertical="center"/>
      <protection locked="0"/>
    </xf>
    <xf numFmtId="0" fontId="21" fillId="0" borderId="15" xfId="0" applyNumberFormat="1" applyFont="1" applyFill="1" applyBorder="1" applyAlignment="1">
      <alignment horizontal="center" vertical="center"/>
    </xf>
    <xf numFmtId="4" fontId="21" fillId="0" borderId="15" xfId="0" applyNumberFormat="1" applyFont="1" applyFill="1" applyBorder="1" applyAlignment="1">
      <alignment vertical="center"/>
    </xf>
    <xf numFmtId="181" fontId="21" fillId="0" borderId="15" xfId="0" applyNumberFormat="1" applyFont="1" applyFill="1" applyBorder="1" applyAlignment="1">
      <alignment vertical="center"/>
    </xf>
    <xf numFmtId="0" fontId="21" fillId="0" borderId="20" xfId="0" applyFont="1" applyFill="1" applyBorder="1" applyAlignment="1" applyProtection="1">
      <alignment vertical="center"/>
      <protection locked="0"/>
    </xf>
    <xf numFmtId="4" fontId="21" fillId="0" borderId="15" xfId="15" applyNumberFormat="1" applyFont="1" applyFill="1" applyBorder="1" applyAlignment="1" applyProtection="1">
      <alignment vertical="center"/>
      <protection locked="0"/>
    </xf>
    <xf numFmtId="181" fontId="21" fillId="0" borderId="15" xfId="15" applyNumberFormat="1" applyFont="1" applyFill="1" applyBorder="1" applyAlignment="1" applyProtection="1">
      <alignment vertical="center"/>
      <protection locked="0"/>
    </xf>
    <xf numFmtId="0" fontId="21" fillId="0" borderId="15" xfId="0" applyFont="1" applyFill="1" applyBorder="1" applyAlignment="1">
      <alignment horizontal="center" vertical="center" wrapText="1"/>
    </xf>
    <xf numFmtId="4" fontId="21" fillId="0" borderId="15" xfId="0" applyNumberFormat="1" applyFont="1" applyFill="1" applyBorder="1" applyAlignment="1">
      <alignment vertical="center" wrapText="1"/>
    </xf>
    <xf numFmtId="181" fontId="22" fillId="0" borderId="15" xfId="0" applyNumberFormat="1" applyFont="1" applyFill="1" applyBorder="1" applyAlignment="1">
      <alignment vertical="center" wrapText="1"/>
    </xf>
    <xf numFmtId="4" fontId="21" fillId="0" borderId="15" xfId="0" applyNumberFormat="1" applyFont="1" applyFill="1" applyBorder="1" applyAlignment="1" applyProtection="1">
      <alignment vertical="center"/>
      <protection locked="0"/>
    </xf>
    <xf numFmtId="181" fontId="21" fillId="0" borderId="15" xfId="0" applyNumberFormat="1" applyFont="1" applyFill="1" applyBorder="1" applyAlignment="1" applyProtection="1">
      <alignment vertical="center"/>
      <protection locked="0"/>
    </xf>
    <xf numFmtId="0" fontId="21" fillId="0" borderId="20" xfId="15" applyNumberFormat="1" applyFont="1" applyFill="1" applyBorder="1" applyAlignment="1">
      <alignment vertical="center"/>
    </xf>
    <xf numFmtId="0" fontId="21" fillId="0" borderId="15" xfId="15" applyNumberFormat="1" applyFont="1" applyFill="1" applyBorder="1" applyAlignment="1">
      <alignment horizontal="center" vertical="center"/>
    </xf>
    <xf numFmtId="49" fontId="21" fillId="0" borderId="20" xfId="0" applyNumberFormat="1" applyFont="1" applyFill="1" applyBorder="1" applyAlignment="1">
      <alignment vertical="center"/>
    </xf>
    <xf numFmtId="49" fontId="21" fillId="0" borderId="15" xfId="0" applyNumberFormat="1" applyFont="1" applyFill="1" applyBorder="1" applyAlignment="1">
      <alignment vertical="center"/>
    </xf>
    <xf numFmtId="3" fontId="21" fillId="0" borderId="15" xfId="0" applyNumberFormat="1" applyFont="1" applyFill="1" applyBorder="1" applyAlignment="1">
      <alignment horizontal="center" vertical="center"/>
    </xf>
    <xf numFmtId="4" fontId="22" fillId="0" borderId="15" xfId="15" applyNumberFormat="1" applyFont="1" applyFill="1" applyBorder="1" applyAlignment="1">
      <alignment vertical="center" wrapText="1"/>
    </xf>
    <xf numFmtId="0" fontId="22" fillId="0" borderId="20" xfId="0" applyFont="1" applyFill="1" applyBorder="1" applyAlignment="1">
      <alignment vertical="center"/>
    </xf>
    <xf numFmtId="199" fontId="21" fillId="0" borderId="15" xfId="0" applyNumberFormat="1" applyFont="1" applyFill="1" applyBorder="1" applyAlignment="1">
      <alignment vertical="center"/>
    </xf>
    <xf numFmtId="0" fontId="22" fillId="0" borderId="15" xfId="0" applyNumberFormat="1" applyFont="1" applyFill="1" applyBorder="1" applyAlignment="1">
      <alignment horizontal="center" vertical="center"/>
    </xf>
    <xf numFmtId="4" fontId="22" fillId="0" borderId="15" xfId="0" applyNumberFormat="1" applyFont="1" applyFill="1" applyBorder="1" applyAlignment="1">
      <alignment vertical="center"/>
    </xf>
    <xf numFmtId="181" fontId="22" fillId="0" borderId="15" xfId="0" applyNumberFormat="1" applyFont="1" applyFill="1" applyBorder="1" applyAlignment="1">
      <alignment vertical="center"/>
    </xf>
    <xf numFmtId="0" fontId="21" fillId="0" borderId="15" xfId="0" applyFont="1" applyFill="1" applyBorder="1" applyAlignment="1" applyProtection="1">
      <alignment vertical="center"/>
      <protection locked="0"/>
    </xf>
    <xf numFmtId="0" fontId="21" fillId="0" borderId="15" xfId="0" applyNumberFormat="1" applyFont="1" applyFill="1" applyBorder="1" applyAlignment="1" applyProtection="1">
      <alignment horizontal="center" vertical="center" wrapText="1"/>
      <protection locked="0"/>
    </xf>
    <xf numFmtId="4" fontId="21" fillId="0" borderId="15" xfId="0" applyNumberFormat="1" applyFont="1" applyFill="1" applyBorder="1" applyAlignment="1" applyProtection="1">
      <alignment vertical="center" wrapText="1"/>
      <protection locked="0"/>
    </xf>
    <xf numFmtId="0" fontId="22" fillId="0" borderId="15" xfId="0" applyFont="1" applyFill="1" applyBorder="1" applyAlignment="1">
      <alignment horizontal="center" vertical="center"/>
    </xf>
    <xf numFmtId="199" fontId="22" fillId="0" borderId="15" xfId="0" applyNumberFormat="1" applyFont="1" applyFill="1" applyBorder="1" applyAlignment="1">
      <alignment vertical="center"/>
    </xf>
    <xf numFmtId="0" fontId="23" fillId="2" borderId="22" xfId="0" applyFont="1" applyFill="1" applyBorder="1" applyAlignment="1">
      <alignment vertical="center"/>
    </xf>
    <xf numFmtId="3" fontId="23" fillId="2" borderId="23" xfId="0" applyNumberFormat="1" applyFont="1" applyFill="1" applyBorder="1" applyAlignment="1">
      <alignment horizontal="center" vertical="center"/>
    </xf>
    <xf numFmtId="0" fontId="23" fillId="2" borderId="23" xfId="0" applyFont="1" applyFill="1" applyBorder="1" applyAlignment="1">
      <alignment horizontal="center" vertical="center"/>
    </xf>
    <xf numFmtId="199" fontId="23" fillId="2" borderId="23" xfId="0" applyNumberFormat="1" applyFont="1" applyFill="1" applyBorder="1" applyAlignment="1">
      <alignment vertical="center"/>
    </xf>
    <xf numFmtId="3" fontId="23" fillId="2" borderId="23" xfId="0" applyNumberFormat="1" applyFont="1" applyFill="1" applyBorder="1" applyAlignment="1">
      <alignment vertical="center"/>
    </xf>
    <xf numFmtId="3" fontId="23" fillId="2" borderId="24" xfId="0" applyNumberFormat="1" applyFont="1" applyFill="1" applyBorder="1" applyAlignment="1">
      <alignment vertical="center"/>
    </xf>
    <xf numFmtId="0" fontId="21" fillId="0" borderId="18" xfId="0" applyFont="1" applyFill="1" applyBorder="1" applyAlignment="1" applyProtection="1">
      <alignment vertical="center"/>
      <protection locked="0"/>
    </xf>
    <xf numFmtId="0" fontId="21" fillId="0" borderId="15" xfId="15" applyNumberFormat="1" applyFont="1" applyFill="1" applyBorder="1" applyAlignment="1">
      <alignment vertical="center"/>
    </xf>
    <xf numFmtId="0" fontId="22" fillId="0" borderId="15" xfId="0" applyFont="1" applyFill="1" applyBorder="1" applyAlignment="1">
      <alignment vertical="center"/>
    </xf>
    <xf numFmtId="0" fontId="21" fillId="0" borderId="15" xfId="0" applyNumberFormat="1" applyFont="1" applyFill="1" applyBorder="1" applyAlignment="1" applyProtection="1">
      <alignment vertical="center" wrapText="1"/>
      <protection locked="0"/>
    </xf>
    <xf numFmtId="43" fontId="5" fillId="0" borderId="20" xfId="15" applyFont="1" applyFill="1" applyBorder="1" applyAlignment="1" applyProtection="1">
      <alignment vertical="center"/>
      <protection/>
    </xf>
    <xf numFmtId="0" fontId="5" fillId="0" borderId="15" xfId="0" applyFont="1" applyFill="1" applyBorder="1" applyAlignment="1" applyProtection="1">
      <alignment vertical="center"/>
      <protection/>
    </xf>
    <xf numFmtId="181" fontId="5" fillId="0" borderId="15" xfId="0" applyNumberFormat="1" applyFont="1" applyFill="1" applyBorder="1" applyAlignment="1" applyProtection="1">
      <alignment vertical="center"/>
      <protection/>
    </xf>
    <xf numFmtId="0" fontId="5" fillId="0" borderId="15" xfId="0" applyFont="1" applyFill="1" applyBorder="1" applyAlignment="1" applyProtection="1">
      <alignment vertical="center" wrapText="1"/>
      <protection/>
    </xf>
    <xf numFmtId="187" fontId="5" fillId="0" borderId="15" xfId="0" applyNumberFormat="1" applyFont="1" applyFill="1" applyBorder="1" applyAlignment="1" applyProtection="1">
      <alignment vertical="center"/>
      <protection/>
    </xf>
    <xf numFmtId="0" fontId="5" fillId="0" borderId="21" xfId="0" applyFont="1" applyFill="1" applyBorder="1" applyAlignment="1" applyProtection="1">
      <alignment vertical="center" wrapText="1"/>
      <protection/>
    </xf>
    <xf numFmtId="0" fontId="23" fillId="2" borderId="23" xfId="0" applyFont="1" applyFill="1" applyBorder="1" applyAlignment="1">
      <alignment vertical="center"/>
    </xf>
    <xf numFmtId="193" fontId="13" fillId="0" borderId="12" xfId="0" applyNumberFormat="1" applyFont="1" applyFill="1" applyBorder="1" applyAlignment="1" applyProtection="1">
      <alignment horizontal="center" vertical="center"/>
      <protection locked="0"/>
    </xf>
    <xf numFmtId="193" fontId="13" fillId="0" borderId="3" xfId="0" applyNumberFormat="1" applyFont="1" applyFill="1" applyBorder="1" applyAlignment="1" applyProtection="1">
      <alignment horizontal="center" vertical="center"/>
      <protection locked="0"/>
    </xf>
    <xf numFmtId="181" fontId="23" fillId="2" borderId="23" xfId="0" applyNumberFormat="1" applyFont="1" applyFill="1" applyBorder="1" applyAlignment="1">
      <alignment vertical="center"/>
    </xf>
    <xf numFmtId="192" fontId="23" fillId="2" borderId="23" xfId="0" applyNumberFormat="1" applyFont="1" applyFill="1" applyBorder="1" applyAlignment="1">
      <alignment vertical="center"/>
    </xf>
    <xf numFmtId="3" fontId="13" fillId="0" borderId="12" xfId="0" applyNumberFormat="1" applyFont="1" applyFill="1" applyBorder="1" applyAlignment="1" applyProtection="1">
      <alignment horizontal="center" vertical="center"/>
      <protection locked="0"/>
    </xf>
    <xf numFmtId="3" fontId="13" fillId="0" borderId="3" xfId="0" applyNumberFormat="1" applyFont="1" applyFill="1" applyBorder="1" applyAlignment="1" applyProtection="1">
      <alignment horizontal="center" vertical="center"/>
      <protection locked="0"/>
    </xf>
    <xf numFmtId="3" fontId="13" fillId="0" borderId="6" xfId="0" applyNumberFormat="1" applyFont="1" applyFill="1" applyBorder="1" applyAlignment="1" applyProtection="1">
      <alignment horizontal="center" vertical="center"/>
      <protection locked="0"/>
    </xf>
    <xf numFmtId="184" fontId="3" fillId="0" borderId="0" xfId="0" applyNumberFormat="1" applyFont="1" applyFill="1" applyBorder="1" applyAlignment="1" applyProtection="1">
      <alignment horizontal="left" vertical="center" indent="1"/>
      <protection/>
    </xf>
    <xf numFmtId="184" fontId="21" fillId="0" borderId="18" xfId="0" applyNumberFormat="1" applyFont="1" applyFill="1" applyBorder="1" applyAlignment="1" applyProtection="1">
      <alignment horizontal="left" vertical="center" indent="1"/>
      <protection locked="0"/>
    </xf>
    <xf numFmtId="184" fontId="21" fillId="0" borderId="15" xfId="0" applyNumberFormat="1" applyFont="1" applyFill="1" applyBorder="1" applyAlignment="1">
      <alignment horizontal="left" vertical="center" indent="1"/>
    </xf>
    <xf numFmtId="184" fontId="21" fillId="0" borderId="15" xfId="0" applyNumberFormat="1" applyFont="1" applyFill="1" applyBorder="1" applyAlignment="1" applyProtection="1">
      <alignment horizontal="left" vertical="center" indent="1"/>
      <protection locked="0"/>
    </xf>
    <xf numFmtId="184" fontId="21" fillId="0" borderId="15" xfId="0" applyNumberFormat="1" applyFont="1" applyFill="1" applyBorder="1" applyAlignment="1">
      <alignment horizontal="left" vertical="center" wrapText="1" indent="1"/>
    </xf>
    <xf numFmtId="184" fontId="22" fillId="0" borderId="15" xfId="0" applyNumberFormat="1" applyFont="1" applyFill="1" applyBorder="1" applyAlignment="1">
      <alignment horizontal="left" vertical="center" wrapText="1" indent="1"/>
    </xf>
    <xf numFmtId="184" fontId="22" fillId="0" borderId="15" xfId="0" applyNumberFormat="1" applyFont="1" applyFill="1" applyBorder="1" applyAlignment="1">
      <alignment horizontal="left" vertical="center" indent="1"/>
    </xf>
    <xf numFmtId="184" fontId="21" fillId="0" borderId="15" xfId="0" applyNumberFormat="1" applyFont="1" applyFill="1" applyBorder="1" applyAlignment="1" applyProtection="1">
      <alignment horizontal="left" vertical="center" wrapText="1" indent="1"/>
      <protection locked="0"/>
    </xf>
    <xf numFmtId="184" fontId="5" fillId="0" borderId="15" xfId="0" applyNumberFormat="1" applyFont="1" applyFill="1" applyBorder="1" applyAlignment="1" applyProtection="1">
      <alignment horizontal="left" vertical="center" indent="1"/>
      <protection/>
    </xf>
    <xf numFmtId="14" fontId="23" fillId="2" borderId="23" xfId="0" applyNumberFormat="1" applyFont="1" applyFill="1" applyBorder="1" applyAlignment="1">
      <alignment horizontal="left" vertical="center" indent="1"/>
    </xf>
    <xf numFmtId="184" fontId="13" fillId="0" borderId="0" xfId="0" applyNumberFormat="1" applyFont="1" applyFill="1" applyBorder="1" applyAlignment="1" applyProtection="1">
      <alignment horizontal="left" vertical="center" indent="1"/>
      <protection locked="0"/>
    </xf>
    <xf numFmtId="184" fontId="12" fillId="0" borderId="6" xfId="0" applyNumberFormat="1" applyFont="1" applyFill="1" applyBorder="1" applyAlignment="1" applyProtection="1">
      <alignment horizontal="left" vertical="center" indent="1"/>
      <protection locked="0"/>
    </xf>
    <xf numFmtId="184" fontId="13" fillId="0" borderId="6" xfId="0" applyNumberFormat="1" applyFont="1" applyFill="1" applyBorder="1" applyAlignment="1" applyProtection="1">
      <alignment horizontal="left" vertical="center" indent="1"/>
      <protection locked="0"/>
    </xf>
    <xf numFmtId="184" fontId="7" fillId="0" borderId="0" xfId="0" applyNumberFormat="1" applyFont="1" applyFill="1" applyBorder="1" applyAlignment="1" applyProtection="1">
      <alignment horizontal="left" vertical="center" indent="1"/>
      <protection locked="0"/>
    </xf>
    <xf numFmtId="184" fontId="21" fillId="0" borderId="18" xfId="0" applyNumberFormat="1" applyFont="1" applyFill="1" applyBorder="1" applyAlignment="1">
      <alignment horizontal="left" vertical="center" indent="1"/>
    </xf>
    <xf numFmtId="0" fontId="27" fillId="0" borderId="0" xfId="0" applyFont="1" applyAlignment="1">
      <alignment horizontal="right" vertical="center"/>
    </xf>
    <xf numFmtId="0" fontId="28" fillId="0" borderId="0" xfId="0" applyFont="1" applyAlignment="1">
      <alignment vertical="center"/>
    </xf>
    <xf numFmtId="0" fontId="29" fillId="3" borderId="25" xfId="0" applyFont="1" applyFill="1" applyBorder="1" applyAlignment="1">
      <alignment vertical="center"/>
    </xf>
    <xf numFmtId="0" fontId="14" fillId="0" borderId="0" xfId="0" applyFont="1" applyAlignment="1">
      <alignment vertical="center"/>
    </xf>
    <xf numFmtId="0" fontId="31" fillId="0" borderId="0" xfId="0" applyFont="1" applyAlignment="1">
      <alignment horizontal="righ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center" vertical="center"/>
    </xf>
    <xf numFmtId="185" fontId="14" fillId="0" borderId="0" xfId="0" applyNumberFormat="1" applyFont="1" applyAlignment="1">
      <alignment vertical="center"/>
    </xf>
    <xf numFmtId="185" fontId="0" fillId="0" borderId="0" xfId="0" applyNumberFormat="1" applyAlignment="1">
      <alignment vertical="center"/>
    </xf>
    <xf numFmtId="0" fontId="21" fillId="0" borderId="15" xfId="0" applyFont="1" applyFill="1" applyBorder="1" applyAlignment="1">
      <alignment horizontal="left" vertical="center"/>
    </xf>
    <xf numFmtId="0" fontId="21" fillId="0" borderId="15" xfId="15"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0" fontId="21" fillId="0" borderId="15" xfId="0" applyFont="1" applyFill="1" applyBorder="1" applyAlignment="1" applyProtection="1">
      <alignment horizontal="left" vertical="center"/>
      <protection locked="0"/>
    </xf>
    <xf numFmtId="0" fontId="29" fillId="3" borderId="26" xfId="0" applyFont="1" applyFill="1" applyBorder="1" applyAlignment="1">
      <alignment vertical="center"/>
    </xf>
    <xf numFmtId="185" fontId="30" fillId="3" borderId="27" xfId="0" applyNumberFormat="1" applyFont="1" applyFill="1" applyBorder="1" applyAlignment="1" applyProtection="1">
      <alignment horizontal="center" vertical="center"/>
      <protection/>
    </xf>
    <xf numFmtId="185" fontId="30" fillId="3" borderId="28"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right" vertical="center"/>
      <protection/>
    </xf>
    <xf numFmtId="0" fontId="21" fillId="0" borderId="15" xfId="0" applyFont="1" applyFill="1" applyBorder="1" applyAlignment="1" applyProtection="1">
      <alignment horizontal="left" vertical="center"/>
      <protection/>
    </xf>
    <xf numFmtId="184" fontId="21" fillId="0" borderId="15" xfId="0" applyNumberFormat="1" applyFont="1" applyFill="1" applyBorder="1" applyAlignment="1" applyProtection="1">
      <alignment horizontal="left" vertical="center" indent="1"/>
      <protection/>
    </xf>
    <xf numFmtId="0" fontId="21" fillId="0" borderId="15" xfId="0" applyFont="1" applyFill="1" applyBorder="1" applyAlignment="1" applyProtection="1">
      <alignment horizontal="center" vertical="center"/>
      <protection/>
    </xf>
    <xf numFmtId="0" fontId="29" fillId="0" borderId="17" xfId="0" applyFont="1" applyFill="1" applyBorder="1" applyAlignment="1">
      <alignment vertical="center"/>
    </xf>
    <xf numFmtId="0" fontId="21" fillId="0" borderId="18" xfId="0" applyFont="1" applyFill="1" applyBorder="1" applyAlignment="1">
      <alignment vertical="center"/>
    </xf>
    <xf numFmtId="0" fontId="21" fillId="0" borderId="18" xfId="0" applyFont="1" applyFill="1" applyBorder="1" applyAlignment="1">
      <alignment horizontal="left" vertical="center"/>
    </xf>
    <xf numFmtId="0" fontId="6" fillId="0" borderId="20" xfId="0" applyFont="1" applyFill="1" applyBorder="1" applyAlignment="1" applyProtection="1">
      <alignment horizontal="center" vertical="center"/>
      <protection/>
    </xf>
    <xf numFmtId="0" fontId="32" fillId="0" borderId="20" xfId="0" applyFont="1" applyFill="1" applyBorder="1" applyAlignment="1" applyProtection="1">
      <alignment horizontal="right" vertical="center"/>
      <protection/>
    </xf>
    <xf numFmtId="0" fontId="0" fillId="0" borderId="20" xfId="0" applyBorder="1" applyAlignment="1">
      <alignment vertical="center"/>
    </xf>
    <xf numFmtId="0" fontId="14" fillId="0" borderId="20" xfId="0" applyFont="1" applyBorder="1" applyAlignment="1">
      <alignment vertical="center"/>
    </xf>
    <xf numFmtId="200" fontId="21" fillId="0" borderId="21" xfId="15" applyNumberFormat="1" applyFont="1" applyFill="1" applyBorder="1" applyAlignment="1" applyProtection="1">
      <alignment vertical="center"/>
      <protection/>
    </xf>
    <xf numFmtId="181" fontId="21" fillId="0" borderId="15" xfId="0" applyNumberFormat="1" applyFont="1" applyFill="1" applyBorder="1" applyAlignment="1" applyProtection="1">
      <alignment vertical="center"/>
      <protection/>
    </xf>
    <xf numFmtId="4" fontId="21" fillId="0" borderId="15" xfId="0" applyNumberFormat="1" applyFont="1" applyFill="1" applyBorder="1" applyAlignment="1" applyProtection="1">
      <alignment vertical="center"/>
      <protection/>
    </xf>
    <xf numFmtId="0" fontId="0" fillId="0" borderId="29" xfId="0" applyBorder="1" applyAlignment="1">
      <alignment vertical="center"/>
    </xf>
    <xf numFmtId="0" fontId="21" fillId="0" borderId="30" xfId="0" applyFont="1" applyFill="1" applyBorder="1" applyAlignment="1" applyProtection="1">
      <alignment horizontal="left" vertical="center"/>
      <protection/>
    </xf>
    <xf numFmtId="184" fontId="21" fillId="0" borderId="30" xfId="0" applyNumberFormat="1" applyFont="1" applyFill="1" applyBorder="1" applyAlignment="1" applyProtection="1">
      <alignment horizontal="left" vertical="center" indent="1"/>
      <protection/>
    </xf>
    <xf numFmtId="0" fontId="21" fillId="0" borderId="30" xfId="0" applyFont="1" applyFill="1" applyBorder="1" applyAlignment="1" applyProtection="1">
      <alignment horizontal="center" vertical="center"/>
      <protection/>
    </xf>
    <xf numFmtId="4" fontId="21" fillId="0" borderId="30" xfId="0" applyNumberFormat="1" applyFont="1" applyFill="1" applyBorder="1" applyAlignment="1" applyProtection="1">
      <alignment vertical="center"/>
      <protection/>
    </xf>
    <xf numFmtId="181" fontId="21" fillId="0" borderId="30" xfId="0" applyNumberFormat="1" applyFont="1" applyFill="1" applyBorder="1" applyAlignment="1" applyProtection="1">
      <alignment vertical="center"/>
      <protection/>
    </xf>
    <xf numFmtId="200" fontId="21" fillId="0" borderId="31" xfId="15" applyNumberFormat="1" applyFont="1" applyFill="1" applyBorder="1" applyAlignment="1" applyProtection="1">
      <alignment vertical="center"/>
      <protection/>
    </xf>
    <xf numFmtId="0" fontId="6" fillId="0" borderId="32" xfId="0" applyFont="1" applyFill="1" applyBorder="1" applyAlignment="1" applyProtection="1">
      <alignment horizontal="center" vertical="center"/>
      <protection/>
    </xf>
    <xf numFmtId="192" fontId="21" fillId="0" borderId="33" xfId="15" applyNumberFormat="1" applyFont="1" applyFill="1" applyBorder="1" applyAlignment="1" applyProtection="1">
      <alignment vertical="center"/>
      <protection/>
    </xf>
    <xf numFmtId="0" fontId="21" fillId="0" borderId="18" xfId="0" applyFont="1" applyFill="1" applyBorder="1" applyAlignment="1">
      <alignment horizontal="center" vertical="center"/>
    </xf>
    <xf numFmtId="4" fontId="21" fillId="0" borderId="18" xfId="15" applyNumberFormat="1" applyFont="1" applyFill="1" applyBorder="1" applyAlignment="1">
      <alignment vertical="center"/>
    </xf>
    <xf numFmtId="181" fontId="21" fillId="0" borderId="18" xfId="15" applyNumberFormat="1" applyFont="1" applyFill="1" applyBorder="1" applyAlignment="1">
      <alignment vertical="center"/>
    </xf>
    <xf numFmtId="0" fontId="29" fillId="0" borderId="20" xfId="0" applyFont="1" applyFill="1" applyBorder="1" applyAlignment="1">
      <alignment vertical="center"/>
    </xf>
    <xf numFmtId="0" fontId="6" fillId="0" borderId="29" xfId="0" applyFont="1" applyFill="1" applyBorder="1" applyAlignment="1" applyProtection="1">
      <alignment horizontal="center" vertical="center"/>
      <protection/>
    </xf>
    <xf numFmtId="0" fontId="21" fillId="0" borderId="30" xfId="0" applyFont="1" applyFill="1" applyBorder="1" applyAlignment="1" applyProtection="1">
      <alignment vertical="center"/>
      <protection locked="0"/>
    </xf>
    <xf numFmtId="184" fontId="21" fillId="0" borderId="30" xfId="0" applyNumberFormat="1" applyFont="1" applyFill="1" applyBorder="1" applyAlignment="1" applyProtection="1">
      <alignment horizontal="left" vertical="center" indent="1"/>
      <protection locked="0"/>
    </xf>
    <xf numFmtId="0" fontId="21" fillId="0" borderId="30" xfId="0" applyFont="1" applyFill="1" applyBorder="1" applyAlignment="1" applyProtection="1">
      <alignment horizontal="left" vertical="center"/>
      <protection locked="0"/>
    </xf>
    <xf numFmtId="0" fontId="21" fillId="0" borderId="30" xfId="0" applyNumberFormat="1" applyFont="1" applyFill="1" applyBorder="1" applyAlignment="1" applyProtection="1">
      <alignment horizontal="center" vertical="center"/>
      <protection locked="0"/>
    </xf>
    <xf numFmtId="4" fontId="21" fillId="0" borderId="30" xfId="15" applyNumberFormat="1" applyFont="1" applyFill="1" applyBorder="1" applyAlignment="1" applyProtection="1">
      <alignment vertical="center"/>
      <protection locked="0"/>
    </xf>
    <xf numFmtId="181" fontId="21" fillId="0" borderId="30" xfId="15" applyNumberFormat="1" applyFont="1" applyFill="1" applyBorder="1" applyAlignment="1" applyProtection="1">
      <alignment vertical="center"/>
      <protection locked="0"/>
    </xf>
    <xf numFmtId="192" fontId="21" fillId="0" borderId="31" xfId="15" applyNumberFormat="1" applyFont="1" applyFill="1" applyBorder="1" applyAlignment="1" applyProtection="1">
      <alignment vertical="center"/>
      <protection/>
    </xf>
    <xf numFmtId="0" fontId="21" fillId="0" borderId="34" xfId="0" applyFont="1" applyFill="1" applyBorder="1" applyAlignment="1">
      <alignment vertical="center"/>
    </xf>
    <xf numFmtId="184" fontId="21" fillId="0" borderId="34" xfId="0" applyNumberFormat="1" applyFont="1" applyFill="1" applyBorder="1" applyAlignment="1">
      <alignment horizontal="left" vertical="center" wrapText="1" indent="1"/>
    </xf>
    <xf numFmtId="0" fontId="21" fillId="0" borderId="34" xfId="0" applyFont="1" applyFill="1" applyBorder="1" applyAlignment="1">
      <alignment horizontal="left" vertical="center"/>
    </xf>
    <xf numFmtId="0" fontId="21" fillId="0" borderId="34" xfId="0" applyFont="1" applyFill="1" applyBorder="1" applyAlignment="1">
      <alignment horizontal="center" vertical="center" wrapText="1"/>
    </xf>
    <xf numFmtId="4" fontId="21" fillId="0" borderId="34" xfId="0" applyNumberFormat="1" applyFont="1" applyFill="1" applyBorder="1" applyAlignment="1">
      <alignment vertical="center" wrapText="1"/>
    </xf>
    <xf numFmtId="181" fontId="22" fillId="0" borderId="34" xfId="0" applyNumberFormat="1" applyFont="1" applyFill="1" applyBorder="1" applyAlignment="1">
      <alignment vertical="center" wrapText="1"/>
    </xf>
    <xf numFmtId="0" fontId="27" fillId="0" borderId="35" xfId="0" applyFont="1" applyFill="1" applyBorder="1" applyAlignment="1" applyProtection="1">
      <alignment horizontal="right" vertical="center"/>
      <protection/>
    </xf>
    <xf numFmtId="0" fontId="34" fillId="2" borderId="36" xfId="0" applyFont="1" applyFill="1" applyBorder="1" applyAlignment="1">
      <alignment vertical="center"/>
    </xf>
    <xf numFmtId="0" fontId="34" fillId="2" borderId="37" xfId="0" applyFont="1" applyFill="1" applyBorder="1" applyAlignment="1">
      <alignment vertical="center"/>
    </xf>
    <xf numFmtId="0" fontId="34" fillId="2" borderId="37" xfId="0" applyFont="1" applyFill="1" applyBorder="1" applyAlignment="1">
      <alignment horizontal="center" vertical="center"/>
    </xf>
    <xf numFmtId="4" fontId="34" fillId="2" borderId="37" xfId="0" applyNumberFormat="1" applyFont="1" applyFill="1" applyBorder="1" applyAlignment="1">
      <alignment vertical="center"/>
    </xf>
    <xf numFmtId="185" fontId="34" fillId="2" borderId="37" xfId="0" applyNumberFormat="1" applyFont="1" applyFill="1" applyBorder="1" applyAlignment="1">
      <alignment vertical="center"/>
    </xf>
    <xf numFmtId="200" fontId="23" fillId="2" borderId="38" xfId="15" applyNumberFormat="1" applyFont="1" applyFill="1" applyBorder="1" applyAlignment="1" applyProtection="1">
      <alignment vertical="center"/>
      <protection/>
    </xf>
    <xf numFmtId="0" fontId="25" fillId="2" borderId="0" xfId="0" applyFont="1" applyFill="1" applyBorder="1" applyAlignment="1" applyProtection="1">
      <alignment horizontal="center" vertical="center"/>
      <protection/>
    </xf>
    <xf numFmtId="0" fontId="25" fillId="2" borderId="0" xfId="0" applyFont="1" applyFill="1" applyAlignment="1">
      <alignment horizontal="center" vertical="center"/>
    </xf>
    <xf numFmtId="0" fontId="13" fillId="0" borderId="0" xfId="0" applyFont="1" applyFill="1" applyBorder="1" applyAlignment="1" applyProtection="1">
      <alignment horizontal="left" vertical="center" wrapText="1" indent="1"/>
      <protection locked="0"/>
    </xf>
    <xf numFmtId="0" fontId="0" fillId="0" borderId="0" xfId="0" applyAlignment="1">
      <alignment horizontal="left" vertical="center" wrapText="1" indent="1"/>
    </xf>
    <xf numFmtId="181" fontId="5" fillId="0" borderId="3"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3" fontId="5" fillId="0" borderId="3" xfId="15" applyFont="1" applyFill="1" applyBorder="1" applyAlignment="1" applyProtection="1">
      <alignment horizontal="center" vertical="center"/>
      <protection/>
    </xf>
    <xf numFmtId="43" fontId="5" fillId="0" borderId="16" xfId="15"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locked="0"/>
    </xf>
    <xf numFmtId="0" fontId="14" fillId="0" borderId="39" xfId="0" applyFont="1" applyBorder="1" applyAlignment="1">
      <alignment horizontal="center" vertical="center"/>
    </xf>
    <xf numFmtId="0" fontId="14" fillId="0" borderId="40" xfId="0" applyFont="1" applyBorder="1" applyAlignment="1">
      <alignment horizontal="center" vertical="center"/>
    </xf>
    <xf numFmtId="184" fontId="12" fillId="0" borderId="41" xfId="0" applyNumberFormat="1" applyFont="1" applyFill="1" applyBorder="1" applyAlignment="1" applyProtection="1">
      <alignment horizontal="center" vertical="center"/>
      <protection locked="0"/>
    </xf>
    <xf numFmtId="184" fontId="14" fillId="0" borderId="42" xfId="0" applyNumberFormat="1" applyFont="1" applyBorder="1" applyAlignment="1">
      <alignment horizontal="center" vertical="center"/>
    </xf>
    <xf numFmtId="184" fontId="0" fillId="0" borderId="43" xfId="0" applyNumberFormat="1" applyBorder="1" applyAlignment="1">
      <alignment horizontal="center" vertical="center"/>
    </xf>
    <xf numFmtId="184" fontId="12" fillId="0" borderId="25" xfId="0" applyNumberFormat="1" applyFont="1" applyFill="1" applyBorder="1" applyAlignment="1" applyProtection="1">
      <alignment horizontal="left" vertical="center" indent="1"/>
      <protection locked="0"/>
    </xf>
    <xf numFmtId="184" fontId="0" fillId="0" borderId="44" xfId="0" applyNumberFormat="1" applyBorder="1" applyAlignment="1">
      <alignment horizontal="left" vertical="center" indent="1"/>
    </xf>
    <xf numFmtId="184" fontId="0" fillId="0" borderId="45" xfId="0" applyNumberFormat="1" applyBorder="1" applyAlignment="1">
      <alignment horizontal="left" vertical="center" indent="1"/>
    </xf>
    <xf numFmtId="184" fontId="0" fillId="0" borderId="46" xfId="0" applyNumberFormat="1" applyBorder="1" applyAlignment="1">
      <alignment horizontal="left" vertical="center" indent="1"/>
    </xf>
    <xf numFmtId="4" fontId="5" fillId="0" borderId="47" xfId="0" applyNumberFormat="1" applyFont="1" applyFill="1" applyBorder="1" applyAlignment="1" applyProtection="1">
      <alignment horizontal="center" vertical="center"/>
      <protection/>
    </xf>
    <xf numFmtId="4" fontId="5" fillId="0" borderId="48" xfId="0" applyNumberFormat="1" applyFont="1" applyFill="1" applyBorder="1" applyAlignment="1" applyProtection="1">
      <alignment horizontal="center" vertical="center"/>
      <protection/>
    </xf>
    <xf numFmtId="4" fontId="5" fillId="0" borderId="49" xfId="0" applyNumberFormat="1" applyFont="1" applyFill="1" applyBorder="1" applyAlignment="1" applyProtection="1">
      <alignment horizontal="center" vertical="center"/>
      <protection/>
    </xf>
    <xf numFmtId="184" fontId="5" fillId="0" borderId="16" xfId="0" applyNumberFormat="1" applyFont="1" applyFill="1" applyBorder="1" applyAlignment="1" applyProtection="1">
      <alignment horizontal="center" vertical="center" wrapText="1"/>
      <protection/>
    </xf>
    <xf numFmtId="184" fontId="5" fillId="0" borderId="50" xfId="0" applyNumberFormat="1" applyFont="1" applyFill="1" applyBorder="1" applyAlignment="1" applyProtection="1">
      <alignment horizontal="center" vertical="center"/>
      <protection/>
    </xf>
    <xf numFmtId="0" fontId="33" fillId="4" borderId="51" xfId="0" applyFont="1" applyFill="1" applyBorder="1" applyAlignment="1">
      <alignment horizontal="center" vertical="center" wrapText="1"/>
    </xf>
    <xf numFmtId="0" fontId="0" fillId="4" borderId="52" xfId="0" applyFill="1" applyBorder="1" applyAlignment="1">
      <alignment horizontal="center" vertical="center"/>
    </xf>
    <xf numFmtId="0" fontId="30" fillId="3" borderId="53" xfId="0" applyFont="1" applyFill="1" applyBorder="1" applyAlignment="1">
      <alignment horizontal="center" vertical="center"/>
    </xf>
    <xf numFmtId="0" fontId="30" fillId="3" borderId="54" xfId="0" applyFont="1" applyFill="1" applyBorder="1" applyAlignment="1">
      <alignment horizontal="center" vertical="center"/>
    </xf>
    <xf numFmtId="0" fontId="30" fillId="3" borderId="44" xfId="0" applyFont="1" applyFill="1" applyBorder="1" applyAlignment="1">
      <alignment horizontal="center" vertical="center"/>
    </xf>
    <xf numFmtId="0" fontId="30" fillId="3" borderId="55" xfId="0" applyFont="1" applyFill="1" applyBorder="1" applyAlignment="1">
      <alignment horizontal="center" vertical="center"/>
    </xf>
    <xf numFmtId="0" fontId="30" fillId="3" borderId="53" xfId="0" applyFont="1" applyFill="1" applyBorder="1" applyAlignment="1" applyProtection="1">
      <alignment horizontal="center" vertical="center" wrapText="1"/>
      <protection/>
    </xf>
    <xf numFmtId="0" fontId="30" fillId="3" borderId="54" xfId="0" applyFont="1" applyFill="1" applyBorder="1" applyAlignment="1" applyProtection="1">
      <alignment horizontal="center" vertical="center" wrapText="1"/>
      <protection/>
    </xf>
    <xf numFmtId="185" fontId="30" fillId="3" borderId="56" xfId="0" applyNumberFormat="1" applyFont="1" applyFill="1" applyBorder="1" applyAlignment="1" applyProtection="1">
      <alignment horizontal="center" vertical="center"/>
      <protection/>
    </xf>
    <xf numFmtId="185" fontId="30" fillId="3" borderId="57" xfId="0" applyNumberFormat="1" applyFont="1" applyFill="1" applyBorder="1" applyAlignment="1" applyProtection="1">
      <alignment horizontal="center" vertical="center"/>
      <protection/>
    </xf>
    <xf numFmtId="185" fontId="30" fillId="3" borderId="58" xfId="0" applyNumberFormat="1" applyFont="1" applyFill="1" applyBorder="1" applyAlignment="1" applyProtection="1">
      <alignment horizontal="center" vertical="center" wrapText="1"/>
      <protection/>
    </xf>
    <xf numFmtId="185" fontId="30" fillId="3" borderId="59" xfId="0" applyNumberFormat="1"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38100</xdr:colOff>
      <xdr:row>0</xdr:row>
      <xdr:rowOff>1095375</xdr:rowOff>
    </xdr:to>
    <xdr:sp>
      <xdr:nvSpPr>
        <xdr:cNvPr id="1" name="TextBox 1"/>
        <xdr:cNvSpPr txBox="1">
          <a:spLocks noChangeArrowheads="1"/>
        </xdr:cNvSpPr>
      </xdr:nvSpPr>
      <xdr:spPr>
        <a:xfrm>
          <a:off x="19050" y="38100"/>
          <a:ext cx="10696575" cy="10572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WEEKLY MARKET DATAS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390525</xdr:colOff>
      <xdr:row>0</xdr:row>
      <xdr:rowOff>466725</xdr:rowOff>
    </xdr:from>
    <xdr:to>
      <xdr:col>14</xdr:col>
      <xdr:colOff>381000</xdr:colOff>
      <xdr:row>0</xdr:row>
      <xdr:rowOff>1076325</xdr:rowOff>
    </xdr:to>
    <xdr:sp fLocksText="0">
      <xdr:nvSpPr>
        <xdr:cNvPr id="2" name="TextBox 2"/>
        <xdr:cNvSpPr txBox="1">
          <a:spLocks noChangeArrowheads="1"/>
        </xdr:cNvSpPr>
      </xdr:nvSpPr>
      <xdr:spPr>
        <a:xfrm>
          <a:off x="8667750" y="466725"/>
          <a:ext cx="2009775" cy="6096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 11
</a:t>
          </a:r>
          <a:r>
            <a:rPr lang="en-US" cap="none" sz="1600" b="0" i="0" u="none" baseline="0">
              <a:solidFill>
                <a:srgbClr val="FFFFFF"/>
              </a:solidFill>
              <a:latin typeface="Impact"/>
              <a:ea typeface="Impact"/>
              <a:cs typeface="Impact"/>
            </a:rPr>
            <a:t> 10 - 16 MAR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58"/>
  <sheetViews>
    <sheetView showGridLines="0" tabSelected="1" workbookViewId="0" topLeftCell="A1">
      <pane xSplit="3" ySplit="4" topLeftCell="D5" activePane="bottomRight" state="frozen"/>
      <selection pane="topLeft" activeCell="A1" sqref="A1"/>
      <selection pane="topRight" activeCell="D1" sqref="D1"/>
      <selection pane="bottomLeft" activeCell="A5" sqref="A5"/>
      <selection pane="bottomRight" activeCell="C98" sqref="C98"/>
    </sheetView>
  </sheetViews>
  <sheetFormatPr defaultColWidth="9.140625" defaultRowHeight="12.75"/>
  <cols>
    <col min="1" max="1" width="3.140625" style="46" bestFit="1" customWidth="1"/>
    <col min="2" max="2" width="1.7109375" style="7" customWidth="1"/>
    <col min="3" max="3" width="30.421875" style="6" bestFit="1" customWidth="1"/>
    <col min="4" max="4" width="9.8515625" style="151" bestFit="1" customWidth="1"/>
    <col min="5" max="5" width="19.7109375" style="6" bestFit="1" customWidth="1"/>
    <col min="6" max="6" width="8.28125" style="14" bestFit="1" customWidth="1"/>
    <col min="7" max="7" width="8.140625" style="14" bestFit="1" customWidth="1"/>
    <col min="8" max="8" width="7.421875" style="14" customWidth="1"/>
    <col min="9" max="9" width="13.57421875" style="55" customWidth="1"/>
    <col min="10" max="10" width="11.00390625" style="11" customWidth="1"/>
    <col min="11" max="11" width="10.8515625" style="52" bestFit="1" customWidth="1"/>
    <col min="12" max="12" width="5.8515625" style="6" bestFit="1" customWidth="1"/>
    <col min="13" max="13" width="12.8515625" style="8" bestFit="1" customWidth="1"/>
    <col min="14" max="14" width="11.57421875" style="11" customWidth="1"/>
    <col min="15" max="15" width="5.7109375" style="6" bestFit="1" customWidth="1"/>
    <col min="16" max="16384" width="9.140625" style="6" customWidth="1"/>
  </cols>
  <sheetData>
    <row r="1" spans="1:15" s="4" customFormat="1" ht="90" customHeight="1">
      <c r="A1" s="43"/>
      <c r="B1" s="1"/>
      <c r="C1" s="2"/>
      <c r="D1" s="138"/>
      <c r="E1" s="3"/>
      <c r="F1" s="13"/>
      <c r="G1" s="13"/>
      <c r="H1" s="13"/>
      <c r="I1" s="53"/>
      <c r="J1" s="12"/>
      <c r="K1" s="50"/>
      <c r="L1" s="3"/>
      <c r="M1" s="9"/>
      <c r="N1" s="10"/>
      <c r="O1" s="3"/>
    </row>
    <row r="2" spans="1:15" s="68" customFormat="1" ht="34.5" customHeight="1">
      <c r="A2" s="218" t="s">
        <v>95</v>
      </c>
      <c r="B2" s="219"/>
      <c r="C2" s="219"/>
      <c r="D2" s="219"/>
      <c r="E2" s="219"/>
      <c r="F2" s="219"/>
      <c r="G2" s="219"/>
      <c r="H2" s="219"/>
      <c r="I2" s="219"/>
      <c r="J2" s="219"/>
      <c r="K2" s="219"/>
      <c r="L2" s="219"/>
      <c r="M2" s="219"/>
      <c r="N2" s="219"/>
      <c r="O2" s="219"/>
    </row>
    <row r="3" spans="1:15" s="5" customFormat="1" ht="24.75" customHeight="1">
      <c r="A3" s="44"/>
      <c r="B3" s="15"/>
      <c r="C3" s="225" t="s">
        <v>38</v>
      </c>
      <c r="D3" s="242" t="s">
        <v>39</v>
      </c>
      <c r="E3" s="227" t="s">
        <v>105</v>
      </c>
      <c r="F3" s="223" t="s">
        <v>40</v>
      </c>
      <c r="G3" s="223" t="s">
        <v>106</v>
      </c>
      <c r="H3" s="223" t="s">
        <v>107</v>
      </c>
      <c r="I3" s="239" t="s">
        <v>41</v>
      </c>
      <c r="J3" s="240"/>
      <c r="K3" s="240"/>
      <c r="L3" s="241"/>
      <c r="M3" s="222" t="s">
        <v>42</v>
      </c>
      <c r="N3" s="222"/>
      <c r="O3" s="222"/>
    </row>
    <row r="4" spans="1:15" s="5" customFormat="1" ht="30" customHeight="1" thickBot="1">
      <c r="A4" s="45"/>
      <c r="B4" s="16"/>
      <c r="C4" s="226"/>
      <c r="D4" s="243"/>
      <c r="E4" s="228"/>
      <c r="F4" s="224"/>
      <c r="G4" s="224"/>
      <c r="H4" s="224"/>
      <c r="I4" s="63" t="s">
        <v>43</v>
      </c>
      <c r="J4" s="64" t="s">
        <v>44</v>
      </c>
      <c r="K4" s="65" t="s">
        <v>108</v>
      </c>
      <c r="L4" s="66" t="s">
        <v>45</v>
      </c>
      <c r="M4" s="67" t="s">
        <v>43</v>
      </c>
      <c r="N4" s="64" t="s">
        <v>44</v>
      </c>
      <c r="O4" s="66" t="s">
        <v>46</v>
      </c>
    </row>
    <row r="5" spans="1:15" s="5" customFormat="1" ht="15">
      <c r="A5" s="69">
        <v>1</v>
      </c>
      <c r="B5" s="16"/>
      <c r="C5" s="70" t="s">
        <v>47</v>
      </c>
      <c r="D5" s="139">
        <v>38786</v>
      </c>
      <c r="E5" s="120" t="s">
        <v>48</v>
      </c>
      <c r="F5" s="71">
        <v>88</v>
      </c>
      <c r="G5" s="71">
        <v>93</v>
      </c>
      <c r="H5" s="71">
        <v>1</v>
      </c>
      <c r="I5" s="72">
        <v>766172.5</v>
      </c>
      <c r="J5" s="73">
        <v>104283</v>
      </c>
      <c r="K5" s="74">
        <f aca="true" t="shared" si="0" ref="K5:K36">J5/G5</f>
        <v>1121.3225806451612</v>
      </c>
      <c r="L5" s="75">
        <f aca="true" t="shared" si="1" ref="L5:L36">I5/J5</f>
        <v>7.347050813651315</v>
      </c>
      <c r="M5" s="72">
        <v>766172.5</v>
      </c>
      <c r="N5" s="73">
        <v>104283</v>
      </c>
      <c r="O5" s="76">
        <f aca="true" t="shared" si="2" ref="O5:O36">+M5/N5</f>
        <v>7.347050813651315</v>
      </c>
    </row>
    <row r="6" spans="1:15" s="18" customFormat="1" ht="15" customHeight="1">
      <c r="A6" s="69">
        <v>2</v>
      </c>
      <c r="B6" s="77"/>
      <c r="C6" s="78" t="s">
        <v>20</v>
      </c>
      <c r="D6" s="140">
        <v>38751</v>
      </c>
      <c r="E6" s="79" t="s">
        <v>100</v>
      </c>
      <c r="F6" s="80">
        <v>277</v>
      </c>
      <c r="G6" s="80">
        <v>232</v>
      </c>
      <c r="H6" s="80">
        <v>6</v>
      </c>
      <c r="I6" s="81">
        <v>523805</v>
      </c>
      <c r="J6" s="82">
        <v>107188</v>
      </c>
      <c r="K6" s="83">
        <f t="shared" si="0"/>
        <v>462.01724137931035</v>
      </c>
      <c r="L6" s="84">
        <f t="shared" si="1"/>
        <v>4.8867877001156845</v>
      </c>
      <c r="M6" s="81">
        <v>27094458</v>
      </c>
      <c r="N6" s="82">
        <v>4155161</v>
      </c>
      <c r="O6" s="85">
        <f t="shared" si="2"/>
        <v>6.520675853474751</v>
      </c>
    </row>
    <row r="7" spans="1:15" s="18" customFormat="1" ht="15" customHeight="1">
      <c r="A7" s="69">
        <v>3</v>
      </c>
      <c r="B7" s="77"/>
      <c r="C7" s="78" t="s">
        <v>19</v>
      </c>
      <c r="D7" s="140">
        <v>38034</v>
      </c>
      <c r="E7" s="79" t="s">
        <v>99</v>
      </c>
      <c r="F7" s="80">
        <v>164</v>
      </c>
      <c r="G7" s="80">
        <v>163</v>
      </c>
      <c r="H7" s="80">
        <v>4</v>
      </c>
      <c r="I7" s="81">
        <v>458560</v>
      </c>
      <c r="J7" s="82">
        <v>66652</v>
      </c>
      <c r="K7" s="83">
        <f t="shared" si="0"/>
        <v>408.9079754601227</v>
      </c>
      <c r="L7" s="84">
        <f t="shared" si="1"/>
        <v>6.879913580987817</v>
      </c>
      <c r="M7" s="81">
        <v>3779143</v>
      </c>
      <c r="N7" s="82">
        <v>543181</v>
      </c>
      <c r="O7" s="85">
        <f t="shared" si="2"/>
        <v>6.95742855512251</v>
      </c>
    </row>
    <row r="8" spans="1:15" s="18" customFormat="1" ht="15" customHeight="1">
      <c r="A8" s="69">
        <v>4</v>
      </c>
      <c r="B8" s="77"/>
      <c r="C8" s="78" t="s">
        <v>76</v>
      </c>
      <c r="D8" s="140">
        <v>38674</v>
      </c>
      <c r="E8" s="79" t="s">
        <v>5</v>
      </c>
      <c r="F8" s="86">
        <v>135</v>
      </c>
      <c r="G8" s="87">
        <v>120</v>
      </c>
      <c r="H8" s="87">
        <v>17</v>
      </c>
      <c r="I8" s="88">
        <v>398974.5</v>
      </c>
      <c r="J8" s="89">
        <v>71996</v>
      </c>
      <c r="K8" s="83">
        <f t="shared" si="0"/>
        <v>599.9666666666667</v>
      </c>
      <c r="L8" s="84">
        <f t="shared" si="1"/>
        <v>5.541620367798211</v>
      </c>
      <c r="M8" s="88">
        <f>574568+1404261+2751877+3258896.5+2619095+1721177.5+1470030+1888546+1731654+1414026+1497050.5+996634+787201+777126+643480+511031.5+398974.5</f>
        <v>24445628.5</v>
      </c>
      <c r="N8" s="89">
        <f>74406+182802+367017+453161+369242+239307+216443+244832+235512+212084+230729+167361+134787+155924+132040+98816+71996</f>
        <v>3586459</v>
      </c>
      <c r="O8" s="85">
        <f t="shared" si="2"/>
        <v>6.816090327534764</v>
      </c>
    </row>
    <row r="9" spans="1:16" s="18" customFormat="1" ht="15" customHeight="1">
      <c r="A9" s="69">
        <v>5</v>
      </c>
      <c r="B9" s="77"/>
      <c r="C9" s="90" t="s">
        <v>49</v>
      </c>
      <c r="D9" s="141">
        <v>38779</v>
      </c>
      <c r="E9" s="109" t="s">
        <v>48</v>
      </c>
      <c r="F9" s="86">
        <v>96</v>
      </c>
      <c r="G9" s="86">
        <v>96</v>
      </c>
      <c r="H9" s="86">
        <v>2</v>
      </c>
      <c r="I9" s="91">
        <f>335797+701.5</f>
        <v>336498.5</v>
      </c>
      <c r="J9" s="92">
        <f>43223+82</f>
        <v>43305</v>
      </c>
      <c r="K9" s="83">
        <f t="shared" si="0"/>
        <v>451.09375</v>
      </c>
      <c r="L9" s="84">
        <f t="shared" si="1"/>
        <v>7.770430666204827</v>
      </c>
      <c r="M9" s="91">
        <f>548794+335797+701.5</f>
        <v>885292.5</v>
      </c>
      <c r="N9" s="92">
        <f>69211+43223+82</f>
        <v>112516</v>
      </c>
      <c r="O9" s="85">
        <f t="shared" si="2"/>
        <v>7.868147641224359</v>
      </c>
      <c r="P9" s="21"/>
    </row>
    <row r="10" spans="1:15" s="18" customFormat="1" ht="15" customHeight="1">
      <c r="A10" s="69">
        <v>6</v>
      </c>
      <c r="B10" s="77"/>
      <c r="C10" s="78" t="s">
        <v>126</v>
      </c>
      <c r="D10" s="142">
        <v>38786</v>
      </c>
      <c r="E10" s="79" t="s">
        <v>146</v>
      </c>
      <c r="F10" s="80">
        <v>65</v>
      </c>
      <c r="G10" s="93">
        <v>65</v>
      </c>
      <c r="H10" s="93">
        <v>1</v>
      </c>
      <c r="I10" s="94">
        <v>292389</v>
      </c>
      <c r="J10" s="95">
        <v>34719</v>
      </c>
      <c r="K10" s="83">
        <f t="shared" si="0"/>
        <v>534.1384615384616</v>
      </c>
      <c r="L10" s="84">
        <f t="shared" si="1"/>
        <v>8.4215847230623</v>
      </c>
      <c r="M10" s="94">
        <v>292389</v>
      </c>
      <c r="N10" s="95">
        <v>34719</v>
      </c>
      <c r="O10" s="85">
        <f t="shared" si="2"/>
        <v>8.4215847230623</v>
      </c>
    </row>
    <row r="11" spans="1:15" s="18" customFormat="1" ht="15" customHeight="1">
      <c r="A11" s="69">
        <v>7</v>
      </c>
      <c r="B11" s="77"/>
      <c r="C11" s="78" t="s">
        <v>144</v>
      </c>
      <c r="D11" s="142">
        <v>38779</v>
      </c>
      <c r="E11" s="79" t="s">
        <v>147</v>
      </c>
      <c r="F11" s="80">
        <v>74</v>
      </c>
      <c r="G11" s="93">
        <v>72</v>
      </c>
      <c r="H11" s="93">
        <v>2</v>
      </c>
      <c r="I11" s="94">
        <v>263011</v>
      </c>
      <c r="J11" s="95">
        <v>35976</v>
      </c>
      <c r="K11" s="83">
        <f t="shared" si="0"/>
        <v>499.6666666666667</v>
      </c>
      <c r="L11" s="84">
        <f t="shared" si="1"/>
        <v>7.3107349344007115</v>
      </c>
      <c r="M11" s="94">
        <v>637150</v>
      </c>
      <c r="N11" s="95">
        <v>85336</v>
      </c>
      <c r="O11" s="85">
        <f t="shared" si="2"/>
        <v>7.466368238492547</v>
      </c>
    </row>
    <row r="12" spans="1:15" s="18" customFormat="1" ht="15" customHeight="1">
      <c r="A12" s="69">
        <v>8</v>
      </c>
      <c r="B12" s="77"/>
      <c r="C12" s="78" t="s">
        <v>64</v>
      </c>
      <c r="D12" s="140">
        <v>38758</v>
      </c>
      <c r="E12" s="79" t="s">
        <v>10</v>
      </c>
      <c r="F12" s="86">
        <v>80</v>
      </c>
      <c r="G12" s="87">
        <v>80</v>
      </c>
      <c r="H12" s="87">
        <v>5</v>
      </c>
      <c r="I12" s="88">
        <v>240709.5</v>
      </c>
      <c r="J12" s="89">
        <v>46681</v>
      </c>
      <c r="K12" s="83">
        <f t="shared" si="0"/>
        <v>583.5125</v>
      </c>
      <c r="L12" s="84">
        <f t="shared" si="1"/>
        <v>5.15647693922581</v>
      </c>
      <c r="M12" s="88">
        <f>1046144.5+776147+471268+342390+240709.5</f>
        <v>2876659</v>
      </c>
      <c r="N12" s="89">
        <f>153560+115584+70079+59336+46681</f>
        <v>445240</v>
      </c>
      <c r="O12" s="85">
        <f t="shared" si="2"/>
        <v>6.460917707303926</v>
      </c>
    </row>
    <row r="13" spans="1:15" s="18" customFormat="1" ht="15" customHeight="1">
      <c r="A13" s="69">
        <v>9</v>
      </c>
      <c r="B13" s="77"/>
      <c r="C13" s="90" t="s">
        <v>17</v>
      </c>
      <c r="D13" s="141">
        <v>38527</v>
      </c>
      <c r="E13" s="109" t="s">
        <v>50</v>
      </c>
      <c r="F13" s="86">
        <v>43</v>
      </c>
      <c r="G13" s="86">
        <v>18</v>
      </c>
      <c r="H13" s="86">
        <v>22</v>
      </c>
      <c r="I13" s="91">
        <v>178537</v>
      </c>
      <c r="J13" s="92">
        <v>19409</v>
      </c>
      <c r="K13" s="83">
        <f t="shared" si="0"/>
        <v>1078.2777777777778</v>
      </c>
      <c r="L13" s="84">
        <f t="shared" si="1"/>
        <v>9.19867071976918</v>
      </c>
      <c r="M13" s="91">
        <f>169533+81079.5+71823.5+35609+28575+20856+14021.5+7517.5+2985+2572+296+269+250+205+213+107+57+30.5+97+173+455+133+178537</f>
        <v>615394.5</v>
      </c>
      <c r="N13" s="92">
        <f>21038+10132+8736+5328+4899+3682+3105+1506+822+755+49+43+40+29+31+14+8+2+14+26+65+19+19409</f>
        <v>79752</v>
      </c>
      <c r="O13" s="85">
        <f t="shared" si="2"/>
        <v>7.7163519410171535</v>
      </c>
    </row>
    <row r="14" spans="1:15" s="18" customFormat="1" ht="15" customHeight="1">
      <c r="A14" s="69">
        <v>10</v>
      </c>
      <c r="B14" s="77"/>
      <c r="C14" s="90" t="s">
        <v>51</v>
      </c>
      <c r="D14" s="141">
        <v>38772</v>
      </c>
      <c r="E14" s="109" t="s">
        <v>50</v>
      </c>
      <c r="F14" s="86">
        <v>72</v>
      </c>
      <c r="G14" s="86">
        <v>72</v>
      </c>
      <c r="H14" s="86">
        <v>3</v>
      </c>
      <c r="I14" s="91">
        <v>147520.5</v>
      </c>
      <c r="J14" s="92">
        <v>20089</v>
      </c>
      <c r="K14" s="83">
        <f t="shared" si="0"/>
        <v>279.0138888888889</v>
      </c>
      <c r="L14" s="84">
        <f t="shared" si="1"/>
        <v>7.343347105381055</v>
      </c>
      <c r="M14" s="91">
        <f>567539+316479.5+147520.5</f>
        <v>1031539</v>
      </c>
      <c r="N14" s="92">
        <f>70751+40533+20089</f>
        <v>131373</v>
      </c>
      <c r="O14" s="85">
        <f t="shared" si="2"/>
        <v>7.8519863290021545</v>
      </c>
    </row>
    <row r="15" spans="1:15" s="18" customFormat="1" ht="15" customHeight="1">
      <c r="A15" s="69">
        <v>11</v>
      </c>
      <c r="B15" s="77"/>
      <c r="C15" s="78" t="s">
        <v>127</v>
      </c>
      <c r="D15" s="142">
        <v>38772</v>
      </c>
      <c r="E15" s="79" t="s">
        <v>148</v>
      </c>
      <c r="F15" s="80">
        <v>63</v>
      </c>
      <c r="G15" s="93">
        <v>62</v>
      </c>
      <c r="H15" s="93">
        <v>3</v>
      </c>
      <c r="I15" s="94">
        <v>124085</v>
      </c>
      <c r="J15" s="95">
        <v>16659</v>
      </c>
      <c r="K15" s="83">
        <f t="shared" si="0"/>
        <v>268.69354838709677</v>
      </c>
      <c r="L15" s="84">
        <f t="shared" si="1"/>
        <v>7.44852632210817</v>
      </c>
      <c r="M15" s="94">
        <v>725889</v>
      </c>
      <c r="N15" s="95">
        <v>91516</v>
      </c>
      <c r="O15" s="85">
        <f t="shared" si="2"/>
        <v>7.931826128764369</v>
      </c>
    </row>
    <row r="16" spans="1:15" s="18" customFormat="1" ht="15" customHeight="1">
      <c r="A16" s="69">
        <v>12</v>
      </c>
      <c r="B16" s="77"/>
      <c r="C16" s="78" t="s">
        <v>0</v>
      </c>
      <c r="D16" s="140">
        <v>38786</v>
      </c>
      <c r="E16" s="79" t="s">
        <v>11</v>
      </c>
      <c r="F16" s="86">
        <v>30</v>
      </c>
      <c r="G16" s="87">
        <v>30</v>
      </c>
      <c r="H16" s="87">
        <v>1</v>
      </c>
      <c r="I16" s="88">
        <v>94630</v>
      </c>
      <c r="J16" s="89">
        <v>12856</v>
      </c>
      <c r="K16" s="83">
        <f t="shared" si="0"/>
        <v>428.53333333333336</v>
      </c>
      <c r="L16" s="84">
        <f t="shared" si="1"/>
        <v>7.360765401369011</v>
      </c>
      <c r="M16" s="88">
        <f>94630</f>
        <v>94630</v>
      </c>
      <c r="N16" s="89">
        <f>12856</f>
        <v>12856</v>
      </c>
      <c r="O16" s="85">
        <f t="shared" si="2"/>
        <v>7.360765401369011</v>
      </c>
    </row>
    <row r="17" spans="1:15" s="18" customFormat="1" ht="15" customHeight="1">
      <c r="A17" s="69">
        <v>13</v>
      </c>
      <c r="B17" s="77"/>
      <c r="C17" s="90" t="s">
        <v>52</v>
      </c>
      <c r="D17" s="141">
        <v>38765</v>
      </c>
      <c r="E17" s="109" t="s">
        <v>53</v>
      </c>
      <c r="F17" s="86">
        <v>22</v>
      </c>
      <c r="G17" s="86">
        <v>22</v>
      </c>
      <c r="H17" s="86">
        <v>4</v>
      </c>
      <c r="I17" s="91">
        <v>63025</v>
      </c>
      <c r="J17" s="92">
        <v>7549</v>
      </c>
      <c r="K17" s="83">
        <f t="shared" si="0"/>
        <v>343.1363636363636</v>
      </c>
      <c r="L17" s="84">
        <f t="shared" si="1"/>
        <v>8.34878791892966</v>
      </c>
      <c r="M17" s="91">
        <f>233855.5+204363.5+128310.5+63025</f>
        <v>629554.5</v>
      </c>
      <c r="N17" s="92">
        <f>23969+21050+14093+7549</f>
        <v>66661</v>
      </c>
      <c r="O17" s="85">
        <f t="shared" si="2"/>
        <v>9.44412025022127</v>
      </c>
    </row>
    <row r="18" spans="1:15" s="18" customFormat="1" ht="15" customHeight="1">
      <c r="A18" s="69">
        <v>14</v>
      </c>
      <c r="B18" s="77"/>
      <c r="C18" s="90" t="s">
        <v>54</v>
      </c>
      <c r="D18" s="141">
        <v>38758</v>
      </c>
      <c r="E18" s="109" t="s">
        <v>48</v>
      </c>
      <c r="F18" s="86">
        <v>22</v>
      </c>
      <c r="G18" s="86">
        <v>22</v>
      </c>
      <c r="H18" s="86">
        <v>5</v>
      </c>
      <c r="I18" s="91">
        <f>38855.5+4630</f>
        <v>43485.5</v>
      </c>
      <c r="J18" s="92">
        <f>5738+693</f>
        <v>6431</v>
      </c>
      <c r="K18" s="83">
        <f t="shared" si="0"/>
        <v>292.3181818181818</v>
      </c>
      <c r="L18" s="84">
        <f t="shared" si="1"/>
        <v>6.761856631939045</v>
      </c>
      <c r="M18" s="91">
        <f>532455+375378.5+1288+209157.5+74302.5+38855.5+4630</f>
        <v>1236067</v>
      </c>
      <c r="N18" s="92">
        <f>61952+44929+104+25802+9625+5738+693</f>
        <v>148843</v>
      </c>
      <c r="O18" s="85">
        <f t="shared" si="2"/>
        <v>8.304502059216759</v>
      </c>
    </row>
    <row r="19" spans="1:15" s="18" customFormat="1" ht="15" customHeight="1">
      <c r="A19" s="69">
        <v>15</v>
      </c>
      <c r="B19" s="77"/>
      <c r="C19" s="78" t="s">
        <v>63</v>
      </c>
      <c r="D19" s="140">
        <v>38772</v>
      </c>
      <c r="E19" s="79" t="s">
        <v>9</v>
      </c>
      <c r="F19" s="86">
        <v>49</v>
      </c>
      <c r="G19" s="87">
        <v>49</v>
      </c>
      <c r="H19" s="87">
        <v>3</v>
      </c>
      <c r="I19" s="88">
        <v>40498</v>
      </c>
      <c r="J19" s="89">
        <v>5841</v>
      </c>
      <c r="K19" s="83">
        <f t="shared" si="0"/>
        <v>119.20408163265306</v>
      </c>
      <c r="L19" s="84">
        <f t="shared" si="1"/>
        <v>6.9334018147577465</v>
      </c>
      <c r="M19" s="88">
        <f>151711.5+80204.5+40498</f>
        <v>272414</v>
      </c>
      <c r="N19" s="89">
        <f>20342+10373+5841</f>
        <v>36556</v>
      </c>
      <c r="O19" s="85">
        <f t="shared" si="2"/>
        <v>7.451964109858847</v>
      </c>
    </row>
    <row r="20" spans="1:15" s="18" customFormat="1" ht="15" customHeight="1">
      <c r="A20" s="69">
        <v>16</v>
      </c>
      <c r="B20" s="77"/>
      <c r="C20" s="78" t="s">
        <v>130</v>
      </c>
      <c r="D20" s="142">
        <v>38751</v>
      </c>
      <c r="E20" s="79" t="s">
        <v>148</v>
      </c>
      <c r="F20" s="80">
        <v>51</v>
      </c>
      <c r="G20" s="93">
        <v>21</v>
      </c>
      <c r="H20" s="93">
        <v>6</v>
      </c>
      <c r="I20" s="94">
        <v>31322</v>
      </c>
      <c r="J20" s="95">
        <v>6505</v>
      </c>
      <c r="K20" s="83">
        <f t="shared" si="0"/>
        <v>309.76190476190476</v>
      </c>
      <c r="L20" s="84">
        <f t="shared" si="1"/>
        <v>4.815065334358186</v>
      </c>
      <c r="M20" s="94">
        <v>1254262</v>
      </c>
      <c r="N20" s="95">
        <v>158189</v>
      </c>
      <c r="O20" s="85">
        <f t="shared" si="2"/>
        <v>7.928882539241035</v>
      </c>
    </row>
    <row r="21" spans="1:15" s="18" customFormat="1" ht="15" customHeight="1">
      <c r="A21" s="69">
        <v>17</v>
      </c>
      <c r="B21" s="77"/>
      <c r="C21" s="90" t="s">
        <v>18</v>
      </c>
      <c r="D21" s="141">
        <v>38786</v>
      </c>
      <c r="E21" s="109" t="s">
        <v>25</v>
      </c>
      <c r="F21" s="86">
        <v>4</v>
      </c>
      <c r="G21" s="86">
        <v>4</v>
      </c>
      <c r="H21" s="86">
        <v>1</v>
      </c>
      <c r="I21" s="96">
        <v>30566</v>
      </c>
      <c r="J21" s="97">
        <v>3413</v>
      </c>
      <c r="K21" s="83">
        <f t="shared" si="0"/>
        <v>853.25</v>
      </c>
      <c r="L21" s="84">
        <f t="shared" si="1"/>
        <v>8.955757398183417</v>
      </c>
      <c r="M21" s="96">
        <v>30566</v>
      </c>
      <c r="N21" s="97">
        <v>3413</v>
      </c>
      <c r="O21" s="85">
        <f t="shared" si="2"/>
        <v>8.955757398183417</v>
      </c>
    </row>
    <row r="22" spans="1:15" s="18" customFormat="1" ht="15" customHeight="1">
      <c r="A22" s="69">
        <v>18</v>
      </c>
      <c r="B22" s="77"/>
      <c r="C22" s="98" t="s">
        <v>1</v>
      </c>
      <c r="D22" s="140">
        <v>38779</v>
      </c>
      <c r="E22" s="121" t="s">
        <v>13</v>
      </c>
      <c r="F22" s="86">
        <v>10</v>
      </c>
      <c r="G22" s="99">
        <v>10</v>
      </c>
      <c r="H22" s="99">
        <v>2</v>
      </c>
      <c r="I22" s="81">
        <v>27290.5</v>
      </c>
      <c r="J22" s="82">
        <v>3315</v>
      </c>
      <c r="K22" s="83">
        <f t="shared" si="0"/>
        <v>331.5</v>
      </c>
      <c r="L22" s="84">
        <f t="shared" si="1"/>
        <v>8.232428355957767</v>
      </c>
      <c r="M22" s="81">
        <v>78282</v>
      </c>
      <c r="N22" s="82">
        <v>9321</v>
      </c>
      <c r="O22" s="85">
        <f t="shared" si="2"/>
        <v>8.398455101383972</v>
      </c>
    </row>
    <row r="23" spans="1:15" s="18" customFormat="1" ht="15" customHeight="1">
      <c r="A23" s="69">
        <v>19</v>
      </c>
      <c r="B23" s="77"/>
      <c r="C23" s="90" t="s">
        <v>4</v>
      </c>
      <c r="D23" s="140">
        <v>38779</v>
      </c>
      <c r="E23" s="109" t="s">
        <v>16</v>
      </c>
      <c r="F23" s="86">
        <v>8</v>
      </c>
      <c r="G23" s="86">
        <v>8</v>
      </c>
      <c r="H23" s="86">
        <v>2</v>
      </c>
      <c r="I23" s="96">
        <v>17502</v>
      </c>
      <c r="J23" s="97">
        <v>1652</v>
      </c>
      <c r="K23" s="83">
        <f t="shared" si="0"/>
        <v>206.5</v>
      </c>
      <c r="L23" s="84">
        <f t="shared" si="1"/>
        <v>10.594430992736077</v>
      </c>
      <c r="M23" s="96">
        <v>66438.9</v>
      </c>
      <c r="N23" s="97">
        <v>6957</v>
      </c>
      <c r="O23" s="85">
        <f t="shared" si="2"/>
        <v>9.549935316946959</v>
      </c>
    </row>
    <row r="24" spans="1:15" s="18" customFormat="1" ht="15" customHeight="1">
      <c r="A24" s="69">
        <v>20</v>
      </c>
      <c r="B24" s="77"/>
      <c r="C24" s="78" t="s">
        <v>132</v>
      </c>
      <c r="D24" s="143">
        <v>38744</v>
      </c>
      <c r="E24" s="79" t="s">
        <v>150</v>
      </c>
      <c r="F24" s="80">
        <v>70</v>
      </c>
      <c r="G24" s="93">
        <v>7</v>
      </c>
      <c r="H24" s="93">
        <v>7</v>
      </c>
      <c r="I24" s="94">
        <v>11345</v>
      </c>
      <c r="J24" s="95">
        <v>1939</v>
      </c>
      <c r="K24" s="83">
        <f t="shared" si="0"/>
        <v>277</v>
      </c>
      <c r="L24" s="84">
        <f t="shared" si="1"/>
        <v>5.850954100051573</v>
      </c>
      <c r="M24" s="94">
        <v>1830417</v>
      </c>
      <c r="N24" s="95">
        <v>225105</v>
      </c>
      <c r="O24" s="85">
        <f t="shared" si="2"/>
        <v>8.131392017058706</v>
      </c>
    </row>
    <row r="25" spans="1:15" s="18" customFormat="1" ht="15" customHeight="1">
      <c r="A25" s="69">
        <v>21</v>
      </c>
      <c r="B25" s="77"/>
      <c r="C25" s="78" t="s">
        <v>128</v>
      </c>
      <c r="D25" s="142">
        <v>38765</v>
      </c>
      <c r="E25" s="79" t="s">
        <v>146</v>
      </c>
      <c r="F25" s="80">
        <v>41</v>
      </c>
      <c r="G25" s="93">
        <v>16</v>
      </c>
      <c r="H25" s="93">
        <v>4</v>
      </c>
      <c r="I25" s="94">
        <v>11262</v>
      </c>
      <c r="J25" s="95">
        <v>2046</v>
      </c>
      <c r="K25" s="83">
        <f t="shared" si="0"/>
        <v>127.875</v>
      </c>
      <c r="L25" s="84">
        <f t="shared" si="1"/>
        <v>5.504398826979473</v>
      </c>
      <c r="M25" s="94">
        <v>309043</v>
      </c>
      <c r="N25" s="95">
        <v>40030</v>
      </c>
      <c r="O25" s="85">
        <f t="shared" si="2"/>
        <v>7.7202847864101924</v>
      </c>
    </row>
    <row r="26" spans="1:15" s="18" customFormat="1" ht="15" customHeight="1">
      <c r="A26" s="69">
        <v>22</v>
      </c>
      <c r="B26" s="77"/>
      <c r="C26" s="100" t="s">
        <v>137</v>
      </c>
      <c r="D26" s="140">
        <v>38779</v>
      </c>
      <c r="E26" s="101" t="s">
        <v>151</v>
      </c>
      <c r="F26" s="80">
        <v>6</v>
      </c>
      <c r="G26" s="102">
        <v>6</v>
      </c>
      <c r="H26" s="102">
        <v>1</v>
      </c>
      <c r="I26" s="88">
        <v>9398</v>
      </c>
      <c r="J26" s="89">
        <v>1039</v>
      </c>
      <c r="K26" s="83">
        <f t="shared" si="0"/>
        <v>173.16666666666666</v>
      </c>
      <c r="L26" s="84">
        <f t="shared" si="1"/>
        <v>9.045235803657363</v>
      </c>
      <c r="M26" s="88">
        <f>9397.5</f>
        <v>9397.5</v>
      </c>
      <c r="N26" s="89">
        <f>1039</f>
        <v>1039</v>
      </c>
      <c r="O26" s="85">
        <f t="shared" si="2"/>
        <v>9.04475457170356</v>
      </c>
    </row>
    <row r="27" spans="1:15" s="18" customFormat="1" ht="15" customHeight="1">
      <c r="A27" s="69">
        <v>23</v>
      </c>
      <c r="B27" s="77"/>
      <c r="C27" s="78" t="s">
        <v>145</v>
      </c>
      <c r="D27" s="143">
        <v>38730</v>
      </c>
      <c r="E27" s="79" t="s">
        <v>147</v>
      </c>
      <c r="F27" s="80">
        <v>116</v>
      </c>
      <c r="G27" s="93">
        <v>9</v>
      </c>
      <c r="H27" s="93">
        <v>9</v>
      </c>
      <c r="I27" s="103">
        <v>9040</v>
      </c>
      <c r="J27" s="95">
        <v>2275</v>
      </c>
      <c r="K27" s="83">
        <f t="shared" si="0"/>
        <v>252.77777777777777</v>
      </c>
      <c r="L27" s="84">
        <f t="shared" si="1"/>
        <v>3.9736263736263737</v>
      </c>
      <c r="M27" s="103">
        <v>3257252</v>
      </c>
      <c r="N27" s="95">
        <v>462306</v>
      </c>
      <c r="O27" s="85">
        <f t="shared" si="2"/>
        <v>7.045662396767509</v>
      </c>
    </row>
    <row r="28" spans="1:15" s="18" customFormat="1" ht="15" customHeight="1">
      <c r="A28" s="69">
        <v>24</v>
      </c>
      <c r="B28" s="77"/>
      <c r="C28" s="78" t="s">
        <v>103</v>
      </c>
      <c r="D28" s="140">
        <v>38765</v>
      </c>
      <c r="E28" s="79" t="s">
        <v>7</v>
      </c>
      <c r="F28" s="86">
        <v>30</v>
      </c>
      <c r="G28" s="87">
        <v>16</v>
      </c>
      <c r="H28" s="87">
        <v>4</v>
      </c>
      <c r="I28" s="88">
        <v>8129</v>
      </c>
      <c r="J28" s="89">
        <v>1438</v>
      </c>
      <c r="K28" s="83">
        <f t="shared" si="0"/>
        <v>89.875</v>
      </c>
      <c r="L28" s="84">
        <f t="shared" si="1"/>
        <v>5.652990264255911</v>
      </c>
      <c r="M28" s="88">
        <f>62768+32353+12961+8129</f>
        <v>116211</v>
      </c>
      <c r="N28" s="89">
        <f>8337+4470+2425+1438</f>
        <v>16670</v>
      </c>
      <c r="O28" s="85">
        <f t="shared" si="2"/>
        <v>6.97126574685063</v>
      </c>
    </row>
    <row r="29" spans="1:15" s="18" customFormat="1" ht="15" customHeight="1">
      <c r="A29" s="69">
        <v>25</v>
      </c>
      <c r="B29" s="77"/>
      <c r="C29" s="90" t="s">
        <v>55</v>
      </c>
      <c r="D29" s="141">
        <v>38737</v>
      </c>
      <c r="E29" s="109" t="s">
        <v>48</v>
      </c>
      <c r="F29" s="86">
        <v>7</v>
      </c>
      <c r="G29" s="86">
        <v>7</v>
      </c>
      <c r="H29" s="86">
        <v>8</v>
      </c>
      <c r="I29" s="91">
        <v>7887</v>
      </c>
      <c r="J29" s="92">
        <v>1697</v>
      </c>
      <c r="K29" s="83">
        <f t="shared" si="0"/>
        <v>242.42857142857142</v>
      </c>
      <c r="L29" s="84">
        <f t="shared" si="1"/>
        <v>4.647613435474367</v>
      </c>
      <c r="M29" s="91">
        <f>608427+380282+114207+9532.5+267+10793+13396.5+5792+7887</f>
        <v>1150584</v>
      </c>
      <c r="N29" s="92">
        <f>84958+53848+16688+1589+36+2247+2850+1209+1697</f>
        <v>165122</v>
      </c>
      <c r="O29" s="85">
        <f t="shared" si="2"/>
        <v>6.968084204406439</v>
      </c>
    </row>
    <row r="30" spans="1:15" s="18" customFormat="1" ht="15" customHeight="1">
      <c r="A30" s="69">
        <v>26</v>
      </c>
      <c r="B30" s="77"/>
      <c r="C30" s="104" t="s">
        <v>159</v>
      </c>
      <c r="D30" s="140">
        <v>38786</v>
      </c>
      <c r="E30" s="79" t="s">
        <v>160</v>
      </c>
      <c r="F30" s="80">
        <v>7</v>
      </c>
      <c r="G30" s="80">
        <v>7</v>
      </c>
      <c r="H30" s="80">
        <v>1</v>
      </c>
      <c r="I30" s="105">
        <v>7742</v>
      </c>
      <c r="J30" s="89">
        <v>929</v>
      </c>
      <c r="K30" s="83">
        <f t="shared" si="0"/>
        <v>132.71428571428572</v>
      </c>
      <c r="L30" s="84">
        <f t="shared" si="1"/>
        <v>8.333692142088267</v>
      </c>
      <c r="M30" s="88">
        <v>7742</v>
      </c>
      <c r="N30" s="89">
        <v>929</v>
      </c>
      <c r="O30" s="85">
        <f t="shared" si="2"/>
        <v>8.333692142088267</v>
      </c>
    </row>
    <row r="31" spans="1:15" s="18" customFormat="1" ht="15" customHeight="1">
      <c r="A31" s="69">
        <v>27</v>
      </c>
      <c r="B31" s="77"/>
      <c r="C31" s="100" t="s">
        <v>138</v>
      </c>
      <c r="D31" s="140">
        <v>38779</v>
      </c>
      <c r="E31" s="101" t="s">
        <v>152</v>
      </c>
      <c r="F31" s="80">
        <v>10</v>
      </c>
      <c r="G31" s="102">
        <v>8</v>
      </c>
      <c r="H31" s="102">
        <v>2</v>
      </c>
      <c r="I31" s="88">
        <v>7030</v>
      </c>
      <c r="J31" s="89">
        <v>994</v>
      </c>
      <c r="K31" s="83">
        <f t="shared" si="0"/>
        <v>124.25</v>
      </c>
      <c r="L31" s="84">
        <f t="shared" si="1"/>
        <v>7.072434607645875</v>
      </c>
      <c r="M31" s="88">
        <f>19635+7029.5</f>
        <v>26664.5</v>
      </c>
      <c r="N31" s="89">
        <f>2548+994</f>
        <v>3542</v>
      </c>
      <c r="O31" s="85">
        <f t="shared" si="2"/>
        <v>7.528091473743648</v>
      </c>
    </row>
    <row r="32" spans="1:15" s="18" customFormat="1" ht="15" customHeight="1">
      <c r="A32" s="69">
        <v>28</v>
      </c>
      <c r="B32" s="77"/>
      <c r="C32" s="78" t="s">
        <v>129</v>
      </c>
      <c r="D32" s="142">
        <v>38765</v>
      </c>
      <c r="E32" s="79" t="s">
        <v>149</v>
      </c>
      <c r="F32" s="80">
        <v>20</v>
      </c>
      <c r="G32" s="93">
        <v>12</v>
      </c>
      <c r="H32" s="93">
        <v>4</v>
      </c>
      <c r="I32" s="94">
        <v>6801</v>
      </c>
      <c r="J32" s="95">
        <v>981</v>
      </c>
      <c r="K32" s="83">
        <f t="shared" si="0"/>
        <v>81.75</v>
      </c>
      <c r="L32" s="84">
        <f t="shared" si="1"/>
        <v>6.9327217125382266</v>
      </c>
      <c r="M32" s="94">
        <v>123996</v>
      </c>
      <c r="N32" s="95">
        <v>13083</v>
      </c>
      <c r="O32" s="85">
        <f t="shared" si="2"/>
        <v>9.477642742490255</v>
      </c>
    </row>
    <row r="33" spans="1:15" s="18" customFormat="1" ht="15" customHeight="1">
      <c r="A33" s="69">
        <v>29</v>
      </c>
      <c r="B33" s="77"/>
      <c r="C33" s="78" t="s">
        <v>65</v>
      </c>
      <c r="D33" s="140">
        <v>38758</v>
      </c>
      <c r="E33" s="79" t="s">
        <v>9</v>
      </c>
      <c r="F33" s="86">
        <v>10</v>
      </c>
      <c r="G33" s="87">
        <v>7</v>
      </c>
      <c r="H33" s="87">
        <v>5</v>
      </c>
      <c r="I33" s="88">
        <v>5793</v>
      </c>
      <c r="J33" s="89">
        <v>814</v>
      </c>
      <c r="K33" s="83">
        <f t="shared" si="0"/>
        <v>116.28571428571429</v>
      </c>
      <c r="L33" s="84">
        <f t="shared" si="1"/>
        <v>7.116707616707616</v>
      </c>
      <c r="M33" s="88">
        <f>43085.5+25538.5+13529.5+10266+5793</f>
        <v>98212.5</v>
      </c>
      <c r="N33" s="89">
        <f>4921+3009+1674+2167+814</f>
        <v>12585</v>
      </c>
      <c r="O33" s="85">
        <f t="shared" si="2"/>
        <v>7.803933253873659</v>
      </c>
    </row>
    <row r="34" spans="1:15" s="18" customFormat="1" ht="15" customHeight="1">
      <c r="A34" s="69">
        <v>30</v>
      </c>
      <c r="B34" s="77"/>
      <c r="C34" s="78" t="s">
        <v>22</v>
      </c>
      <c r="D34" s="140">
        <v>38709</v>
      </c>
      <c r="E34" s="79" t="s">
        <v>102</v>
      </c>
      <c r="F34" s="80">
        <v>233</v>
      </c>
      <c r="G34" s="80">
        <v>7</v>
      </c>
      <c r="H34" s="80">
        <v>12</v>
      </c>
      <c r="I34" s="81">
        <v>5548.5</v>
      </c>
      <c r="J34" s="82">
        <v>1567</v>
      </c>
      <c r="K34" s="83">
        <f t="shared" si="0"/>
        <v>223.85714285714286</v>
      </c>
      <c r="L34" s="84">
        <f t="shared" si="1"/>
        <v>3.5408423739629864</v>
      </c>
      <c r="M34" s="81">
        <v>17043578.5</v>
      </c>
      <c r="N34" s="82">
        <v>2553475</v>
      </c>
      <c r="O34" s="85">
        <f t="shared" si="2"/>
        <v>6.67466041374989</v>
      </c>
    </row>
    <row r="35" spans="1:15" s="18" customFormat="1" ht="15" customHeight="1">
      <c r="A35" s="69">
        <v>31</v>
      </c>
      <c r="B35" s="77"/>
      <c r="C35" s="78" t="s">
        <v>98</v>
      </c>
      <c r="D35" s="140">
        <v>38737</v>
      </c>
      <c r="E35" s="79" t="s">
        <v>8</v>
      </c>
      <c r="F35" s="86">
        <v>43</v>
      </c>
      <c r="G35" s="87">
        <v>5</v>
      </c>
      <c r="H35" s="87">
        <v>8</v>
      </c>
      <c r="I35" s="88">
        <v>5237.5</v>
      </c>
      <c r="J35" s="89">
        <v>1611</v>
      </c>
      <c r="K35" s="83">
        <f t="shared" si="0"/>
        <v>322.2</v>
      </c>
      <c r="L35" s="84">
        <f t="shared" si="1"/>
        <v>3.251086281812539</v>
      </c>
      <c r="M35" s="88">
        <f>396203.5+294727+144308+39007.5+20845+13381+3440+5237.5</f>
        <v>917149.5</v>
      </c>
      <c r="N35" s="89">
        <f>47896+35851+17460+6558+3746+4007+1374+1611</f>
        <v>118503</v>
      </c>
      <c r="O35" s="85">
        <f t="shared" si="2"/>
        <v>7.739462292093871</v>
      </c>
    </row>
    <row r="36" spans="1:15" s="18" customFormat="1" ht="15" customHeight="1">
      <c r="A36" s="69">
        <v>32</v>
      </c>
      <c r="B36" s="77"/>
      <c r="C36" s="78" t="s">
        <v>131</v>
      </c>
      <c r="D36" s="142">
        <v>38751</v>
      </c>
      <c r="E36" s="79" t="s">
        <v>149</v>
      </c>
      <c r="F36" s="80">
        <v>27</v>
      </c>
      <c r="G36" s="93">
        <v>5</v>
      </c>
      <c r="H36" s="93">
        <v>6</v>
      </c>
      <c r="I36" s="94">
        <v>5207</v>
      </c>
      <c r="J36" s="95">
        <v>961</v>
      </c>
      <c r="K36" s="83">
        <f t="shared" si="0"/>
        <v>192.2</v>
      </c>
      <c r="L36" s="84">
        <f t="shared" si="1"/>
        <v>5.418314255983351</v>
      </c>
      <c r="M36" s="94">
        <v>461979</v>
      </c>
      <c r="N36" s="95">
        <v>52519</v>
      </c>
      <c r="O36" s="85">
        <f t="shared" si="2"/>
        <v>8.796416534968298</v>
      </c>
    </row>
    <row r="37" spans="1:15" s="18" customFormat="1" ht="15" customHeight="1">
      <c r="A37" s="69">
        <v>33</v>
      </c>
      <c r="B37" s="77"/>
      <c r="C37" s="78" t="s">
        <v>21</v>
      </c>
      <c r="D37" s="140">
        <v>38723</v>
      </c>
      <c r="E37" s="79" t="s">
        <v>101</v>
      </c>
      <c r="F37" s="80">
        <v>199</v>
      </c>
      <c r="G37" s="80">
        <v>6</v>
      </c>
      <c r="H37" s="80">
        <v>10</v>
      </c>
      <c r="I37" s="81">
        <v>5195.5</v>
      </c>
      <c r="J37" s="82">
        <v>1653</v>
      </c>
      <c r="K37" s="83">
        <f aca="true" t="shared" si="3" ref="K37:K65">J37/G37</f>
        <v>275.5</v>
      </c>
      <c r="L37" s="84">
        <f aca="true" t="shared" si="4" ref="L37:L65">I37/J37</f>
        <v>3.143073200241984</v>
      </c>
      <c r="M37" s="81">
        <v>6496262.1</v>
      </c>
      <c r="N37" s="82">
        <v>988101</v>
      </c>
      <c r="O37" s="85">
        <f aca="true" t="shared" si="5" ref="O37:O65">+M37/N37</f>
        <v>6.574491980070863</v>
      </c>
    </row>
    <row r="38" spans="1:15" s="18" customFormat="1" ht="15" customHeight="1">
      <c r="A38" s="69">
        <v>34</v>
      </c>
      <c r="B38" s="77"/>
      <c r="C38" s="78" t="s">
        <v>134</v>
      </c>
      <c r="D38" s="143">
        <v>38695</v>
      </c>
      <c r="E38" s="79" t="s">
        <v>147</v>
      </c>
      <c r="F38" s="80">
        <v>81</v>
      </c>
      <c r="G38" s="93">
        <v>10</v>
      </c>
      <c r="H38" s="93">
        <v>14</v>
      </c>
      <c r="I38" s="103">
        <v>4321</v>
      </c>
      <c r="J38" s="95">
        <v>790</v>
      </c>
      <c r="K38" s="83">
        <f t="shared" si="3"/>
        <v>79</v>
      </c>
      <c r="L38" s="84">
        <f t="shared" si="4"/>
        <v>5.469620253164557</v>
      </c>
      <c r="M38" s="103">
        <v>1912365</v>
      </c>
      <c r="N38" s="95">
        <v>278607</v>
      </c>
      <c r="O38" s="85">
        <f t="shared" si="5"/>
        <v>6.864023516997061</v>
      </c>
    </row>
    <row r="39" spans="1:15" s="18" customFormat="1" ht="15" customHeight="1">
      <c r="A39" s="69">
        <v>35</v>
      </c>
      <c r="B39" s="77"/>
      <c r="C39" s="100" t="s">
        <v>141</v>
      </c>
      <c r="D39" s="140">
        <v>38758</v>
      </c>
      <c r="E39" s="101" t="s">
        <v>155</v>
      </c>
      <c r="F39" s="80">
        <v>4</v>
      </c>
      <c r="G39" s="102">
        <v>4</v>
      </c>
      <c r="H39" s="102">
        <v>5</v>
      </c>
      <c r="I39" s="88">
        <v>2943</v>
      </c>
      <c r="J39" s="89">
        <v>430</v>
      </c>
      <c r="K39" s="83">
        <f t="shared" si="3"/>
        <v>107.5</v>
      </c>
      <c r="L39" s="84">
        <f t="shared" si="4"/>
        <v>6.844186046511628</v>
      </c>
      <c r="M39" s="88">
        <f>12456+7990+4147+1031+2942.5</f>
        <v>28566.5</v>
      </c>
      <c r="N39" s="89">
        <f>1552+1090+669+166+430</f>
        <v>3907</v>
      </c>
      <c r="O39" s="85">
        <f t="shared" si="5"/>
        <v>7.311620168927566</v>
      </c>
    </row>
    <row r="40" spans="1:15" s="18" customFormat="1" ht="15" customHeight="1">
      <c r="A40" s="69">
        <v>36</v>
      </c>
      <c r="B40" s="77"/>
      <c r="C40" s="90" t="s">
        <v>56</v>
      </c>
      <c r="D40" s="141">
        <v>38730</v>
      </c>
      <c r="E40" s="109" t="s">
        <v>57</v>
      </c>
      <c r="F40" s="86">
        <v>2</v>
      </c>
      <c r="G40" s="86">
        <v>2</v>
      </c>
      <c r="H40" s="86">
        <v>9</v>
      </c>
      <c r="I40" s="91">
        <v>2707.5</v>
      </c>
      <c r="J40" s="92">
        <v>545</v>
      </c>
      <c r="K40" s="83">
        <f t="shared" si="3"/>
        <v>272.5</v>
      </c>
      <c r="L40" s="84">
        <f t="shared" si="4"/>
        <v>4.967889908256881</v>
      </c>
      <c r="M40" s="91">
        <f>620634.5+342052.5+188118+10733+4394+3499+5130.5+267+2707.5</f>
        <v>1177536</v>
      </c>
      <c r="N40" s="92">
        <f>71532+39787+22209+1403+667+665+1174+78+545</f>
        <v>138060</v>
      </c>
      <c r="O40" s="85">
        <f t="shared" si="5"/>
        <v>8.52916123424598</v>
      </c>
    </row>
    <row r="41" spans="1:15" s="18" customFormat="1" ht="15" customHeight="1">
      <c r="A41" s="69">
        <v>37</v>
      </c>
      <c r="B41" s="77"/>
      <c r="C41" s="78" t="s">
        <v>104</v>
      </c>
      <c r="D41" s="140">
        <v>38723</v>
      </c>
      <c r="E41" s="79" t="s">
        <v>6</v>
      </c>
      <c r="F41" s="86">
        <v>280</v>
      </c>
      <c r="G41" s="87">
        <v>3</v>
      </c>
      <c r="H41" s="87">
        <v>10</v>
      </c>
      <c r="I41" s="88">
        <v>2593</v>
      </c>
      <c r="J41" s="89">
        <v>608</v>
      </c>
      <c r="K41" s="83">
        <f t="shared" si="3"/>
        <v>202.66666666666666</v>
      </c>
      <c r="L41" s="84">
        <f t="shared" si="4"/>
        <v>4.264802631578948</v>
      </c>
      <c r="M41" s="88">
        <f>5592380+3880622.5+1673082.62+1119075.5+434517.5+130151.5+6347.5+744.5+27+2593</f>
        <v>12839541.620000001</v>
      </c>
      <c r="N41" s="89">
        <f>871283+621889+270076+179456+67736+23058+1452+132+6+608</f>
        <v>2035696</v>
      </c>
      <c r="O41" s="85">
        <f t="shared" si="5"/>
        <v>6.30719990607635</v>
      </c>
    </row>
    <row r="42" spans="1:15" s="18" customFormat="1" ht="15" customHeight="1">
      <c r="A42" s="69">
        <v>38</v>
      </c>
      <c r="B42" s="77"/>
      <c r="C42" s="104" t="s">
        <v>66</v>
      </c>
      <c r="D42" s="144">
        <v>38520</v>
      </c>
      <c r="E42" s="122" t="s">
        <v>12</v>
      </c>
      <c r="F42" s="86">
        <v>55</v>
      </c>
      <c r="G42" s="106">
        <v>1</v>
      </c>
      <c r="H42" s="106">
        <v>17</v>
      </c>
      <c r="I42" s="107">
        <v>2376</v>
      </c>
      <c r="J42" s="108">
        <v>1188</v>
      </c>
      <c r="K42" s="83">
        <f t="shared" si="3"/>
        <v>1188</v>
      </c>
      <c r="L42" s="84">
        <f t="shared" si="4"/>
        <v>2</v>
      </c>
      <c r="M42" s="107">
        <f>144415+86757+34526+34055+20246+11662+5140+3815+1816+1357+2512+2458+849+240+310+1007+2376</f>
        <v>353541</v>
      </c>
      <c r="N42" s="108">
        <f>21355+12012+5178+7166+4251+2967+968+1036+340+279+984+677+243+60+82+504+1188</f>
        <v>59290</v>
      </c>
      <c r="O42" s="85">
        <f t="shared" si="5"/>
        <v>5.962911114859167</v>
      </c>
    </row>
    <row r="43" spans="1:15" s="18" customFormat="1" ht="15" customHeight="1">
      <c r="A43" s="69">
        <v>39</v>
      </c>
      <c r="B43" s="77"/>
      <c r="C43" s="90" t="s">
        <v>97</v>
      </c>
      <c r="D43" s="144">
        <v>38772</v>
      </c>
      <c r="E43" s="109" t="s">
        <v>94</v>
      </c>
      <c r="F43" s="86">
        <v>1</v>
      </c>
      <c r="G43" s="86">
        <v>1</v>
      </c>
      <c r="H43" s="86">
        <v>5</v>
      </c>
      <c r="I43" s="96">
        <v>2323</v>
      </c>
      <c r="J43" s="97">
        <v>370</v>
      </c>
      <c r="K43" s="83">
        <f t="shared" si="3"/>
        <v>370</v>
      </c>
      <c r="L43" s="84">
        <f t="shared" si="4"/>
        <v>6.278378378378378</v>
      </c>
      <c r="M43" s="96">
        <v>14874</v>
      </c>
      <c r="N43" s="97">
        <v>1945</v>
      </c>
      <c r="O43" s="85">
        <f t="shared" si="5"/>
        <v>7.647300771208227</v>
      </c>
    </row>
    <row r="44" spans="1:15" s="18" customFormat="1" ht="15" customHeight="1">
      <c r="A44" s="69">
        <v>40</v>
      </c>
      <c r="B44" s="77"/>
      <c r="C44" s="100" t="s">
        <v>140</v>
      </c>
      <c r="D44" s="140">
        <v>38744</v>
      </c>
      <c r="E44" s="101" t="s">
        <v>154</v>
      </c>
      <c r="F44" s="80">
        <v>7</v>
      </c>
      <c r="G44" s="102">
        <v>3</v>
      </c>
      <c r="H44" s="102">
        <v>6</v>
      </c>
      <c r="I44" s="88">
        <v>2273</v>
      </c>
      <c r="J44" s="89">
        <v>451</v>
      </c>
      <c r="K44" s="83">
        <f t="shared" si="3"/>
        <v>150.33333333333334</v>
      </c>
      <c r="L44" s="84">
        <f t="shared" si="4"/>
        <v>5.039911308203991</v>
      </c>
      <c r="M44" s="88">
        <f>23060.5+7183+3670+700+2376+2273</f>
        <v>39262.5</v>
      </c>
      <c r="N44" s="89">
        <f>2772+1034+467+35+792+451</f>
        <v>5551</v>
      </c>
      <c r="O44" s="85">
        <f t="shared" si="5"/>
        <v>7.073049900918753</v>
      </c>
    </row>
    <row r="45" spans="1:15" s="18" customFormat="1" ht="15" customHeight="1">
      <c r="A45" s="69">
        <v>41</v>
      </c>
      <c r="B45" s="77"/>
      <c r="C45" s="90" t="s">
        <v>58</v>
      </c>
      <c r="D45" s="141">
        <v>38674</v>
      </c>
      <c r="E45" s="109" t="s">
        <v>57</v>
      </c>
      <c r="F45" s="86">
        <v>1</v>
      </c>
      <c r="G45" s="86">
        <v>1</v>
      </c>
      <c r="H45" s="86">
        <v>9</v>
      </c>
      <c r="I45" s="91">
        <v>2020</v>
      </c>
      <c r="J45" s="92">
        <v>502</v>
      </c>
      <c r="K45" s="83">
        <f t="shared" si="3"/>
        <v>502</v>
      </c>
      <c r="L45" s="84">
        <f t="shared" si="4"/>
        <v>4.0239043824701195</v>
      </c>
      <c r="M45" s="91">
        <f>5376+5780+1660+1145+1139+275+183+183+2020</f>
        <v>17761</v>
      </c>
      <c r="N45" s="92">
        <f>810+893+178+166+140+32+21+21+502</f>
        <v>2763</v>
      </c>
      <c r="O45" s="85">
        <f t="shared" si="5"/>
        <v>6.428157799493304</v>
      </c>
    </row>
    <row r="46" spans="1:15" s="18" customFormat="1" ht="15" customHeight="1">
      <c r="A46" s="69">
        <v>42</v>
      </c>
      <c r="B46" s="77"/>
      <c r="C46" s="78" t="s">
        <v>133</v>
      </c>
      <c r="D46" s="143">
        <v>38737</v>
      </c>
      <c r="E46" s="79" t="s">
        <v>149</v>
      </c>
      <c r="F46" s="80">
        <v>28</v>
      </c>
      <c r="G46" s="93">
        <v>1</v>
      </c>
      <c r="H46" s="93">
        <v>8</v>
      </c>
      <c r="I46" s="94">
        <v>1750</v>
      </c>
      <c r="J46" s="95">
        <v>525</v>
      </c>
      <c r="K46" s="83">
        <f t="shared" si="3"/>
        <v>525</v>
      </c>
      <c r="L46" s="84">
        <f t="shared" si="4"/>
        <v>3.3333333333333335</v>
      </c>
      <c r="M46" s="94">
        <v>244303</v>
      </c>
      <c r="N46" s="95">
        <v>29852</v>
      </c>
      <c r="O46" s="85">
        <f t="shared" si="5"/>
        <v>8.183806780115235</v>
      </c>
    </row>
    <row r="47" spans="1:15" s="18" customFormat="1" ht="15" customHeight="1">
      <c r="A47" s="69">
        <v>43</v>
      </c>
      <c r="B47" s="77"/>
      <c r="C47" s="90" t="s">
        <v>59</v>
      </c>
      <c r="D47" s="141">
        <v>38688</v>
      </c>
      <c r="E47" s="109" t="s">
        <v>48</v>
      </c>
      <c r="F47" s="86">
        <v>1</v>
      </c>
      <c r="G47" s="86">
        <v>1</v>
      </c>
      <c r="H47" s="86">
        <v>13</v>
      </c>
      <c r="I47" s="91">
        <v>1732</v>
      </c>
      <c r="J47" s="92">
        <v>251</v>
      </c>
      <c r="K47" s="83">
        <f t="shared" si="3"/>
        <v>251</v>
      </c>
      <c r="L47" s="84">
        <f t="shared" si="4"/>
        <v>6.900398406374502</v>
      </c>
      <c r="M47" s="91">
        <f>727628.5+502907+313031-90+73433.5+264+90561.5+8172.5-95+7743+5385+5051+781+4413+1284+1732</f>
        <v>1742202</v>
      </c>
      <c r="N47" s="92">
        <f>102522+72530+44629-3+14478+18414+1884-28+2207+1109+676+94+516+138+251</f>
        <v>259417</v>
      </c>
      <c r="O47" s="85">
        <f t="shared" si="5"/>
        <v>6.715835893561332</v>
      </c>
    </row>
    <row r="48" spans="1:15" s="18" customFormat="1" ht="15" customHeight="1">
      <c r="A48" s="69">
        <v>44</v>
      </c>
      <c r="B48" s="77"/>
      <c r="C48" s="90" t="s">
        <v>60</v>
      </c>
      <c r="D48" s="141">
        <v>38548</v>
      </c>
      <c r="E48" s="109" t="s">
        <v>61</v>
      </c>
      <c r="F48" s="86">
        <v>1</v>
      </c>
      <c r="G48" s="86">
        <v>1</v>
      </c>
      <c r="H48" s="86">
        <v>16</v>
      </c>
      <c r="I48" s="91">
        <v>1425</v>
      </c>
      <c r="J48" s="92">
        <v>363</v>
      </c>
      <c r="K48" s="83">
        <f t="shared" si="3"/>
        <v>363</v>
      </c>
      <c r="L48" s="84">
        <f t="shared" si="4"/>
        <v>3.925619834710744</v>
      </c>
      <c r="M48" s="91">
        <f>332075+188023.5-2+143161+121106.5+91937.5-34+56069+33205+14312+6611+58.5+118.5+1152.5+336.5+1782+832+1425</f>
        <v>992169.5</v>
      </c>
      <c r="N48" s="92">
        <f>43514+24394+10+18688+16371+14194+9945+6554+2879+1218+13+36+358+100+509+295+363</f>
        <v>139441</v>
      </c>
      <c r="O48" s="85">
        <f t="shared" si="5"/>
        <v>7.1153355182478615</v>
      </c>
    </row>
    <row r="49" spans="1:15" s="18" customFormat="1" ht="15" customHeight="1">
      <c r="A49" s="69">
        <v>45</v>
      </c>
      <c r="B49" s="77"/>
      <c r="C49" s="90" t="s">
        <v>67</v>
      </c>
      <c r="D49" s="141">
        <v>38667</v>
      </c>
      <c r="E49" s="109" t="s">
        <v>68</v>
      </c>
      <c r="F49" s="86">
        <v>1</v>
      </c>
      <c r="G49" s="86">
        <v>1</v>
      </c>
      <c r="H49" s="86">
        <v>10</v>
      </c>
      <c r="I49" s="91">
        <v>1425</v>
      </c>
      <c r="J49" s="92">
        <v>363</v>
      </c>
      <c r="K49" s="83">
        <f t="shared" si="3"/>
        <v>363</v>
      </c>
      <c r="L49" s="84">
        <f t="shared" si="4"/>
        <v>3.925619834710744</v>
      </c>
      <c r="M49" s="91">
        <f>828966.5+670135+430453.5+252524+172010+102242.5+19433.5-1641+9995.5+1245+1425</f>
        <v>2486789.5</v>
      </c>
      <c r="N49" s="92">
        <f>115867+95362-1+63392+42671+33929+21004+4863-421+2356-1+644+363</f>
        <v>380028</v>
      </c>
      <c r="O49" s="85">
        <f t="shared" si="5"/>
        <v>6.543700727314829</v>
      </c>
    </row>
    <row r="50" spans="1:15" s="18" customFormat="1" ht="15" customHeight="1">
      <c r="A50" s="69">
        <v>46</v>
      </c>
      <c r="B50" s="77"/>
      <c r="C50" s="100" t="s">
        <v>139</v>
      </c>
      <c r="D50" s="140">
        <v>37932</v>
      </c>
      <c r="E50" s="101" t="s">
        <v>153</v>
      </c>
      <c r="F50" s="80">
        <v>3</v>
      </c>
      <c r="G50" s="102">
        <v>1</v>
      </c>
      <c r="H50" s="102">
        <v>29</v>
      </c>
      <c r="I50" s="88">
        <v>1425</v>
      </c>
      <c r="J50" s="89">
        <v>475</v>
      </c>
      <c r="K50" s="83">
        <f t="shared" si="3"/>
        <v>475</v>
      </c>
      <c r="L50" s="84">
        <f t="shared" si="4"/>
        <v>3</v>
      </c>
      <c r="M50" s="88">
        <f>22827.5+1185+951+1425</f>
        <v>26388.5</v>
      </c>
      <c r="N50" s="89">
        <f>4784+395+317+475</f>
        <v>5971</v>
      </c>
      <c r="O50" s="85">
        <f t="shared" si="5"/>
        <v>4.419443979232959</v>
      </c>
    </row>
    <row r="51" spans="1:15" s="18" customFormat="1" ht="15" customHeight="1">
      <c r="A51" s="69">
        <v>47</v>
      </c>
      <c r="B51" s="77"/>
      <c r="C51" s="90" t="s">
        <v>69</v>
      </c>
      <c r="D51" s="141">
        <v>38653</v>
      </c>
      <c r="E51" s="109" t="s">
        <v>48</v>
      </c>
      <c r="F51" s="86">
        <v>1</v>
      </c>
      <c r="G51" s="86">
        <v>1</v>
      </c>
      <c r="H51" s="86">
        <v>11</v>
      </c>
      <c r="I51" s="91">
        <v>1313.5</v>
      </c>
      <c r="J51" s="92">
        <v>252</v>
      </c>
      <c r="K51" s="83">
        <f t="shared" si="3"/>
        <v>252</v>
      </c>
      <c r="L51" s="84">
        <f t="shared" si="4"/>
        <v>5.212301587301587</v>
      </c>
      <c r="M51" s="91">
        <f>622654.88+444602.36+144035.44+794+21466.5-2+25309.5+7948.5+50+9879.5+13716.32+392+1696+3870+1313.5</f>
        <v>1297726.5</v>
      </c>
      <c r="N51" s="92">
        <f>74569+57580+18781+29+4460-5+5934+1788+11+2730+3093+63+1696+252</f>
        <v>170981</v>
      </c>
      <c r="O51" s="85">
        <f t="shared" si="5"/>
        <v>7.58988718044695</v>
      </c>
    </row>
    <row r="52" spans="1:15" s="18" customFormat="1" ht="15" customHeight="1">
      <c r="A52" s="69">
        <v>48</v>
      </c>
      <c r="B52" s="77"/>
      <c r="C52" s="90" t="s">
        <v>24</v>
      </c>
      <c r="D52" s="145" t="s">
        <v>83</v>
      </c>
      <c r="E52" s="123" t="s">
        <v>93</v>
      </c>
      <c r="F52" s="110">
        <v>30</v>
      </c>
      <c r="G52" s="110">
        <v>1</v>
      </c>
      <c r="H52" s="110">
        <v>9</v>
      </c>
      <c r="I52" s="111">
        <v>1187</v>
      </c>
      <c r="J52" s="97">
        <v>396</v>
      </c>
      <c r="K52" s="83">
        <f t="shared" si="3"/>
        <v>396</v>
      </c>
      <c r="L52" s="84">
        <f t="shared" si="4"/>
        <v>2.9974747474747474</v>
      </c>
      <c r="M52" s="96">
        <v>165121</v>
      </c>
      <c r="N52" s="97">
        <v>20399</v>
      </c>
      <c r="O52" s="85">
        <f t="shared" si="5"/>
        <v>8.094563458993088</v>
      </c>
    </row>
    <row r="53" spans="1:15" s="18" customFormat="1" ht="15" customHeight="1">
      <c r="A53" s="69">
        <v>49</v>
      </c>
      <c r="B53" s="77"/>
      <c r="C53" s="78" t="s">
        <v>96</v>
      </c>
      <c r="D53" s="140">
        <v>38751</v>
      </c>
      <c r="E53" s="79" t="s">
        <v>9</v>
      </c>
      <c r="F53" s="86">
        <v>25</v>
      </c>
      <c r="G53" s="87">
        <v>4</v>
      </c>
      <c r="H53" s="87">
        <v>6</v>
      </c>
      <c r="I53" s="88">
        <v>1021</v>
      </c>
      <c r="J53" s="89">
        <v>163</v>
      </c>
      <c r="K53" s="83">
        <f t="shared" si="3"/>
        <v>40.75</v>
      </c>
      <c r="L53" s="84">
        <f t="shared" si="4"/>
        <v>6.263803680981595</v>
      </c>
      <c r="M53" s="88">
        <f>146501+85325+27589+9250+4131+1021</f>
        <v>273817</v>
      </c>
      <c r="N53" s="89">
        <f>15312+9126+3021+1298+698+163</f>
        <v>29618</v>
      </c>
      <c r="O53" s="85">
        <f t="shared" si="5"/>
        <v>9.244952393814572</v>
      </c>
    </row>
    <row r="54" spans="1:15" s="18" customFormat="1" ht="15" customHeight="1">
      <c r="A54" s="69">
        <v>50</v>
      </c>
      <c r="B54" s="77"/>
      <c r="C54" s="100" t="s">
        <v>142</v>
      </c>
      <c r="D54" s="140">
        <v>38716</v>
      </c>
      <c r="E54" s="101" t="s">
        <v>157</v>
      </c>
      <c r="F54" s="80">
        <v>9</v>
      </c>
      <c r="G54" s="102">
        <v>2</v>
      </c>
      <c r="H54" s="102">
        <v>11</v>
      </c>
      <c r="I54" s="88">
        <v>974</v>
      </c>
      <c r="J54" s="89">
        <v>162</v>
      </c>
      <c r="K54" s="83">
        <f t="shared" si="3"/>
        <v>81</v>
      </c>
      <c r="L54" s="84">
        <f t="shared" si="4"/>
        <v>6.012345679012346</v>
      </c>
      <c r="M54" s="88">
        <f>41335+22428+10569.5+2994.5+6995.5+477+1541+1030+1308+1168.5+974</f>
        <v>90821</v>
      </c>
      <c r="N54" s="89">
        <f>5101+2761+1545+448+1608+159+304+206+436+246+162</f>
        <v>12976</v>
      </c>
      <c r="O54" s="85">
        <f t="shared" si="5"/>
        <v>6.999152281134402</v>
      </c>
    </row>
    <row r="55" spans="1:15" s="18" customFormat="1" ht="15" customHeight="1">
      <c r="A55" s="69">
        <v>51</v>
      </c>
      <c r="B55" s="77"/>
      <c r="C55" s="104" t="s">
        <v>161</v>
      </c>
      <c r="D55" s="140">
        <v>38639</v>
      </c>
      <c r="E55" s="79" t="s">
        <v>162</v>
      </c>
      <c r="F55" s="80">
        <v>13</v>
      </c>
      <c r="G55" s="80">
        <v>1</v>
      </c>
      <c r="H55" s="80">
        <v>14</v>
      </c>
      <c r="I55" s="105">
        <v>948</v>
      </c>
      <c r="J55" s="89">
        <v>316</v>
      </c>
      <c r="K55" s="83">
        <f t="shared" si="3"/>
        <v>316</v>
      </c>
      <c r="L55" s="84">
        <f t="shared" si="4"/>
        <v>3</v>
      </c>
      <c r="M55" s="88">
        <v>206043</v>
      </c>
      <c r="N55" s="89">
        <v>27617</v>
      </c>
      <c r="O55" s="85">
        <f t="shared" si="5"/>
        <v>7.460730709345693</v>
      </c>
    </row>
    <row r="56" spans="1:15" s="18" customFormat="1" ht="15" customHeight="1">
      <c r="A56" s="69">
        <v>52</v>
      </c>
      <c r="B56" s="77"/>
      <c r="C56" s="90" t="s">
        <v>70</v>
      </c>
      <c r="D56" s="141">
        <v>38471</v>
      </c>
      <c r="E56" s="109" t="s">
        <v>71</v>
      </c>
      <c r="F56" s="86">
        <v>1</v>
      </c>
      <c r="G56" s="86">
        <v>1</v>
      </c>
      <c r="H56" s="86">
        <v>22</v>
      </c>
      <c r="I56" s="91">
        <v>831</v>
      </c>
      <c r="J56" s="92">
        <v>231</v>
      </c>
      <c r="K56" s="83">
        <f t="shared" si="3"/>
        <v>231</v>
      </c>
      <c r="L56" s="84">
        <f t="shared" si="4"/>
        <v>3.5974025974025974</v>
      </c>
      <c r="M56" s="91">
        <f>269533+98792+311.5+72414.5+84+42983.5+359.5+41974.5+28601+21078+18681+14306+4343+1929.5+910+2991+4354+1456+647+599+2757+503+333+576+831</f>
        <v>631348</v>
      </c>
      <c r="N56" s="92">
        <f>32073+11653+26+8775+12+7072+29+7639+6010+4660+4622+3391+1035+317+142+628+837+251+104+98+514+84+56+96+231</f>
        <v>90355</v>
      </c>
      <c r="O56" s="85">
        <f t="shared" si="5"/>
        <v>6.9874163023629015</v>
      </c>
    </row>
    <row r="57" spans="1:15" s="18" customFormat="1" ht="15" customHeight="1">
      <c r="A57" s="69">
        <v>53</v>
      </c>
      <c r="B57" s="77"/>
      <c r="C57" s="90" t="s">
        <v>72</v>
      </c>
      <c r="D57" s="141">
        <v>38716</v>
      </c>
      <c r="E57" s="109" t="s">
        <v>48</v>
      </c>
      <c r="F57" s="86">
        <v>2</v>
      </c>
      <c r="G57" s="86">
        <v>2</v>
      </c>
      <c r="H57" s="86">
        <v>10</v>
      </c>
      <c r="I57" s="91">
        <v>729</v>
      </c>
      <c r="J57" s="92">
        <v>187</v>
      </c>
      <c r="K57" s="83">
        <f t="shared" si="3"/>
        <v>93.5</v>
      </c>
      <c r="L57" s="84">
        <f t="shared" si="4"/>
        <v>3.8983957219251337</v>
      </c>
      <c r="M57" s="91">
        <f>237624-892+202690+104326.5+18985.5+18621+626+216+205+839-39+729</f>
        <v>583931</v>
      </c>
      <c r="N57" s="92">
        <f>33884+27467+15332+2886+3302+84+27+67+201-13+187</f>
        <v>83424</v>
      </c>
      <c r="O57" s="85">
        <f t="shared" si="5"/>
        <v>6.999556482546989</v>
      </c>
    </row>
    <row r="58" spans="1:15" s="18" customFormat="1" ht="15" customHeight="1">
      <c r="A58" s="69">
        <v>54</v>
      </c>
      <c r="B58" s="77"/>
      <c r="C58" s="104" t="s">
        <v>26</v>
      </c>
      <c r="D58" s="140">
        <v>38296</v>
      </c>
      <c r="E58" s="79" t="s">
        <v>162</v>
      </c>
      <c r="F58" s="80">
        <v>20</v>
      </c>
      <c r="G58" s="112">
        <v>1</v>
      </c>
      <c r="H58" s="112">
        <v>34</v>
      </c>
      <c r="I58" s="113">
        <v>594</v>
      </c>
      <c r="J58" s="108">
        <v>198</v>
      </c>
      <c r="K58" s="83">
        <f t="shared" si="3"/>
        <v>198</v>
      </c>
      <c r="L58" s="84">
        <f t="shared" si="4"/>
        <v>3</v>
      </c>
      <c r="M58" s="107">
        <v>325352</v>
      </c>
      <c r="N58" s="108">
        <v>48611</v>
      </c>
      <c r="O58" s="85">
        <f t="shared" si="5"/>
        <v>6.692970726790232</v>
      </c>
    </row>
    <row r="59" spans="1:15" s="18" customFormat="1" ht="15" customHeight="1">
      <c r="A59" s="69">
        <v>55</v>
      </c>
      <c r="B59" s="77"/>
      <c r="C59" s="98" t="s">
        <v>3</v>
      </c>
      <c r="D59" s="140">
        <v>38688</v>
      </c>
      <c r="E59" s="121" t="s">
        <v>15</v>
      </c>
      <c r="F59" s="86">
        <v>25</v>
      </c>
      <c r="G59" s="99">
        <v>1</v>
      </c>
      <c r="H59" s="99">
        <v>7</v>
      </c>
      <c r="I59" s="81">
        <v>508</v>
      </c>
      <c r="J59" s="82">
        <v>94</v>
      </c>
      <c r="K59" s="83">
        <f t="shared" si="3"/>
        <v>94</v>
      </c>
      <c r="L59" s="84">
        <f t="shared" si="4"/>
        <v>5.404255319148936</v>
      </c>
      <c r="M59" s="81">
        <v>108807.5</v>
      </c>
      <c r="N59" s="82">
        <v>15726</v>
      </c>
      <c r="O59" s="85">
        <f t="shared" si="5"/>
        <v>6.918955869261096</v>
      </c>
    </row>
    <row r="60" spans="1:15" s="18" customFormat="1" ht="15" customHeight="1">
      <c r="A60" s="69">
        <v>56</v>
      </c>
      <c r="B60" s="77"/>
      <c r="C60" s="98" t="s">
        <v>2</v>
      </c>
      <c r="D60" s="140">
        <v>38702</v>
      </c>
      <c r="E60" s="121" t="s">
        <v>14</v>
      </c>
      <c r="F60" s="86">
        <v>10</v>
      </c>
      <c r="G60" s="99">
        <v>1</v>
      </c>
      <c r="H60" s="99">
        <v>10</v>
      </c>
      <c r="I60" s="81">
        <v>326</v>
      </c>
      <c r="J60" s="82">
        <v>51</v>
      </c>
      <c r="K60" s="83">
        <f t="shared" si="3"/>
        <v>51</v>
      </c>
      <c r="L60" s="84">
        <f t="shared" si="4"/>
        <v>6.392156862745098</v>
      </c>
      <c r="M60" s="81">
        <v>133625.5</v>
      </c>
      <c r="N60" s="82">
        <v>15405</v>
      </c>
      <c r="O60" s="85">
        <f t="shared" si="5"/>
        <v>8.67416423239208</v>
      </c>
    </row>
    <row r="61" spans="1:15" s="18" customFormat="1" ht="15" customHeight="1">
      <c r="A61" s="69">
        <v>57</v>
      </c>
      <c r="B61" s="77"/>
      <c r="C61" s="90" t="s">
        <v>73</v>
      </c>
      <c r="D61" s="141">
        <v>38681</v>
      </c>
      <c r="E61" s="109" t="s">
        <v>74</v>
      </c>
      <c r="F61" s="86">
        <v>1</v>
      </c>
      <c r="G61" s="86">
        <v>1</v>
      </c>
      <c r="H61" s="86">
        <v>14</v>
      </c>
      <c r="I61" s="91">
        <v>294</v>
      </c>
      <c r="J61" s="92">
        <v>43</v>
      </c>
      <c r="K61" s="83">
        <f t="shared" si="3"/>
        <v>43</v>
      </c>
      <c r="L61" s="84">
        <f t="shared" si="4"/>
        <v>6.837209302325581</v>
      </c>
      <c r="M61" s="91">
        <f>173413.5+117113+58051+284+21625.5+7+9026.5+9545.5+1613+685+3603.5+2569.5+982+256+299+294</f>
        <v>399368</v>
      </c>
      <c r="N61" s="92">
        <f>19285+13533+7029+30+3683+1605+1538+267+125+830+548+197+36+44+43</f>
        <v>48793</v>
      </c>
      <c r="O61" s="85">
        <f t="shared" si="5"/>
        <v>8.184944561719918</v>
      </c>
    </row>
    <row r="62" spans="1:15" s="18" customFormat="1" ht="15" customHeight="1">
      <c r="A62" s="69">
        <v>58</v>
      </c>
      <c r="B62" s="77"/>
      <c r="C62" s="90" t="s">
        <v>75</v>
      </c>
      <c r="D62" s="141">
        <v>38674</v>
      </c>
      <c r="E62" s="109" t="s">
        <v>57</v>
      </c>
      <c r="F62" s="86">
        <v>1</v>
      </c>
      <c r="G62" s="86">
        <v>1</v>
      </c>
      <c r="H62" s="86">
        <v>12</v>
      </c>
      <c r="I62" s="91">
        <v>258</v>
      </c>
      <c r="J62" s="92">
        <v>208</v>
      </c>
      <c r="K62" s="83">
        <f t="shared" si="3"/>
        <v>208</v>
      </c>
      <c r="L62" s="84">
        <f t="shared" si="4"/>
        <v>1.2403846153846154</v>
      </c>
      <c r="M62" s="91">
        <f>2382676.5+1266268+995.5+729332+22+353600+197324.5+15+73857.5+25+24361+10643+997+6976-363.5+2817+993+258</f>
        <v>5050797.5</v>
      </c>
      <c r="N62" s="92">
        <f>338589+185300+82+107528+57791+41333+1+19077+3+5321+2504+211+1837+779+171+208</f>
        <v>760735</v>
      </c>
      <c r="O62" s="85">
        <f t="shared" si="5"/>
        <v>6.639365219163047</v>
      </c>
    </row>
    <row r="63" spans="1:15" s="18" customFormat="1" ht="15" customHeight="1">
      <c r="A63" s="69">
        <v>59</v>
      </c>
      <c r="B63" s="77"/>
      <c r="C63" s="100" t="s">
        <v>143</v>
      </c>
      <c r="D63" s="140">
        <v>38562</v>
      </c>
      <c r="E63" s="101" t="s">
        <v>156</v>
      </c>
      <c r="F63" s="80">
        <v>17</v>
      </c>
      <c r="G63" s="102">
        <v>1</v>
      </c>
      <c r="H63" s="102">
        <v>16</v>
      </c>
      <c r="I63" s="88">
        <v>196</v>
      </c>
      <c r="J63" s="89">
        <v>60</v>
      </c>
      <c r="K63" s="83">
        <f t="shared" si="3"/>
        <v>60</v>
      </c>
      <c r="L63" s="84">
        <f t="shared" si="4"/>
        <v>3.2666666666666666</v>
      </c>
      <c r="M63" s="88">
        <f>46886+23773.5+13445+15927.5+10251.5+6843+2778+954+709+1175+367+167.5+1068+267+69+196</f>
        <v>124877</v>
      </c>
      <c r="N63" s="89">
        <f>5784+3021+2132+2749+1971+1476+548+235+132+276+72+47+356+89+23+60</f>
        <v>18971</v>
      </c>
      <c r="O63" s="85">
        <f t="shared" si="5"/>
        <v>6.582520689473407</v>
      </c>
    </row>
    <row r="64" spans="1:15" s="18" customFormat="1" ht="15" customHeight="1">
      <c r="A64" s="69">
        <v>60</v>
      </c>
      <c r="B64" s="77"/>
      <c r="C64" s="78" t="s">
        <v>135</v>
      </c>
      <c r="D64" s="143">
        <v>38653</v>
      </c>
      <c r="E64" s="79" t="s">
        <v>148</v>
      </c>
      <c r="F64" s="80">
        <v>95</v>
      </c>
      <c r="G64" s="93">
        <v>1</v>
      </c>
      <c r="H64" s="93">
        <v>20</v>
      </c>
      <c r="I64" s="103">
        <v>84</v>
      </c>
      <c r="J64" s="95">
        <v>14</v>
      </c>
      <c r="K64" s="83">
        <f t="shared" si="3"/>
        <v>14</v>
      </c>
      <c r="L64" s="84">
        <f t="shared" si="4"/>
        <v>6</v>
      </c>
      <c r="M64" s="103">
        <v>1038322</v>
      </c>
      <c r="N64" s="95">
        <v>151142</v>
      </c>
      <c r="O64" s="85">
        <f t="shared" si="5"/>
        <v>6.869844252424872</v>
      </c>
    </row>
    <row r="65" spans="1:15" s="18" customFormat="1" ht="15" customHeight="1">
      <c r="A65" s="69">
        <v>61</v>
      </c>
      <c r="B65" s="77"/>
      <c r="C65" s="78" t="s">
        <v>136</v>
      </c>
      <c r="D65" s="143">
        <v>38499</v>
      </c>
      <c r="E65" s="79" t="s">
        <v>150</v>
      </c>
      <c r="F65" s="80">
        <v>110</v>
      </c>
      <c r="G65" s="93">
        <v>1</v>
      </c>
      <c r="H65" s="93">
        <v>41</v>
      </c>
      <c r="I65" s="103">
        <v>60</v>
      </c>
      <c r="J65" s="95">
        <v>10</v>
      </c>
      <c r="K65" s="83">
        <f t="shared" si="3"/>
        <v>10</v>
      </c>
      <c r="L65" s="84">
        <f t="shared" si="4"/>
        <v>6</v>
      </c>
      <c r="M65" s="103">
        <v>1514535</v>
      </c>
      <c r="N65" s="95">
        <v>235739</v>
      </c>
      <c r="O65" s="85">
        <f t="shared" si="5"/>
        <v>6.424626387657536</v>
      </c>
    </row>
    <row r="66" spans="1:15" s="18" customFormat="1" ht="15" customHeight="1">
      <c r="A66" s="69"/>
      <c r="B66" s="77"/>
      <c r="C66" s="124"/>
      <c r="D66" s="146"/>
      <c r="E66" s="125"/>
      <c r="F66" s="60"/>
      <c r="G66" s="60"/>
      <c r="H66" s="60"/>
      <c r="I66" s="61"/>
      <c r="J66" s="126"/>
      <c r="K66" s="62"/>
      <c r="L66" s="127"/>
      <c r="M66" s="128"/>
      <c r="N66" s="126"/>
      <c r="O66" s="129"/>
    </row>
    <row r="67" spans="1:15" s="18" customFormat="1" ht="15" customHeight="1" thickBot="1">
      <c r="A67" s="69"/>
      <c r="B67" s="77"/>
      <c r="C67" s="114"/>
      <c r="D67" s="147"/>
      <c r="E67" s="130"/>
      <c r="F67" s="116"/>
      <c r="G67" s="115">
        <f>SUM(G5:G66)</f>
        <v>1407</v>
      </c>
      <c r="H67" s="116"/>
      <c r="I67" s="117">
        <f>SUM(I5:I66)</f>
        <v>4222834</v>
      </c>
      <c r="J67" s="133">
        <f>SUM(J5:J66)</f>
        <v>643709</v>
      </c>
      <c r="K67" s="118">
        <f>J67/G67</f>
        <v>457.5046197583511</v>
      </c>
      <c r="L67" s="134">
        <f>I67/J67</f>
        <v>6.56015994805106</v>
      </c>
      <c r="M67" s="117"/>
      <c r="N67" s="118"/>
      <c r="O67" s="119"/>
    </row>
    <row r="68" spans="1:15" s="18" customFormat="1" ht="15" customHeight="1" thickBot="1">
      <c r="A68" s="23"/>
      <c r="B68" s="17"/>
      <c r="D68" s="148"/>
      <c r="F68" s="19"/>
      <c r="G68" s="19"/>
      <c r="H68" s="19"/>
      <c r="I68" s="54"/>
      <c r="J68" s="21"/>
      <c r="K68" s="51"/>
      <c r="L68" s="22"/>
      <c r="M68" s="20"/>
      <c r="N68" s="21"/>
      <c r="O68" s="22"/>
    </row>
    <row r="69" spans="1:14" s="18" customFormat="1" ht="15" customHeight="1">
      <c r="A69" s="23"/>
      <c r="B69" s="17"/>
      <c r="C69" s="235" t="s">
        <v>115</v>
      </c>
      <c r="D69" s="236"/>
      <c r="E69" s="229" t="s">
        <v>30</v>
      </c>
      <c r="F69" s="230"/>
      <c r="G69" s="231"/>
      <c r="H69" s="19"/>
      <c r="I69" s="54"/>
      <c r="J69" s="21"/>
      <c r="K69" s="51"/>
      <c r="M69" s="20"/>
      <c r="N69" s="21"/>
    </row>
    <row r="70" spans="1:14" s="18" customFormat="1" ht="15" customHeight="1" thickBot="1">
      <c r="A70" s="23"/>
      <c r="B70" s="17"/>
      <c r="C70" s="237"/>
      <c r="D70" s="238"/>
      <c r="E70" s="39" t="s">
        <v>23</v>
      </c>
      <c r="F70" s="41" t="s">
        <v>31</v>
      </c>
      <c r="G70" s="42" t="s">
        <v>32</v>
      </c>
      <c r="H70" s="19"/>
      <c r="I70" s="54"/>
      <c r="J70" s="21"/>
      <c r="K70" s="51"/>
      <c r="M70" s="20"/>
      <c r="N70" s="21"/>
    </row>
    <row r="71" spans="1:14" s="18" customFormat="1" ht="15" customHeight="1">
      <c r="A71" s="23"/>
      <c r="B71" s="17"/>
      <c r="C71" s="40" t="s">
        <v>109</v>
      </c>
      <c r="D71" s="135">
        <v>6</v>
      </c>
      <c r="E71" s="47" t="s">
        <v>34</v>
      </c>
      <c r="F71" s="36">
        <v>1.3264</v>
      </c>
      <c r="G71" s="37">
        <v>1.3328</v>
      </c>
      <c r="H71" s="19"/>
      <c r="I71" s="54"/>
      <c r="J71" s="21"/>
      <c r="K71" s="51"/>
      <c r="M71" s="20"/>
      <c r="N71" s="21"/>
    </row>
    <row r="72" spans="1:14" s="18" customFormat="1" ht="15" customHeight="1">
      <c r="A72" s="23"/>
      <c r="B72" s="17"/>
      <c r="C72" s="32" t="s">
        <v>110</v>
      </c>
      <c r="D72" s="136">
        <v>157239</v>
      </c>
      <c r="E72" s="48" t="s">
        <v>35</v>
      </c>
      <c r="F72" s="26">
        <v>1.6017</v>
      </c>
      <c r="G72" s="28">
        <v>1.6094</v>
      </c>
      <c r="H72" s="19"/>
      <c r="I72" s="54"/>
      <c r="J72" s="21"/>
      <c r="K72" s="51"/>
      <c r="M72" s="20"/>
      <c r="N72" s="21"/>
    </row>
    <row r="73" spans="1:14" s="18" customFormat="1" ht="15" customHeight="1">
      <c r="A73" s="23"/>
      <c r="B73" s="17"/>
      <c r="C73" s="32" t="s">
        <v>111</v>
      </c>
      <c r="D73" s="136">
        <v>10</v>
      </c>
      <c r="E73" s="48" t="s">
        <v>36</v>
      </c>
      <c r="F73" s="26">
        <v>2.3174</v>
      </c>
      <c r="G73" s="28">
        <v>2.3295</v>
      </c>
      <c r="H73" s="19"/>
      <c r="I73" s="54"/>
      <c r="J73" s="21"/>
      <c r="K73" s="51"/>
      <c r="M73" s="20"/>
      <c r="N73" s="21"/>
    </row>
    <row r="74" spans="1:14" s="18" customFormat="1" ht="15" customHeight="1">
      <c r="A74" s="23"/>
      <c r="B74" s="17"/>
      <c r="C74" s="32" t="s">
        <v>112</v>
      </c>
      <c r="D74" s="136">
        <v>298806</v>
      </c>
      <c r="E74" s="48" t="s">
        <v>37</v>
      </c>
      <c r="F74" s="26">
        <v>1.0213</v>
      </c>
      <c r="G74" s="28">
        <v>1.0279</v>
      </c>
      <c r="H74" s="19"/>
      <c r="I74" s="54"/>
      <c r="J74" s="21"/>
      <c r="K74" s="51"/>
      <c r="M74" s="20"/>
      <c r="N74" s="21"/>
    </row>
    <row r="75" spans="1:14" s="18" customFormat="1" ht="15" customHeight="1">
      <c r="A75" s="23"/>
      <c r="B75" s="17"/>
      <c r="C75" s="32" t="s">
        <v>113</v>
      </c>
      <c r="D75" s="136">
        <v>51</v>
      </c>
      <c r="E75" s="48"/>
      <c r="F75" s="26"/>
      <c r="G75" s="28"/>
      <c r="H75" s="19"/>
      <c r="I75" s="54"/>
      <c r="J75" s="21"/>
      <c r="K75" s="51"/>
      <c r="M75" s="20"/>
      <c r="N75" s="21"/>
    </row>
    <row r="76" spans="1:14" s="18" customFormat="1" ht="15" customHeight="1" thickBot="1">
      <c r="A76" s="23"/>
      <c r="B76" s="17"/>
      <c r="C76" s="33" t="s">
        <v>114</v>
      </c>
      <c r="D76" s="137">
        <v>344903</v>
      </c>
      <c r="E76" s="49"/>
      <c r="F76" s="34"/>
      <c r="G76" s="30"/>
      <c r="H76" s="19"/>
      <c r="I76" s="54"/>
      <c r="J76" s="21"/>
      <c r="K76" s="51"/>
      <c r="M76" s="20"/>
      <c r="N76" s="21"/>
    </row>
    <row r="77" spans="1:14" s="18" customFormat="1" ht="15" customHeight="1" thickBot="1">
      <c r="A77" s="23"/>
      <c r="B77" s="17"/>
      <c r="D77" s="148"/>
      <c r="F77" s="19"/>
      <c r="G77" s="19"/>
      <c r="H77" s="19"/>
      <c r="I77" s="54"/>
      <c r="J77" s="21"/>
      <c r="K77" s="51"/>
      <c r="M77" s="20"/>
      <c r="N77" s="21"/>
    </row>
    <row r="78" spans="1:14" s="18" customFormat="1" ht="15" customHeight="1">
      <c r="A78" s="23"/>
      <c r="B78" s="17"/>
      <c r="C78" s="31" t="s">
        <v>116</v>
      </c>
      <c r="D78" s="232" t="s">
        <v>27</v>
      </c>
      <c r="E78" s="233"/>
      <c r="F78" s="233"/>
      <c r="G78" s="234"/>
      <c r="H78" s="19"/>
      <c r="I78" s="54"/>
      <c r="J78" s="21"/>
      <c r="K78" s="51"/>
      <c r="M78" s="20"/>
      <c r="N78" s="21"/>
    </row>
    <row r="79" spans="1:14" s="18" customFormat="1" ht="15" customHeight="1" thickBot="1">
      <c r="A79" s="23"/>
      <c r="B79" s="17"/>
      <c r="C79" s="38"/>
      <c r="D79" s="149" t="s">
        <v>28</v>
      </c>
      <c r="E79" s="39" t="s">
        <v>43</v>
      </c>
      <c r="F79" s="39" t="s">
        <v>29</v>
      </c>
      <c r="G79" s="30" t="s">
        <v>33</v>
      </c>
      <c r="H79" s="19"/>
      <c r="I79" s="54"/>
      <c r="J79" s="21"/>
      <c r="K79" s="51"/>
      <c r="M79" s="20"/>
      <c r="N79" s="21"/>
    </row>
    <row r="80" spans="1:14" s="18" customFormat="1" ht="15" customHeight="1">
      <c r="A80" s="23">
        <v>1</v>
      </c>
      <c r="B80" s="17"/>
      <c r="C80" s="35" t="s">
        <v>117</v>
      </c>
      <c r="D80" s="36">
        <v>17</v>
      </c>
      <c r="E80" s="58">
        <v>1155861</v>
      </c>
      <c r="F80" s="131">
        <v>205708</v>
      </c>
      <c r="G80" s="56">
        <f aca="true" t="shared" si="6" ref="G80:G89">E80/F80</f>
        <v>5.6189404398467735</v>
      </c>
      <c r="H80" s="19"/>
      <c r="I80" s="54"/>
      <c r="J80" s="21"/>
      <c r="K80" s="51"/>
      <c r="M80" s="20"/>
      <c r="N80" s="21"/>
    </row>
    <row r="81" spans="1:14" s="18" customFormat="1" ht="15" customHeight="1">
      <c r="A81" s="23">
        <v>2</v>
      </c>
      <c r="B81" s="17"/>
      <c r="C81" s="24" t="s">
        <v>120</v>
      </c>
      <c r="D81" s="26">
        <v>4</v>
      </c>
      <c r="E81" s="59">
        <v>993109</v>
      </c>
      <c r="F81" s="132">
        <v>177060</v>
      </c>
      <c r="G81" s="57">
        <f t="shared" si="6"/>
        <v>5.608883994126285</v>
      </c>
      <c r="H81" s="19"/>
      <c r="I81" s="54"/>
      <c r="J81" s="21"/>
      <c r="K81" s="51"/>
      <c r="M81" s="20"/>
      <c r="N81" s="21"/>
    </row>
    <row r="82" spans="1:14" s="18" customFormat="1" ht="15" customHeight="1">
      <c r="A82" s="23">
        <v>3</v>
      </c>
      <c r="B82" s="17"/>
      <c r="C82" s="24" t="s">
        <v>118</v>
      </c>
      <c r="D82" s="26">
        <v>10</v>
      </c>
      <c r="E82" s="59">
        <v>799961.5</v>
      </c>
      <c r="F82" s="132">
        <v>143196</v>
      </c>
      <c r="G82" s="57">
        <f t="shared" si="6"/>
        <v>5.586479370932149</v>
      </c>
      <c r="H82" s="19"/>
      <c r="I82" s="54"/>
      <c r="J82" s="21"/>
      <c r="K82" s="51"/>
      <c r="M82" s="20"/>
      <c r="N82" s="21"/>
    </row>
    <row r="83" spans="1:14" s="18" customFormat="1" ht="15" customHeight="1">
      <c r="A83" s="23">
        <v>4</v>
      </c>
      <c r="B83" s="17"/>
      <c r="C83" s="24" t="s">
        <v>119</v>
      </c>
      <c r="D83" s="26">
        <v>13</v>
      </c>
      <c r="E83" s="59">
        <v>760677</v>
      </c>
      <c r="F83" s="132">
        <v>103400</v>
      </c>
      <c r="G83" s="57">
        <f t="shared" si="6"/>
        <v>7.3566441005802705</v>
      </c>
      <c r="H83" s="19"/>
      <c r="I83" s="54"/>
      <c r="J83" s="21"/>
      <c r="K83" s="51"/>
      <c r="M83" s="20"/>
      <c r="N83" s="21"/>
    </row>
    <row r="84" spans="1:14" s="18" customFormat="1" ht="15" customHeight="1">
      <c r="A84" s="23">
        <v>5</v>
      </c>
      <c r="B84" s="17"/>
      <c r="C84" s="24" t="s">
        <v>124</v>
      </c>
      <c r="D84" s="26">
        <v>2</v>
      </c>
      <c r="E84" s="59">
        <v>31753</v>
      </c>
      <c r="F84" s="132">
        <v>3809</v>
      </c>
      <c r="G84" s="57">
        <f t="shared" si="6"/>
        <v>8.336308742452086</v>
      </c>
      <c r="H84" s="19"/>
      <c r="I84" s="54"/>
      <c r="J84" s="21"/>
      <c r="K84" s="51"/>
      <c r="M84" s="20"/>
      <c r="N84" s="21"/>
    </row>
    <row r="85" spans="1:14" s="18" customFormat="1" ht="15" customHeight="1">
      <c r="A85" s="23">
        <v>6</v>
      </c>
      <c r="B85" s="17"/>
      <c r="C85" s="24" t="s">
        <v>122</v>
      </c>
      <c r="D85" s="26">
        <v>3</v>
      </c>
      <c r="E85" s="59">
        <v>28124.5</v>
      </c>
      <c r="F85" s="132">
        <v>3460</v>
      </c>
      <c r="G85" s="57">
        <f t="shared" si="6"/>
        <v>8.128468208092485</v>
      </c>
      <c r="H85" s="19"/>
      <c r="I85" s="54"/>
      <c r="J85" s="21"/>
      <c r="K85" s="51"/>
      <c r="M85" s="20"/>
      <c r="N85" s="21"/>
    </row>
    <row r="86" spans="1:14" s="18" customFormat="1" ht="15" customHeight="1">
      <c r="A86" s="23">
        <v>7</v>
      </c>
      <c r="B86" s="17"/>
      <c r="C86" s="24" t="s">
        <v>158</v>
      </c>
      <c r="D86" s="26">
        <v>7</v>
      </c>
      <c r="E86" s="59">
        <v>24239</v>
      </c>
      <c r="F86" s="132">
        <v>3611</v>
      </c>
      <c r="G86" s="57">
        <f t="shared" si="6"/>
        <v>6.712545001384658</v>
      </c>
      <c r="H86" s="19"/>
      <c r="I86" s="54"/>
      <c r="J86" s="21"/>
      <c r="K86" s="51"/>
      <c r="M86" s="20"/>
      <c r="N86" s="21"/>
    </row>
    <row r="87" spans="1:14" s="18" customFormat="1" ht="15" customHeight="1">
      <c r="A87" s="23">
        <v>8</v>
      </c>
      <c r="B87" s="17"/>
      <c r="C87" s="24" t="s">
        <v>123</v>
      </c>
      <c r="D87" s="26">
        <v>1</v>
      </c>
      <c r="E87" s="59">
        <v>17502</v>
      </c>
      <c r="F87" s="132">
        <v>1652</v>
      </c>
      <c r="G87" s="57">
        <f t="shared" si="6"/>
        <v>10.594430992736077</v>
      </c>
      <c r="H87" s="19"/>
      <c r="I87" s="54"/>
      <c r="J87" s="21"/>
      <c r="K87" s="51"/>
      <c r="M87" s="20"/>
      <c r="N87" s="21"/>
    </row>
    <row r="88" spans="1:14" s="18" customFormat="1" ht="15" customHeight="1">
      <c r="A88" s="23">
        <v>9</v>
      </c>
      <c r="B88" s="17"/>
      <c r="C88" s="24" t="s">
        <v>121</v>
      </c>
      <c r="D88" s="26">
        <v>3</v>
      </c>
      <c r="E88" s="59">
        <v>9284</v>
      </c>
      <c r="F88" s="132">
        <v>1443</v>
      </c>
      <c r="G88" s="57">
        <f t="shared" si="6"/>
        <v>6.433818433818434</v>
      </c>
      <c r="H88" s="19"/>
      <c r="I88" s="54"/>
      <c r="J88" s="21"/>
      <c r="K88" s="51"/>
      <c r="M88" s="20"/>
      <c r="N88" s="21"/>
    </row>
    <row r="89" spans="1:14" s="18" customFormat="1" ht="15" customHeight="1">
      <c r="A89" s="23">
        <v>10</v>
      </c>
      <c r="B89" s="17"/>
      <c r="C89" s="27" t="s">
        <v>125</v>
      </c>
      <c r="D89" s="26">
        <v>1</v>
      </c>
      <c r="E89" s="59">
        <v>2323</v>
      </c>
      <c r="F89" s="132">
        <v>370</v>
      </c>
      <c r="G89" s="57">
        <f t="shared" si="6"/>
        <v>6.278378378378378</v>
      </c>
      <c r="H89" s="19"/>
      <c r="I89" s="54"/>
      <c r="J89" s="21"/>
      <c r="K89" s="51"/>
      <c r="M89" s="20"/>
      <c r="N89" s="21"/>
    </row>
    <row r="90" spans="1:14" s="18" customFormat="1" ht="15" customHeight="1" thickBot="1">
      <c r="A90" s="23"/>
      <c r="B90" s="17"/>
      <c r="C90" s="25"/>
      <c r="D90" s="150"/>
      <c r="E90" s="29"/>
      <c r="F90" s="34"/>
      <c r="G90" s="30"/>
      <c r="H90" s="19"/>
      <c r="I90" s="54"/>
      <c r="J90" s="21"/>
      <c r="K90" s="51"/>
      <c r="M90" s="20"/>
      <c r="N90" s="21"/>
    </row>
    <row r="91" spans="1:14" s="18" customFormat="1" ht="14.25" customHeight="1">
      <c r="A91" s="23"/>
      <c r="B91" s="17"/>
      <c r="D91" s="148"/>
      <c r="F91" s="19"/>
      <c r="G91" s="19"/>
      <c r="H91" s="19"/>
      <c r="I91" s="54"/>
      <c r="J91" s="21"/>
      <c r="K91" s="51"/>
      <c r="M91" s="20"/>
      <c r="N91" s="21"/>
    </row>
    <row r="92" spans="1:15" s="18" customFormat="1" ht="15" customHeight="1">
      <c r="A92" s="220" t="s">
        <v>62</v>
      </c>
      <c r="B92" s="221"/>
      <c r="C92" s="221"/>
      <c r="D92" s="221"/>
      <c r="E92" s="221"/>
      <c r="F92" s="221"/>
      <c r="G92" s="221"/>
      <c r="H92" s="221"/>
      <c r="I92" s="221"/>
      <c r="J92" s="221"/>
      <c r="K92" s="221"/>
      <c r="L92" s="221"/>
      <c r="M92" s="221"/>
      <c r="N92" s="221"/>
      <c r="O92" s="221"/>
    </row>
    <row r="93" spans="1:15" s="18" customFormat="1" ht="15" customHeight="1">
      <c r="A93" s="221"/>
      <c r="B93" s="221"/>
      <c r="C93" s="221"/>
      <c r="D93" s="221"/>
      <c r="E93" s="221"/>
      <c r="F93" s="221"/>
      <c r="G93" s="221"/>
      <c r="H93" s="221"/>
      <c r="I93" s="221"/>
      <c r="J93" s="221"/>
      <c r="K93" s="221"/>
      <c r="L93" s="221"/>
      <c r="M93" s="221"/>
      <c r="N93" s="221"/>
      <c r="O93" s="221"/>
    </row>
    <row r="94" spans="1:15" s="18" customFormat="1" ht="15" customHeight="1">
      <c r="A94" s="221"/>
      <c r="B94" s="221"/>
      <c r="C94" s="221"/>
      <c r="D94" s="221"/>
      <c r="E94" s="221"/>
      <c r="F94" s="221"/>
      <c r="G94" s="221"/>
      <c r="H94" s="221"/>
      <c r="I94" s="221"/>
      <c r="J94" s="221"/>
      <c r="K94" s="221"/>
      <c r="L94" s="221"/>
      <c r="M94" s="221"/>
      <c r="N94" s="221"/>
      <c r="O94" s="221"/>
    </row>
    <row r="95" spans="1:15" s="18" customFormat="1" ht="15" customHeight="1">
      <c r="A95" s="221"/>
      <c r="B95" s="221"/>
      <c r="C95" s="221"/>
      <c r="D95" s="221"/>
      <c r="E95" s="221"/>
      <c r="F95" s="221"/>
      <c r="G95" s="221"/>
      <c r="H95" s="221"/>
      <c r="I95" s="221"/>
      <c r="J95" s="221"/>
      <c r="K95" s="221"/>
      <c r="L95" s="221"/>
      <c r="M95" s="221"/>
      <c r="N95" s="221"/>
      <c r="O95" s="221"/>
    </row>
    <row r="96" spans="1:14" s="18" customFormat="1" ht="15" customHeight="1">
      <c r="A96" s="23"/>
      <c r="B96" s="17"/>
      <c r="D96" s="148"/>
      <c r="F96" s="19"/>
      <c r="G96" s="19"/>
      <c r="H96" s="19"/>
      <c r="I96" s="54"/>
      <c r="J96" s="21"/>
      <c r="K96" s="51"/>
      <c r="M96" s="20"/>
      <c r="N96" s="21"/>
    </row>
    <row r="97" spans="1:14" s="18" customFormat="1" ht="15" customHeight="1">
      <c r="A97" s="23"/>
      <c r="B97" s="17"/>
      <c r="D97" s="148"/>
      <c r="F97" s="19"/>
      <c r="G97" s="19"/>
      <c r="H97" s="19"/>
      <c r="I97" s="54"/>
      <c r="J97" s="21"/>
      <c r="K97" s="51"/>
      <c r="M97" s="20"/>
      <c r="N97" s="21"/>
    </row>
    <row r="98" spans="1:14" s="18" customFormat="1" ht="15" customHeight="1">
      <c r="A98" s="23"/>
      <c r="B98" s="17"/>
      <c r="D98" s="148"/>
      <c r="F98" s="19"/>
      <c r="G98" s="19"/>
      <c r="H98" s="19"/>
      <c r="I98" s="54"/>
      <c r="J98" s="21"/>
      <c r="K98" s="51"/>
      <c r="M98" s="20"/>
      <c r="N98" s="21"/>
    </row>
    <row r="99" spans="1:14" s="18" customFormat="1" ht="15" customHeight="1">
      <c r="A99" s="23"/>
      <c r="B99" s="17"/>
      <c r="D99" s="148"/>
      <c r="F99" s="19"/>
      <c r="G99" s="19"/>
      <c r="H99" s="19"/>
      <c r="I99" s="54"/>
      <c r="J99" s="21"/>
      <c r="K99" s="51"/>
      <c r="M99" s="20"/>
      <c r="N99" s="21"/>
    </row>
    <row r="100" spans="1:14" s="18" customFormat="1" ht="15" customHeight="1">
      <c r="A100" s="23"/>
      <c r="B100" s="17"/>
      <c r="D100" s="148"/>
      <c r="F100" s="19"/>
      <c r="G100" s="19"/>
      <c r="H100" s="19"/>
      <c r="I100" s="54"/>
      <c r="J100" s="21"/>
      <c r="K100" s="51"/>
      <c r="M100" s="20"/>
      <c r="N100" s="21"/>
    </row>
    <row r="101" spans="1:14" s="18" customFormat="1" ht="15" customHeight="1">
      <c r="A101" s="23"/>
      <c r="B101" s="17"/>
      <c r="D101" s="148"/>
      <c r="F101" s="19"/>
      <c r="G101" s="19"/>
      <c r="H101" s="19"/>
      <c r="I101" s="54"/>
      <c r="J101" s="21"/>
      <c r="K101" s="51"/>
      <c r="M101" s="20"/>
      <c r="N101" s="21"/>
    </row>
    <row r="102" spans="1:14" s="18" customFormat="1" ht="15" customHeight="1">
      <c r="A102" s="23"/>
      <c r="B102" s="17"/>
      <c r="D102" s="148"/>
      <c r="F102" s="19"/>
      <c r="G102" s="19"/>
      <c r="H102" s="19"/>
      <c r="I102" s="54"/>
      <c r="J102" s="21"/>
      <c r="K102" s="51"/>
      <c r="M102" s="20"/>
      <c r="N102" s="21"/>
    </row>
    <row r="103" spans="1:14" s="18" customFormat="1" ht="15" customHeight="1">
      <c r="A103" s="23"/>
      <c r="B103" s="17"/>
      <c r="D103" s="148"/>
      <c r="F103" s="19"/>
      <c r="G103" s="19"/>
      <c r="H103" s="19"/>
      <c r="I103" s="54"/>
      <c r="J103" s="21"/>
      <c r="K103" s="51"/>
      <c r="M103" s="20"/>
      <c r="N103" s="21"/>
    </row>
    <row r="104" spans="1:14" s="18" customFormat="1" ht="15" customHeight="1">
      <c r="A104" s="23"/>
      <c r="B104" s="17"/>
      <c r="D104" s="148"/>
      <c r="F104" s="19"/>
      <c r="G104" s="19"/>
      <c r="H104" s="19"/>
      <c r="I104" s="54"/>
      <c r="J104" s="21"/>
      <c r="K104" s="51"/>
      <c r="M104" s="20"/>
      <c r="N104" s="21"/>
    </row>
    <row r="105" spans="1:14" s="18" customFormat="1" ht="15" customHeight="1">
      <c r="A105" s="23"/>
      <c r="B105" s="17"/>
      <c r="D105" s="148"/>
      <c r="F105" s="19"/>
      <c r="G105" s="19"/>
      <c r="H105" s="19"/>
      <c r="I105" s="54"/>
      <c r="J105" s="21"/>
      <c r="K105" s="51"/>
      <c r="M105" s="20"/>
      <c r="N105" s="21"/>
    </row>
    <row r="106" spans="1:14" s="18" customFormat="1" ht="15" customHeight="1">
      <c r="A106" s="23"/>
      <c r="B106" s="17"/>
      <c r="D106" s="148"/>
      <c r="F106" s="19"/>
      <c r="G106" s="19"/>
      <c r="H106" s="19"/>
      <c r="I106" s="54"/>
      <c r="J106" s="21"/>
      <c r="K106" s="51"/>
      <c r="M106" s="20"/>
      <c r="N106" s="21"/>
    </row>
    <row r="107" spans="1:14" s="18" customFormat="1" ht="15" customHeight="1">
      <c r="A107" s="23"/>
      <c r="B107" s="17"/>
      <c r="D107" s="148"/>
      <c r="F107" s="19"/>
      <c r="G107" s="19"/>
      <c r="H107" s="19"/>
      <c r="I107" s="54"/>
      <c r="J107" s="21"/>
      <c r="K107" s="51"/>
      <c r="M107" s="20"/>
      <c r="N107" s="21"/>
    </row>
    <row r="108" spans="1:14" s="18" customFormat="1" ht="15" customHeight="1">
      <c r="A108" s="23"/>
      <c r="B108" s="17"/>
      <c r="D108" s="148"/>
      <c r="F108" s="19"/>
      <c r="G108" s="19"/>
      <c r="H108" s="19"/>
      <c r="I108" s="54"/>
      <c r="J108" s="21"/>
      <c r="K108" s="51"/>
      <c r="M108" s="20"/>
      <c r="N108" s="21"/>
    </row>
    <row r="109" spans="1:14" s="18" customFormat="1" ht="15" customHeight="1">
      <c r="A109" s="23"/>
      <c r="B109" s="17"/>
      <c r="D109" s="148"/>
      <c r="F109" s="19"/>
      <c r="G109" s="19"/>
      <c r="H109" s="19"/>
      <c r="I109" s="54"/>
      <c r="J109" s="21"/>
      <c r="K109" s="51"/>
      <c r="M109" s="20"/>
      <c r="N109" s="21"/>
    </row>
    <row r="110" spans="1:14" s="18" customFormat="1" ht="15" customHeight="1">
      <c r="A110" s="23"/>
      <c r="B110" s="17"/>
      <c r="D110" s="148"/>
      <c r="F110" s="19"/>
      <c r="G110" s="19"/>
      <c r="H110" s="19"/>
      <c r="I110" s="54"/>
      <c r="J110" s="21"/>
      <c r="K110" s="51"/>
      <c r="M110" s="20"/>
      <c r="N110" s="21"/>
    </row>
    <row r="111" spans="1:14" s="18" customFormat="1" ht="15" customHeight="1">
      <c r="A111" s="23"/>
      <c r="B111" s="17"/>
      <c r="D111" s="148"/>
      <c r="F111" s="19"/>
      <c r="G111" s="19"/>
      <c r="H111" s="19"/>
      <c r="I111" s="54"/>
      <c r="J111" s="21"/>
      <c r="K111" s="51"/>
      <c r="M111" s="20"/>
      <c r="N111" s="21"/>
    </row>
    <row r="112" spans="1:14" s="18" customFormat="1" ht="15" customHeight="1">
      <c r="A112" s="23"/>
      <c r="B112" s="17"/>
      <c r="D112" s="148"/>
      <c r="F112" s="19"/>
      <c r="G112" s="19"/>
      <c r="H112" s="19"/>
      <c r="I112" s="54"/>
      <c r="J112" s="21"/>
      <c r="K112" s="51"/>
      <c r="M112" s="20"/>
      <c r="N112" s="21"/>
    </row>
    <row r="113" spans="1:14" s="18" customFormat="1" ht="15" customHeight="1">
      <c r="A113" s="23"/>
      <c r="B113" s="17"/>
      <c r="D113" s="148"/>
      <c r="F113" s="19"/>
      <c r="G113" s="19"/>
      <c r="H113" s="19"/>
      <c r="I113" s="54"/>
      <c r="J113" s="21"/>
      <c r="K113" s="51"/>
      <c r="M113" s="20"/>
      <c r="N113" s="21"/>
    </row>
    <row r="114" spans="1:14" s="18" customFormat="1" ht="15" customHeight="1">
      <c r="A114" s="23"/>
      <c r="B114" s="17"/>
      <c r="D114" s="148"/>
      <c r="F114" s="19"/>
      <c r="G114" s="19"/>
      <c r="H114" s="19"/>
      <c r="I114" s="54"/>
      <c r="J114" s="21"/>
      <c r="K114" s="51"/>
      <c r="M114" s="20"/>
      <c r="N114" s="21"/>
    </row>
    <row r="115" spans="1:14" s="18" customFormat="1" ht="15" customHeight="1">
      <c r="A115" s="23"/>
      <c r="B115" s="17"/>
      <c r="D115" s="148"/>
      <c r="F115" s="19"/>
      <c r="G115" s="19"/>
      <c r="H115" s="19"/>
      <c r="I115" s="54"/>
      <c r="J115" s="21"/>
      <c r="K115" s="51"/>
      <c r="M115" s="20"/>
      <c r="N115" s="21"/>
    </row>
    <row r="116" spans="1:14" s="18" customFormat="1" ht="15" customHeight="1">
      <c r="A116" s="23"/>
      <c r="B116" s="17"/>
      <c r="D116" s="148"/>
      <c r="F116" s="19"/>
      <c r="G116" s="19"/>
      <c r="H116" s="19"/>
      <c r="I116" s="54"/>
      <c r="J116" s="21"/>
      <c r="K116" s="51"/>
      <c r="M116" s="20"/>
      <c r="N116" s="21"/>
    </row>
    <row r="117" spans="1:14" s="18" customFormat="1" ht="15" customHeight="1">
      <c r="A117" s="23"/>
      <c r="B117" s="17"/>
      <c r="D117" s="148"/>
      <c r="F117" s="19"/>
      <c r="G117" s="19"/>
      <c r="H117" s="19"/>
      <c r="I117" s="54"/>
      <c r="J117" s="21"/>
      <c r="K117" s="51"/>
      <c r="M117" s="20"/>
      <c r="N117" s="21"/>
    </row>
    <row r="118" spans="1:14" s="18" customFormat="1" ht="15" customHeight="1">
      <c r="A118" s="23"/>
      <c r="B118" s="17"/>
      <c r="D118" s="148"/>
      <c r="F118" s="19"/>
      <c r="G118" s="19"/>
      <c r="H118" s="19"/>
      <c r="I118" s="54"/>
      <c r="J118" s="21"/>
      <c r="K118" s="51"/>
      <c r="M118" s="20"/>
      <c r="N118" s="21"/>
    </row>
    <row r="119" spans="1:14" s="18" customFormat="1" ht="15" customHeight="1">
      <c r="A119" s="23"/>
      <c r="B119" s="17"/>
      <c r="D119" s="148"/>
      <c r="F119" s="19"/>
      <c r="G119" s="19"/>
      <c r="H119" s="19"/>
      <c r="I119" s="54"/>
      <c r="J119" s="21"/>
      <c r="K119" s="51"/>
      <c r="M119" s="20"/>
      <c r="N119" s="21"/>
    </row>
    <row r="120" spans="1:14" s="18" customFormat="1" ht="15" customHeight="1">
      <c r="A120" s="23"/>
      <c r="B120" s="17"/>
      <c r="D120" s="148"/>
      <c r="F120" s="19"/>
      <c r="G120" s="19"/>
      <c r="H120" s="19"/>
      <c r="I120" s="54"/>
      <c r="J120" s="21"/>
      <c r="K120" s="51"/>
      <c r="M120" s="20"/>
      <c r="N120" s="21"/>
    </row>
    <row r="121" spans="1:14" s="18" customFormat="1" ht="15" customHeight="1">
      <c r="A121" s="23"/>
      <c r="B121" s="17"/>
      <c r="D121" s="148"/>
      <c r="F121" s="19"/>
      <c r="G121" s="19"/>
      <c r="H121" s="19"/>
      <c r="I121" s="54"/>
      <c r="J121" s="21"/>
      <c r="K121" s="51"/>
      <c r="M121" s="20"/>
      <c r="N121" s="21"/>
    </row>
    <row r="122" spans="1:14" s="18" customFormat="1" ht="15" customHeight="1">
      <c r="A122" s="23"/>
      <c r="B122" s="17"/>
      <c r="D122" s="148"/>
      <c r="F122" s="19"/>
      <c r="G122" s="19"/>
      <c r="H122" s="19"/>
      <c r="I122" s="54"/>
      <c r="J122" s="21"/>
      <c r="K122" s="51"/>
      <c r="M122" s="20"/>
      <c r="N122" s="21"/>
    </row>
    <row r="123" spans="1:14" s="18" customFormat="1" ht="15" customHeight="1">
      <c r="A123" s="23"/>
      <c r="B123" s="17"/>
      <c r="D123" s="148"/>
      <c r="F123" s="19"/>
      <c r="G123" s="19"/>
      <c r="H123" s="19"/>
      <c r="I123" s="54"/>
      <c r="J123" s="21"/>
      <c r="K123" s="51"/>
      <c r="M123" s="20"/>
      <c r="N123" s="21"/>
    </row>
    <row r="124" spans="1:14" s="18" customFormat="1" ht="15" customHeight="1">
      <c r="A124" s="23"/>
      <c r="B124" s="17"/>
      <c r="D124" s="148"/>
      <c r="F124" s="19"/>
      <c r="G124" s="19"/>
      <c r="H124" s="19"/>
      <c r="I124" s="54"/>
      <c r="J124" s="21"/>
      <c r="K124" s="51"/>
      <c r="M124" s="20"/>
      <c r="N124" s="21"/>
    </row>
    <row r="125" spans="1:14" s="18" customFormat="1" ht="15" customHeight="1">
      <c r="A125" s="23"/>
      <c r="B125" s="17"/>
      <c r="D125" s="148"/>
      <c r="F125" s="19"/>
      <c r="G125" s="19"/>
      <c r="H125" s="19"/>
      <c r="I125" s="54"/>
      <c r="J125" s="21"/>
      <c r="K125" s="51"/>
      <c r="M125" s="20"/>
      <c r="N125" s="21"/>
    </row>
    <row r="126" spans="1:14" s="18" customFormat="1" ht="15" customHeight="1">
      <c r="A126" s="23"/>
      <c r="B126" s="17"/>
      <c r="D126" s="148"/>
      <c r="F126" s="19"/>
      <c r="G126" s="19"/>
      <c r="H126" s="19"/>
      <c r="I126" s="54"/>
      <c r="J126" s="21"/>
      <c r="K126" s="51"/>
      <c r="M126" s="20"/>
      <c r="N126" s="21"/>
    </row>
    <row r="127" spans="1:14" s="18" customFormat="1" ht="15" customHeight="1">
      <c r="A127" s="23"/>
      <c r="B127" s="17"/>
      <c r="D127" s="148"/>
      <c r="F127" s="19"/>
      <c r="G127" s="19"/>
      <c r="H127" s="19"/>
      <c r="I127" s="54"/>
      <c r="J127" s="21"/>
      <c r="K127" s="51"/>
      <c r="M127" s="20"/>
      <c r="N127" s="21"/>
    </row>
    <row r="128" spans="1:14" s="18" customFormat="1" ht="15" customHeight="1">
      <c r="A128" s="23"/>
      <c r="B128" s="17"/>
      <c r="D128" s="148"/>
      <c r="F128" s="19"/>
      <c r="G128" s="19"/>
      <c r="H128" s="19"/>
      <c r="I128" s="54"/>
      <c r="J128" s="21"/>
      <c r="K128" s="51"/>
      <c r="M128" s="20"/>
      <c r="N128" s="21"/>
    </row>
    <row r="129" spans="1:14" s="18" customFormat="1" ht="15" customHeight="1">
      <c r="A129" s="23"/>
      <c r="B129" s="17"/>
      <c r="D129" s="148"/>
      <c r="F129" s="19"/>
      <c r="G129" s="19"/>
      <c r="H129" s="19"/>
      <c r="I129" s="54"/>
      <c r="J129" s="21"/>
      <c r="K129" s="51"/>
      <c r="M129" s="20"/>
      <c r="N129" s="21"/>
    </row>
    <row r="130" spans="1:14" s="18" customFormat="1" ht="15" customHeight="1">
      <c r="A130" s="23"/>
      <c r="B130" s="17"/>
      <c r="D130" s="148"/>
      <c r="F130" s="19"/>
      <c r="G130" s="19"/>
      <c r="H130" s="19"/>
      <c r="I130" s="54"/>
      <c r="J130" s="21"/>
      <c r="K130" s="51"/>
      <c r="M130" s="20"/>
      <c r="N130" s="21"/>
    </row>
    <row r="131" spans="1:14" s="18" customFormat="1" ht="15" customHeight="1">
      <c r="A131" s="23"/>
      <c r="B131" s="17"/>
      <c r="D131" s="148"/>
      <c r="F131" s="19"/>
      <c r="G131" s="19"/>
      <c r="H131" s="19"/>
      <c r="I131" s="54"/>
      <c r="J131" s="21"/>
      <c r="K131" s="51"/>
      <c r="M131" s="20"/>
      <c r="N131" s="21"/>
    </row>
    <row r="132" spans="1:14" s="18" customFormat="1" ht="15" customHeight="1">
      <c r="A132" s="23"/>
      <c r="B132" s="17"/>
      <c r="D132" s="148"/>
      <c r="F132" s="19"/>
      <c r="G132" s="19"/>
      <c r="H132" s="19"/>
      <c r="I132" s="54"/>
      <c r="J132" s="21"/>
      <c r="K132" s="51"/>
      <c r="M132" s="20"/>
      <c r="N132" s="21"/>
    </row>
    <row r="133" spans="1:14" s="18" customFormat="1" ht="15" customHeight="1">
      <c r="A133" s="23"/>
      <c r="B133" s="17"/>
      <c r="D133" s="148"/>
      <c r="F133" s="19"/>
      <c r="G133" s="19"/>
      <c r="H133" s="19"/>
      <c r="I133" s="54"/>
      <c r="J133" s="21"/>
      <c r="K133" s="51"/>
      <c r="M133" s="20"/>
      <c r="N133" s="21"/>
    </row>
    <row r="134" spans="1:14" s="18" customFormat="1" ht="15" customHeight="1">
      <c r="A134" s="23"/>
      <c r="B134" s="17"/>
      <c r="D134" s="148"/>
      <c r="F134" s="19"/>
      <c r="G134" s="19"/>
      <c r="H134" s="19"/>
      <c r="I134" s="54"/>
      <c r="J134" s="21"/>
      <c r="K134" s="51"/>
      <c r="M134" s="20"/>
      <c r="N134" s="21"/>
    </row>
    <row r="135" spans="1:14" s="18" customFormat="1" ht="15" customHeight="1">
      <c r="A135" s="23"/>
      <c r="B135" s="17"/>
      <c r="D135" s="148"/>
      <c r="F135" s="19"/>
      <c r="G135" s="19"/>
      <c r="H135" s="19"/>
      <c r="I135" s="54"/>
      <c r="J135" s="21"/>
      <c r="K135" s="51"/>
      <c r="M135" s="20"/>
      <c r="N135" s="21"/>
    </row>
    <row r="136" spans="1:14" s="18" customFormat="1" ht="15" customHeight="1">
      <c r="A136" s="23"/>
      <c r="B136" s="17"/>
      <c r="D136" s="148"/>
      <c r="F136" s="19"/>
      <c r="G136" s="19"/>
      <c r="H136" s="19"/>
      <c r="I136" s="54"/>
      <c r="J136" s="21"/>
      <c r="K136" s="51"/>
      <c r="M136" s="20"/>
      <c r="N136" s="21"/>
    </row>
    <row r="137" spans="1:14" s="18" customFormat="1" ht="15" customHeight="1">
      <c r="A137" s="23"/>
      <c r="B137" s="17"/>
      <c r="D137" s="148"/>
      <c r="F137" s="19"/>
      <c r="G137" s="19"/>
      <c r="H137" s="19"/>
      <c r="I137" s="54"/>
      <c r="J137" s="21"/>
      <c r="K137" s="51"/>
      <c r="M137" s="20"/>
      <c r="N137" s="21"/>
    </row>
    <row r="138" spans="1:14" s="18" customFormat="1" ht="15" customHeight="1">
      <c r="A138" s="23"/>
      <c r="B138" s="17"/>
      <c r="D138" s="148"/>
      <c r="F138" s="19"/>
      <c r="G138" s="19"/>
      <c r="H138" s="19"/>
      <c r="I138" s="54"/>
      <c r="J138" s="21"/>
      <c r="K138" s="51"/>
      <c r="M138" s="20"/>
      <c r="N138" s="21"/>
    </row>
    <row r="139" spans="1:14" s="18" customFormat="1" ht="15" customHeight="1">
      <c r="A139" s="23"/>
      <c r="B139" s="17"/>
      <c r="D139" s="148"/>
      <c r="F139" s="19"/>
      <c r="G139" s="19"/>
      <c r="H139" s="19"/>
      <c r="I139" s="54"/>
      <c r="J139" s="21"/>
      <c r="K139" s="51"/>
      <c r="M139" s="20"/>
      <c r="N139" s="21"/>
    </row>
    <row r="140" spans="1:14" s="18" customFormat="1" ht="15" customHeight="1">
      <c r="A140" s="23"/>
      <c r="B140" s="17"/>
      <c r="D140" s="148"/>
      <c r="F140" s="19"/>
      <c r="G140" s="19"/>
      <c r="H140" s="19"/>
      <c r="I140" s="54"/>
      <c r="J140" s="21"/>
      <c r="K140" s="51"/>
      <c r="M140" s="20"/>
      <c r="N140" s="21"/>
    </row>
    <row r="141" spans="1:14" s="18" customFormat="1" ht="15" customHeight="1">
      <c r="A141" s="23"/>
      <c r="B141" s="17"/>
      <c r="D141" s="148"/>
      <c r="F141" s="19"/>
      <c r="G141" s="19"/>
      <c r="H141" s="19"/>
      <c r="I141" s="54"/>
      <c r="J141" s="21"/>
      <c r="K141" s="51"/>
      <c r="M141" s="20"/>
      <c r="N141" s="21"/>
    </row>
    <row r="142" spans="1:14" s="18" customFormat="1" ht="15" customHeight="1">
      <c r="A142" s="23"/>
      <c r="B142" s="17"/>
      <c r="D142" s="148"/>
      <c r="F142" s="19"/>
      <c r="G142" s="19"/>
      <c r="H142" s="19"/>
      <c r="I142" s="54"/>
      <c r="J142" s="21"/>
      <c r="K142" s="51"/>
      <c r="M142" s="20"/>
      <c r="N142" s="21"/>
    </row>
    <row r="143" spans="1:14" s="18" customFormat="1" ht="15" customHeight="1">
      <c r="A143" s="23"/>
      <c r="B143" s="17"/>
      <c r="D143" s="148"/>
      <c r="F143" s="19"/>
      <c r="G143" s="19"/>
      <c r="H143" s="19"/>
      <c r="I143" s="54"/>
      <c r="J143" s="21"/>
      <c r="K143" s="51"/>
      <c r="M143" s="20"/>
      <c r="N143" s="21"/>
    </row>
    <row r="144" spans="1:14" s="18" customFormat="1" ht="15" customHeight="1">
      <c r="A144" s="23"/>
      <c r="B144" s="17"/>
      <c r="D144" s="148"/>
      <c r="F144" s="19"/>
      <c r="G144" s="19"/>
      <c r="H144" s="19"/>
      <c r="I144" s="54"/>
      <c r="J144" s="21"/>
      <c r="K144" s="51"/>
      <c r="M144" s="20"/>
      <c r="N144" s="21"/>
    </row>
    <row r="145" spans="1:14" s="18" customFormat="1" ht="15" customHeight="1">
      <c r="A145" s="23"/>
      <c r="B145" s="17"/>
      <c r="D145" s="148"/>
      <c r="F145" s="19"/>
      <c r="G145" s="19"/>
      <c r="H145" s="19"/>
      <c r="I145" s="54"/>
      <c r="J145" s="21"/>
      <c r="K145" s="51"/>
      <c r="M145" s="20"/>
      <c r="N145" s="21"/>
    </row>
    <row r="146" spans="1:14" s="18" customFormat="1" ht="15" customHeight="1">
      <c r="A146" s="23"/>
      <c r="B146" s="17"/>
      <c r="D146" s="148"/>
      <c r="F146" s="19"/>
      <c r="G146" s="19"/>
      <c r="H146" s="19"/>
      <c r="I146" s="54"/>
      <c r="J146" s="21"/>
      <c r="K146" s="51"/>
      <c r="M146" s="20"/>
      <c r="N146" s="21"/>
    </row>
    <row r="147" spans="1:14" s="18" customFormat="1" ht="15" customHeight="1">
      <c r="A147" s="23"/>
      <c r="B147" s="17"/>
      <c r="D147" s="148"/>
      <c r="F147" s="19"/>
      <c r="G147" s="19"/>
      <c r="H147" s="19"/>
      <c r="I147" s="54"/>
      <c r="J147" s="21"/>
      <c r="K147" s="51"/>
      <c r="M147" s="20"/>
      <c r="N147" s="21"/>
    </row>
    <row r="148" spans="1:14" s="18" customFormat="1" ht="15" customHeight="1">
      <c r="A148" s="23"/>
      <c r="B148" s="17"/>
      <c r="D148" s="148"/>
      <c r="F148" s="19"/>
      <c r="G148" s="19"/>
      <c r="H148" s="19"/>
      <c r="I148" s="54"/>
      <c r="J148" s="21"/>
      <c r="K148" s="51"/>
      <c r="M148" s="20"/>
      <c r="N148" s="21"/>
    </row>
    <row r="149" spans="1:14" s="18" customFormat="1" ht="15" customHeight="1">
      <c r="A149" s="23"/>
      <c r="B149" s="17"/>
      <c r="D149" s="148"/>
      <c r="F149" s="19"/>
      <c r="G149" s="19"/>
      <c r="H149" s="19"/>
      <c r="I149" s="54"/>
      <c r="J149" s="21"/>
      <c r="K149" s="51"/>
      <c r="M149" s="20"/>
      <c r="N149" s="21"/>
    </row>
    <row r="150" spans="1:14" s="18" customFormat="1" ht="15" customHeight="1">
      <c r="A150" s="23"/>
      <c r="B150" s="17"/>
      <c r="D150" s="148"/>
      <c r="F150" s="19"/>
      <c r="G150" s="19"/>
      <c r="H150" s="19"/>
      <c r="I150" s="54"/>
      <c r="J150" s="21"/>
      <c r="K150" s="51"/>
      <c r="M150" s="20"/>
      <c r="N150" s="21"/>
    </row>
    <row r="151" spans="1:14" s="18" customFormat="1" ht="15" customHeight="1">
      <c r="A151" s="23"/>
      <c r="B151" s="17"/>
      <c r="D151" s="148"/>
      <c r="F151" s="19"/>
      <c r="G151" s="19"/>
      <c r="H151" s="19"/>
      <c r="I151" s="54"/>
      <c r="J151" s="21"/>
      <c r="K151" s="51"/>
      <c r="M151" s="20"/>
      <c r="N151" s="21"/>
    </row>
    <row r="152" spans="1:14" s="18" customFormat="1" ht="15" customHeight="1">
      <c r="A152" s="23"/>
      <c r="B152" s="17"/>
      <c r="D152" s="148"/>
      <c r="F152" s="19"/>
      <c r="G152" s="19"/>
      <c r="H152" s="19"/>
      <c r="I152" s="54"/>
      <c r="J152" s="21"/>
      <c r="K152" s="51"/>
      <c r="M152" s="20"/>
      <c r="N152" s="21"/>
    </row>
    <row r="153" spans="1:14" s="18" customFormat="1" ht="15" customHeight="1">
      <c r="A153" s="23"/>
      <c r="B153" s="17"/>
      <c r="D153" s="148"/>
      <c r="F153" s="19"/>
      <c r="G153" s="19"/>
      <c r="H153" s="19"/>
      <c r="I153" s="54"/>
      <c r="J153" s="21"/>
      <c r="K153" s="51"/>
      <c r="M153" s="20"/>
      <c r="N153" s="21"/>
    </row>
    <row r="154" spans="1:14" s="18" customFormat="1" ht="15" customHeight="1">
      <c r="A154" s="23"/>
      <c r="B154" s="17"/>
      <c r="D154" s="148"/>
      <c r="F154" s="19"/>
      <c r="G154" s="19"/>
      <c r="H154" s="19"/>
      <c r="I154" s="54"/>
      <c r="J154" s="21"/>
      <c r="K154" s="51"/>
      <c r="M154" s="20"/>
      <c r="N154" s="21"/>
    </row>
    <row r="155" spans="1:14" s="18" customFormat="1" ht="15" customHeight="1">
      <c r="A155" s="23"/>
      <c r="B155" s="17"/>
      <c r="D155" s="148"/>
      <c r="F155" s="19"/>
      <c r="G155" s="19"/>
      <c r="H155" s="19"/>
      <c r="I155" s="54"/>
      <c r="J155" s="21"/>
      <c r="K155" s="51"/>
      <c r="M155" s="20"/>
      <c r="N155" s="21"/>
    </row>
    <row r="156" spans="1:14" s="18" customFormat="1" ht="15" customHeight="1">
      <c r="A156" s="23"/>
      <c r="B156" s="17"/>
      <c r="D156" s="148"/>
      <c r="F156" s="19"/>
      <c r="G156" s="19"/>
      <c r="H156" s="19"/>
      <c r="I156" s="54"/>
      <c r="J156" s="21"/>
      <c r="K156" s="51"/>
      <c r="M156" s="20"/>
      <c r="N156" s="21"/>
    </row>
    <row r="157" spans="1:14" s="18" customFormat="1" ht="15" customHeight="1">
      <c r="A157" s="23"/>
      <c r="B157" s="17"/>
      <c r="D157" s="148"/>
      <c r="F157" s="19"/>
      <c r="G157" s="19"/>
      <c r="H157" s="19"/>
      <c r="I157" s="54"/>
      <c r="J157" s="21"/>
      <c r="K157" s="51"/>
      <c r="M157" s="20"/>
      <c r="N157" s="21"/>
    </row>
    <row r="158" spans="1:14" s="18" customFormat="1" ht="15" customHeight="1">
      <c r="A158" s="23"/>
      <c r="B158" s="17"/>
      <c r="D158" s="148"/>
      <c r="F158" s="19"/>
      <c r="G158" s="19"/>
      <c r="H158" s="19"/>
      <c r="I158" s="54"/>
      <c r="J158" s="21"/>
      <c r="K158" s="51"/>
      <c r="M158" s="20"/>
      <c r="N158" s="21"/>
    </row>
  </sheetData>
  <sheetProtection insertRows="0" deleteRows="0" sort="0"/>
  <mergeCells count="13">
    <mergeCell ref="C69:D70"/>
    <mergeCell ref="I3:L3"/>
    <mergeCell ref="D3:D4"/>
    <mergeCell ref="A2:O2"/>
    <mergeCell ref="A92:O95"/>
    <mergeCell ref="M3:O3"/>
    <mergeCell ref="G3:G4"/>
    <mergeCell ref="F3:F4"/>
    <mergeCell ref="C3:C4"/>
    <mergeCell ref="E3:E4"/>
    <mergeCell ref="H3:H4"/>
    <mergeCell ref="E69:G69"/>
    <mergeCell ref="D78:G78"/>
  </mergeCell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scale="48"/>
  <drawing r:id="rId1"/>
</worksheet>
</file>

<file path=xl/worksheets/sheet2.xml><?xml version="1.0" encoding="utf-8"?>
<worksheet xmlns="http://schemas.openxmlformats.org/spreadsheetml/2006/main" xmlns:r="http://schemas.openxmlformats.org/officeDocument/2006/relationships">
  <dimension ref="A1:I48"/>
  <sheetViews>
    <sheetView workbookViewId="0" topLeftCell="A1">
      <selection activeCell="K28" sqref="K28"/>
    </sheetView>
  </sheetViews>
  <sheetFormatPr defaultColWidth="9.140625" defaultRowHeight="12.75"/>
  <cols>
    <col min="1" max="1" width="3.00390625" style="153" customWidth="1"/>
    <col min="2" max="2" width="1.7109375" style="159" customWidth="1"/>
    <col min="3" max="3" width="43.140625" style="159" customWidth="1"/>
    <col min="4" max="4" width="10.421875" style="160" bestFit="1" customWidth="1"/>
    <col min="5" max="5" width="19.7109375" style="160" bestFit="1" customWidth="1"/>
    <col min="6" max="6" width="6.7109375" style="159" customWidth="1"/>
    <col min="7" max="7" width="12.7109375" style="159" bestFit="1" customWidth="1"/>
    <col min="8" max="8" width="14.140625" style="161" customWidth="1"/>
    <col min="9" max="9" width="11.8515625" style="162" customWidth="1"/>
    <col min="10" max="16384" width="9.140625" style="159" customWidth="1"/>
  </cols>
  <sheetData>
    <row r="1" spans="1:9" s="154" customFormat="1" ht="72.75" customHeight="1" thickBot="1">
      <c r="A1" s="153"/>
      <c r="B1" s="244" t="s">
        <v>92</v>
      </c>
      <c r="C1" s="245"/>
      <c r="D1" s="245"/>
      <c r="E1" s="245"/>
      <c r="F1" s="245"/>
      <c r="G1" s="245"/>
      <c r="H1" s="245"/>
      <c r="I1" s="245"/>
    </row>
    <row r="2" spans="1:9" s="156" customFormat="1" ht="12.75" customHeight="1">
      <c r="A2" s="153"/>
      <c r="B2" s="155"/>
      <c r="C2" s="248" t="s">
        <v>38</v>
      </c>
      <c r="D2" s="246" t="s">
        <v>91</v>
      </c>
      <c r="E2" s="246" t="s">
        <v>88</v>
      </c>
      <c r="F2" s="250" t="s">
        <v>89</v>
      </c>
      <c r="G2" s="252" t="s">
        <v>42</v>
      </c>
      <c r="H2" s="253"/>
      <c r="I2" s="254" t="s">
        <v>90</v>
      </c>
    </row>
    <row r="3" spans="1:9" s="156" customFormat="1" ht="28.5" customHeight="1" thickBot="1">
      <c r="A3" s="157"/>
      <c r="B3" s="167"/>
      <c r="C3" s="249"/>
      <c r="D3" s="247"/>
      <c r="E3" s="247"/>
      <c r="F3" s="251"/>
      <c r="G3" s="168" t="s">
        <v>82</v>
      </c>
      <c r="H3" s="169" t="s">
        <v>29</v>
      </c>
      <c r="I3" s="255"/>
    </row>
    <row r="4" spans="1:9" s="156" customFormat="1" ht="18.75" customHeight="1">
      <c r="A4" s="170">
        <v>1</v>
      </c>
      <c r="B4" s="174"/>
      <c r="C4" s="175" t="s">
        <v>20</v>
      </c>
      <c r="D4" s="152">
        <v>38751</v>
      </c>
      <c r="E4" s="176" t="s">
        <v>100</v>
      </c>
      <c r="F4" s="193">
        <v>6</v>
      </c>
      <c r="G4" s="194">
        <v>27094458</v>
      </c>
      <c r="H4" s="195">
        <v>4155161</v>
      </c>
      <c r="I4" s="76">
        <f>+G4/H4</f>
        <v>6.520675853474751</v>
      </c>
    </row>
    <row r="5" spans="1:9" s="156" customFormat="1" ht="18.75" customHeight="1">
      <c r="A5" s="170">
        <v>2</v>
      </c>
      <c r="B5" s="196"/>
      <c r="C5" s="79" t="s">
        <v>104</v>
      </c>
      <c r="D5" s="140">
        <v>38723</v>
      </c>
      <c r="E5" s="163" t="s">
        <v>6</v>
      </c>
      <c r="F5" s="87">
        <v>10</v>
      </c>
      <c r="G5" s="88">
        <f>5592380+3880622.5+1673082.62+1119075.5+434517.5+130151.5+6347.5+744.5+27+2593</f>
        <v>12839541.620000001</v>
      </c>
      <c r="H5" s="89">
        <f>871283+621889+270076+179456+67736+23058+1452+132+6+608</f>
        <v>2035696</v>
      </c>
      <c r="I5" s="85">
        <f>+G5/H5</f>
        <v>6.30719990607635</v>
      </c>
    </row>
    <row r="6" spans="1:9" s="158" customFormat="1" ht="18.75" customHeight="1">
      <c r="A6" s="170">
        <v>3</v>
      </c>
      <c r="B6" s="177"/>
      <c r="C6" s="79" t="s">
        <v>21</v>
      </c>
      <c r="D6" s="140">
        <v>38723</v>
      </c>
      <c r="E6" s="163" t="s">
        <v>101</v>
      </c>
      <c r="F6" s="80">
        <v>10</v>
      </c>
      <c r="G6" s="81">
        <v>6496262.1</v>
      </c>
      <c r="H6" s="82">
        <v>988101</v>
      </c>
      <c r="I6" s="85">
        <f>+G6/H6</f>
        <v>6.574491980070863</v>
      </c>
    </row>
    <row r="7" spans="1:9" s="158" customFormat="1" ht="18.75" customHeight="1">
      <c r="A7" s="170">
        <v>4</v>
      </c>
      <c r="B7" s="177"/>
      <c r="C7" s="171" t="s">
        <v>19</v>
      </c>
      <c r="D7" s="172">
        <v>38765</v>
      </c>
      <c r="E7" s="171" t="s">
        <v>86</v>
      </c>
      <c r="F7" s="173">
        <v>3</v>
      </c>
      <c r="G7" s="183">
        <v>3320583</v>
      </c>
      <c r="H7" s="182">
        <v>476529</v>
      </c>
      <c r="I7" s="181">
        <f>G7/H7</f>
        <v>6.968270556461412</v>
      </c>
    </row>
    <row r="8" spans="1:9" s="158" customFormat="1" ht="18.75" customHeight="1">
      <c r="A8" s="170">
        <v>5</v>
      </c>
      <c r="B8" s="177"/>
      <c r="C8" s="79" t="s">
        <v>145</v>
      </c>
      <c r="D8" s="143">
        <v>38730</v>
      </c>
      <c r="E8" s="163" t="s">
        <v>147</v>
      </c>
      <c r="F8" s="93">
        <v>9</v>
      </c>
      <c r="G8" s="103">
        <v>3257252</v>
      </c>
      <c r="H8" s="95">
        <v>462306</v>
      </c>
      <c r="I8" s="85">
        <f aca="true" t="shared" si="0" ref="I8:I28">+G8/H8</f>
        <v>7.045662396767509</v>
      </c>
    </row>
    <row r="9" spans="1:9" s="158" customFormat="1" ht="18.75" customHeight="1">
      <c r="A9" s="170">
        <v>6</v>
      </c>
      <c r="B9" s="177"/>
      <c r="C9" s="79" t="s">
        <v>64</v>
      </c>
      <c r="D9" s="140">
        <v>38758</v>
      </c>
      <c r="E9" s="163" t="s">
        <v>10</v>
      </c>
      <c r="F9" s="87">
        <v>5</v>
      </c>
      <c r="G9" s="88">
        <f>1046144.5+776147+471268+342390+240709.5</f>
        <v>2876659</v>
      </c>
      <c r="H9" s="89">
        <f>153560+115584+70079+59336+46681</f>
        <v>445240</v>
      </c>
      <c r="I9" s="85">
        <f t="shared" si="0"/>
        <v>6.460917707303926</v>
      </c>
    </row>
    <row r="10" spans="1:9" s="158" customFormat="1" ht="18.75" customHeight="1">
      <c r="A10" s="170">
        <v>7</v>
      </c>
      <c r="B10" s="177"/>
      <c r="C10" s="79" t="s">
        <v>132</v>
      </c>
      <c r="D10" s="143">
        <v>38744</v>
      </c>
      <c r="E10" s="163" t="s">
        <v>150</v>
      </c>
      <c r="F10" s="93">
        <v>7</v>
      </c>
      <c r="G10" s="94">
        <v>1830417</v>
      </c>
      <c r="H10" s="95">
        <v>225105</v>
      </c>
      <c r="I10" s="85">
        <f t="shared" si="0"/>
        <v>8.131392017058706</v>
      </c>
    </row>
    <row r="11" spans="1:9" s="158" customFormat="1" ht="18.75" customHeight="1">
      <c r="A11" s="170">
        <v>8</v>
      </c>
      <c r="B11" s="177"/>
      <c r="C11" s="79" t="s">
        <v>130</v>
      </c>
      <c r="D11" s="142">
        <v>38751</v>
      </c>
      <c r="E11" s="163" t="s">
        <v>148</v>
      </c>
      <c r="F11" s="93">
        <v>6</v>
      </c>
      <c r="G11" s="94">
        <v>1254262</v>
      </c>
      <c r="H11" s="95">
        <v>158189</v>
      </c>
      <c r="I11" s="85">
        <f t="shared" si="0"/>
        <v>7.928882539241035</v>
      </c>
    </row>
    <row r="12" spans="1:9" s="158" customFormat="1" ht="18.75" customHeight="1">
      <c r="A12" s="170">
        <v>9</v>
      </c>
      <c r="B12" s="177"/>
      <c r="C12" s="109" t="s">
        <v>54</v>
      </c>
      <c r="D12" s="141">
        <v>38758</v>
      </c>
      <c r="E12" s="166" t="s">
        <v>48</v>
      </c>
      <c r="F12" s="86">
        <v>5</v>
      </c>
      <c r="G12" s="91">
        <f>532455+375378.5+1288+209157.5+74302.5+38855.5+4630</f>
        <v>1236067</v>
      </c>
      <c r="H12" s="92">
        <f>61952+44929+104+25802+9625+5738+693</f>
        <v>148843</v>
      </c>
      <c r="I12" s="85">
        <f t="shared" si="0"/>
        <v>8.304502059216759</v>
      </c>
    </row>
    <row r="13" spans="1:9" s="158" customFormat="1" ht="18.75" customHeight="1">
      <c r="A13" s="170">
        <v>10</v>
      </c>
      <c r="B13" s="177"/>
      <c r="C13" s="109" t="s">
        <v>56</v>
      </c>
      <c r="D13" s="141">
        <v>38730</v>
      </c>
      <c r="E13" s="166" t="s">
        <v>57</v>
      </c>
      <c r="F13" s="86">
        <v>9</v>
      </c>
      <c r="G13" s="91">
        <f>620634.5+342052.5+188118+10733+4394+3499+5130.5+267+2707.5</f>
        <v>1177536</v>
      </c>
      <c r="H13" s="92">
        <f>71532+39787+22209+1403+667+665+1174+78+545</f>
        <v>138060</v>
      </c>
      <c r="I13" s="85">
        <f t="shared" si="0"/>
        <v>8.52916123424598</v>
      </c>
    </row>
    <row r="14" spans="1:9" s="158" customFormat="1" ht="18.75" customHeight="1">
      <c r="A14" s="170">
        <v>11</v>
      </c>
      <c r="B14" s="177"/>
      <c r="C14" s="109" t="s">
        <v>55</v>
      </c>
      <c r="D14" s="141">
        <v>38737</v>
      </c>
      <c r="E14" s="166" t="s">
        <v>48</v>
      </c>
      <c r="F14" s="86">
        <v>8</v>
      </c>
      <c r="G14" s="91">
        <f>608427+380282+114207+9532.5+267+10793+13396.5+5792+7887</f>
        <v>1150584</v>
      </c>
      <c r="H14" s="92">
        <f>84958+53848+16688+1589+36+2247+2850+1209+1697</f>
        <v>165122</v>
      </c>
      <c r="I14" s="85">
        <f t="shared" si="0"/>
        <v>6.968084204406439</v>
      </c>
    </row>
    <row r="15" spans="1:9" s="158" customFormat="1" ht="18.75" customHeight="1">
      <c r="A15" s="170">
        <v>12</v>
      </c>
      <c r="B15" s="177"/>
      <c r="C15" s="109" t="s">
        <v>51</v>
      </c>
      <c r="D15" s="141">
        <v>38772</v>
      </c>
      <c r="E15" s="166" t="s">
        <v>50</v>
      </c>
      <c r="F15" s="86">
        <v>3</v>
      </c>
      <c r="G15" s="91">
        <f>567539+316479.5+147520.5</f>
        <v>1031539</v>
      </c>
      <c r="H15" s="92">
        <f>70751+40533+20089</f>
        <v>131373</v>
      </c>
      <c r="I15" s="85">
        <f t="shared" si="0"/>
        <v>7.8519863290021545</v>
      </c>
    </row>
    <row r="16" spans="1:9" s="158" customFormat="1" ht="18.75" customHeight="1">
      <c r="A16" s="170">
        <v>13</v>
      </c>
      <c r="B16" s="177"/>
      <c r="C16" s="79" t="s">
        <v>98</v>
      </c>
      <c r="D16" s="140">
        <v>38737</v>
      </c>
      <c r="E16" s="163" t="s">
        <v>8</v>
      </c>
      <c r="F16" s="87">
        <v>8</v>
      </c>
      <c r="G16" s="88">
        <f>396203.5+294727+144308+39007.5+20845+13381+3440+5237.5</f>
        <v>917149.5</v>
      </c>
      <c r="H16" s="89">
        <f>47896+35851+17460+6558+3746+4007+1374+1611</f>
        <v>118503</v>
      </c>
      <c r="I16" s="85">
        <f t="shared" si="0"/>
        <v>7.739462292093871</v>
      </c>
    </row>
    <row r="17" spans="1:9" s="158" customFormat="1" ht="18.75" customHeight="1">
      <c r="A17" s="170">
        <v>14</v>
      </c>
      <c r="B17" s="177"/>
      <c r="C17" s="109" t="s">
        <v>49</v>
      </c>
      <c r="D17" s="141">
        <v>38779</v>
      </c>
      <c r="E17" s="166" t="s">
        <v>48</v>
      </c>
      <c r="F17" s="86">
        <v>2</v>
      </c>
      <c r="G17" s="91">
        <f>548794+335797+701.5</f>
        <v>885292.5</v>
      </c>
      <c r="H17" s="92">
        <f>69211+43223+82</f>
        <v>112516</v>
      </c>
      <c r="I17" s="85">
        <f t="shared" si="0"/>
        <v>7.868147641224359</v>
      </c>
    </row>
    <row r="18" spans="1:9" s="158" customFormat="1" ht="18.75" customHeight="1">
      <c r="A18" s="170">
        <v>15</v>
      </c>
      <c r="B18" s="197"/>
      <c r="C18" s="198" t="s">
        <v>47</v>
      </c>
      <c r="D18" s="199">
        <v>38786</v>
      </c>
      <c r="E18" s="200" t="s">
        <v>48</v>
      </c>
      <c r="F18" s="201">
        <v>1</v>
      </c>
      <c r="G18" s="202">
        <v>766172.5</v>
      </c>
      <c r="H18" s="203">
        <v>104283</v>
      </c>
      <c r="I18" s="204">
        <f t="shared" si="0"/>
        <v>7.347050813651315</v>
      </c>
    </row>
    <row r="19" spans="1:9" s="158" customFormat="1" ht="18.75" customHeight="1">
      <c r="A19" s="211">
        <v>16</v>
      </c>
      <c r="B19" s="177"/>
      <c r="C19" s="79" t="s">
        <v>127</v>
      </c>
      <c r="D19" s="142">
        <v>38772</v>
      </c>
      <c r="E19" s="163" t="s">
        <v>148</v>
      </c>
      <c r="F19" s="93">
        <v>3</v>
      </c>
      <c r="G19" s="94">
        <v>725889</v>
      </c>
      <c r="H19" s="95">
        <v>91516</v>
      </c>
      <c r="I19" s="85">
        <f t="shared" si="0"/>
        <v>7.931826128764369</v>
      </c>
    </row>
    <row r="20" spans="1:9" s="158" customFormat="1" ht="18.75" customHeight="1">
      <c r="A20" s="211">
        <v>17</v>
      </c>
      <c r="B20" s="177"/>
      <c r="C20" s="79" t="s">
        <v>144</v>
      </c>
      <c r="D20" s="142">
        <v>38779</v>
      </c>
      <c r="E20" s="163" t="s">
        <v>147</v>
      </c>
      <c r="F20" s="93">
        <v>2</v>
      </c>
      <c r="G20" s="94">
        <v>637150</v>
      </c>
      <c r="H20" s="95">
        <v>85336</v>
      </c>
      <c r="I20" s="85">
        <f t="shared" si="0"/>
        <v>7.466368238492547</v>
      </c>
    </row>
    <row r="21" spans="1:9" s="158" customFormat="1" ht="18.75" customHeight="1">
      <c r="A21" s="211">
        <v>18</v>
      </c>
      <c r="B21" s="177"/>
      <c r="C21" s="109" t="s">
        <v>52</v>
      </c>
      <c r="D21" s="141">
        <v>38765</v>
      </c>
      <c r="E21" s="166" t="s">
        <v>53</v>
      </c>
      <c r="F21" s="86">
        <v>4</v>
      </c>
      <c r="G21" s="91">
        <f>233855.5+204363.5+128310.5+63025</f>
        <v>629554.5</v>
      </c>
      <c r="H21" s="92">
        <f>23969+21050+14093+7549</f>
        <v>66661</v>
      </c>
      <c r="I21" s="85">
        <f t="shared" si="0"/>
        <v>9.44412025022127</v>
      </c>
    </row>
    <row r="22" spans="1:9" s="158" customFormat="1" ht="18.75" customHeight="1">
      <c r="A22" s="211">
        <v>19</v>
      </c>
      <c r="B22" s="177"/>
      <c r="C22" s="109" t="s">
        <v>72</v>
      </c>
      <c r="D22" s="141">
        <v>38716</v>
      </c>
      <c r="E22" s="166" t="s">
        <v>48</v>
      </c>
      <c r="F22" s="86">
        <v>10</v>
      </c>
      <c r="G22" s="91">
        <f>237624-892+202690+104326.5+18985.5+18621+626+216+205+839-39+729</f>
        <v>583931</v>
      </c>
      <c r="H22" s="92">
        <f>33884+27467+15332+2886+3302+84+27+67+201-13+187</f>
        <v>83424</v>
      </c>
      <c r="I22" s="85">
        <f t="shared" si="0"/>
        <v>6.999556482546989</v>
      </c>
    </row>
    <row r="23" spans="1:9" s="158" customFormat="1" ht="18.75" customHeight="1">
      <c r="A23" s="211">
        <v>20</v>
      </c>
      <c r="B23" s="177"/>
      <c r="C23" s="79" t="s">
        <v>131</v>
      </c>
      <c r="D23" s="142">
        <v>38751</v>
      </c>
      <c r="E23" s="163" t="s">
        <v>149</v>
      </c>
      <c r="F23" s="93">
        <v>6</v>
      </c>
      <c r="G23" s="94">
        <v>461979</v>
      </c>
      <c r="H23" s="95">
        <v>52519</v>
      </c>
      <c r="I23" s="85">
        <f t="shared" si="0"/>
        <v>8.796416534968298</v>
      </c>
    </row>
    <row r="24" spans="1:9" s="158" customFormat="1" ht="18.75" customHeight="1">
      <c r="A24" s="170">
        <v>21</v>
      </c>
      <c r="B24" s="191"/>
      <c r="C24" s="205" t="s">
        <v>128</v>
      </c>
      <c r="D24" s="206">
        <v>38765</v>
      </c>
      <c r="E24" s="207" t="s">
        <v>146</v>
      </c>
      <c r="F24" s="208">
        <v>4</v>
      </c>
      <c r="G24" s="209">
        <v>309043</v>
      </c>
      <c r="H24" s="210">
        <v>40030</v>
      </c>
      <c r="I24" s="192">
        <f t="shared" si="0"/>
        <v>7.7202847864101924</v>
      </c>
    </row>
    <row r="25" spans="1:9" s="158" customFormat="1" ht="18.75" customHeight="1">
      <c r="A25" s="170">
        <v>22</v>
      </c>
      <c r="B25" s="177"/>
      <c r="C25" s="79" t="s">
        <v>126</v>
      </c>
      <c r="D25" s="142">
        <v>38786</v>
      </c>
      <c r="E25" s="163" t="s">
        <v>146</v>
      </c>
      <c r="F25" s="93">
        <v>1</v>
      </c>
      <c r="G25" s="94">
        <v>292389</v>
      </c>
      <c r="H25" s="95">
        <v>34719</v>
      </c>
      <c r="I25" s="85">
        <f t="shared" si="0"/>
        <v>8.4215847230623</v>
      </c>
    </row>
    <row r="26" spans="1:9" s="158" customFormat="1" ht="18.75" customHeight="1">
      <c r="A26" s="170">
        <v>23</v>
      </c>
      <c r="B26" s="177"/>
      <c r="C26" s="79" t="s">
        <v>96</v>
      </c>
      <c r="D26" s="140">
        <v>38751</v>
      </c>
      <c r="E26" s="163" t="s">
        <v>9</v>
      </c>
      <c r="F26" s="87">
        <v>6</v>
      </c>
      <c r="G26" s="88">
        <f>146501+85325+27589+9250+4131+1021</f>
        <v>273817</v>
      </c>
      <c r="H26" s="89">
        <f>15312+9126+3021+1298+698+163</f>
        <v>29618</v>
      </c>
      <c r="I26" s="85">
        <f t="shared" si="0"/>
        <v>9.244952393814572</v>
      </c>
    </row>
    <row r="27" spans="1:9" s="158" customFormat="1" ht="18.75" customHeight="1">
      <c r="A27" s="170">
        <v>24</v>
      </c>
      <c r="B27" s="177"/>
      <c r="C27" s="79" t="s">
        <v>63</v>
      </c>
      <c r="D27" s="140">
        <v>38772</v>
      </c>
      <c r="E27" s="163" t="s">
        <v>9</v>
      </c>
      <c r="F27" s="87">
        <v>3</v>
      </c>
      <c r="G27" s="88">
        <f>151711.5+80204.5+40498</f>
        <v>272414</v>
      </c>
      <c r="H27" s="89">
        <f>20342+10373+5841</f>
        <v>36556</v>
      </c>
      <c r="I27" s="85">
        <f t="shared" si="0"/>
        <v>7.451964109858847</v>
      </c>
    </row>
    <row r="28" spans="1:9" s="158" customFormat="1" ht="18.75" customHeight="1">
      <c r="A28" s="170">
        <v>25</v>
      </c>
      <c r="B28" s="177"/>
      <c r="C28" s="79" t="s">
        <v>133</v>
      </c>
      <c r="D28" s="143">
        <v>38737</v>
      </c>
      <c r="E28" s="163" t="s">
        <v>149</v>
      </c>
      <c r="F28" s="93">
        <v>8</v>
      </c>
      <c r="G28" s="94">
        <v>244303</v>
      </c>
      <c r="H28" s="95">
        <v>29852</v>
      </c>
      <c r="I28" s="85">
        <f t="shared" si="0"/>
        <v>8.183806780115235</v>
      </c>
    </row>
    <row r="29" spans="1:9" s="158" customFormat="1" ht="18.75" customHeight="1">
      <c r="A29" s="170">
        <v>26</v>
      </c>
      <c r="B29" s="177"/>
      <c r="C29" s="171" t="s">
        <v>77</v>
      </c>
      <c r="D29" s="172">
        <v>38758</v>
      </c>
      <c r="E29" s="171" t="s">
        <v>148</v>
      </c>
      <c r="F29" s="173">
        <v>4</v>
      </c>
      <c r="G29" s="183">
        <v>176276</v>
      </c>
      <c r="H29" s="182">
        <v>22959</v>
      </c>
      <c r="I29" s="181">
        <f>G29/H29</f>
        <v>7.677860533995383</v>
      </c>
    </row>
    <row r="30" spans="1:9" s="158" customFormat="1" ht="18.75" customHeight="1">
      <c r="A30" s="170">
        <v>27</v>
      </c>
      <c r="B30" s="177"/>
      <c r="C30" s="79" t="s">
        <v>129</v>
      </c>
      <c r="D30" s="142">
        <v>38765</v>
      </c>
      <c r="E30" s="163" t="s">
        <v>149</v>
      </c>
      <c r="F30" s="93">
        <v>4</v>
      </c>
      <c r="G30" s="94">
        <v>123996</v>
      </c>
      <c r="H30" s="95">
        <v>13083</v>
      </c>
      <c r="I30" s="85">
        <f aca="true" t="shared" si="1" ref="I30:I41">+G30/H30</f>
        <v>9.477642742490255</v>
      </c>
    </row>
    <row r="31" spans="1:9" s="158" customFormat="1" ht="18.75" customHeight="1">
      <c r="A31" s="170">
        <v>28</v>
      </c>
      <c r="B31" s="177"/>
      <c r="C31" s="79" t="s">
        <v>103</v>
      </c>
      <c r="D31" s="140">
        <v>38765</v>
      </c>
      <c r="E31" s="163" t="s">
        <v>7</v>
      </c>
      <c r="F31" s="87">
        <v>4</v>
      </c>
      <c r="G31" s="88">
        <f>62768+32353+12961+8129</f>
        <v>116211</v>
      </c>
      <c r="H31" s="89">
        <f>8337+4470+2425+1438</f>
        <v>16670</v>
      </c>
      <c r="I31" s="85">
        <f t="shared" si="1"/>
        <v>6.97126574685063</v>
      </c>
    </row>
    <row r="32" spans="1:9" s="158" customFormat="1" ht="18.75" customHeight="1">
      <c r="A32" s="170">
        <v>29</v>
      </c>
      <c r="B32" s="177"/>
      <c r="C32" s="79" t="s">
        <v>65</v>
      </c>
      <c r="D32" s="140">
        <v>38758</v>
      </c>
      <c r="E32" s="163" t="s">
        <v>9</v>
      </c>
      <c r="F32" s="87">
        <v>5</v>
      </c>
      <c r="G32" s="88">
        <f>43085.5+25538.5+13529.5+10266+5793</f>
        <v>98212.5</v>
      </c>
      <c r="H32" s="89">
        <f>4921+3009+1674+2167+814</f>
        <v>12585</v>
      </c>
      <c r="I32" s="85">
        <f t="shared" si="1"/>
        <v>7.803933253873659</v>
      </c>
    </row>
    <row r="33" spans="1:9" s="158" customFormat="1" ht="18.75" customHeight="1">
      <c r="A33" s="170">
        <v>30</v>
      </c>
      <c r="B33" s="177"/>
      <c r="C33" s="79" t="s">
        <v>0</v>
      </c>
      <c r="D33" s="140">
        <v>38786</v>
      </c>
      <c r="E33" s="163" t="s">
        <v>11</v>
      </c>
      <c r="F33" s="87">
        <v>1</v>
      </c>
      <c r="G33" s="88">
        <f>94630</f>
        <v>94630</v>
      </c>
      <c r="H33" s="89">
        <f>12856</f>
        <v>12856</v>
      </c>
      <c r="I33" s="85">
        <f t="shared" si="1"/>
        <v>7.360765401369011</v>
      </c>
    </row>
    <row r="34" spans="1:9" s="158" customFormat="1" ht="18.75" customHeight="1">
      <c r="A34" s="170">
        <v>31</v>
      </c>
      <c r="B34" s="177"/>
      <c r="C34" s="101" t="s">
        <v>142</v>
      </c>
      <c r="D34" s="140">
        <v>38716</v>
      </c>
      <c r="E34" s="165" t="s">
        <v>157</v>
      </c>
      <c r="F34" s="102">
        <v>11</v>
      </c>
      <c r="G34" s="88">
        <f>41335+22428+10569.5+2994.5+6995.5+477+1541+1030+1308+1168.5+974</f>
        <v>90821</v>
      </c>
      <c r="H34" s="89">
        <f>5101+2761+1545+448+1608+159+304+206+436+246+162</f>
        <v>12976</v>
      </c>
      <c r="I34" s="85">
        <f t="shared" si="1"/>
        <v>6.999152281134402</v>
      </c>
    </row>
    <row r="35" spans="1:9" s="158" customFormat="1" ht="18.75" customHeight="1">
      <c r="A35" s="170">
        <v>32</v>
      </c>
      <c r="B35" s="177"/>
      <c r="C35" s="121" t="s">
        <v>1</v>
      </c>
      <c r="D35" s="140">
        <v>38779</v>
      </c>
      <c r="E35" s="164" t="s">
        <v>13</v>
      </c>
      <c r="F35" s="99">
        <v>2</v>
      </c>
      <c r="G35" s="81">
        <v>78282</v>
      </c>
      <c r="H35" s="82">
        <v>9321</v>
      </c>
      <c r="I35" s="85">
        <f t="shared" si="1"/>
        <v>8.398455101383972</v>
      </c>
    </row>
    <row r="36" spans="1:9" s="158" customFormat="1" ht="18.75" customHeight="1">
      <c r="A36" s="170">
        <v>33</v>
      </c>
      <c r="B36" s="177"/>
      <c r="C36" s="109" t="s">
        <v>4</v>
      </c>
      <c r="D36" s="140">
        <v>38779</v>
      </c>
      <c r="E36" s="166" t="s">
        <v>16</v>
      </c>
      <c r="F36" s="86">
        <v>2</v>
      </c>
      <c r="G36" s="96">
        <v>66438.9</v>
      </c>
      <c r="H36" s="97">
        <v>6957</v>
      </c>
      <c r="I36" s="85">
        <f t="shared" si="1"/>
        <v>9.549935316946959</v>
      </c>
    </row>
    <row r="37" spans="1:9" s="158" customFormat="1" ht="18.75" customHeight="1">
      <c r="A37" s="170">
        <v>34</v>
      </c>
      <c r="B37" s="177"/>
      <c r="C37" s="109" t="s">
        <v>78</v>
      </c>
      <c r="D37" s="140">
        <v>38723</v>
      </c>
      <c r="E37" s="166" t="s">
        <v>87</v>
      </c>
      <c r="F37" s="86">
        <v>8</v>
      </c>
      <c r="G37" s="96">
        <v>54031.5</v>
      </c>
      <c r="H37" s="97">
        <v>7290</v>
      </c>
      <c r="I37" s="85">
        <f t="shared" si="1"/>
        <v>7.411728395061728</v>
      </c>
    </row>
    <row r="38" spans="1:9" s="158" customFormat="1" ht="18.75" customHeight="1">
      <c r="A38" s="170">
        <v>35</v>
      </c>
      <c r="B38" s="177"/>
      <c r="C38" s="101" t="s">
        <v>140</v>
      </c>
      <c r="D38" s="140">
        <v>38744</v>
      </c>
      <c r="E38" s="165" t="s">
        <v>154</v>
      </c>
      <c r="F38" s="102">
        <v>6</v>
      </c>
      <c r="G38" s="88">
        <f>23060.5+7183+3670+700+2376+2273</f>
        <v>39262.5</v>
      </c>
      <c r="H38" s="89">
        <f>2772+1034+467+35+792+451</f>
        <v>5551</v>
      </c>
      <c r="I38" s="85">
        <f t="shared" si="1"/>
        <v>7.073049900918753</v>
      </c>
    </row>
    <row r="39" spans="1:9" s="156" customFormat="1" ht="18.75" customHeight="1">
      <c r="A39" s="170">
        <v>36</v>
      </c>
      <c r="B39" s="178"/>
      <c r="C39" s="109" t="s">
        <v>18</v>
      </c>
      <c r="D39" s="141">
        <v>38786</v>
      </c>
      <c r="E39" s="166" t="s">
        <v>25</v>
      </c>
      <c r="F39" s="86">
        <v>1</v>
      </c>
      <c r="G39" s="96">
        <v>30566</v>
      </c>
      <c r="H39" s="97">
        <v>3413</v>
      </c>
      <c r="I39" s="85">
        <f t="shared" si="1"/>
        <v>8.955757398183417</v>
      </c>
    </row>
    <row r="40" spans="1:9" ht="18.75" customHeight="1">
      <c r="A40" s="170">
        <v>37</v>
      </c>
      <c r="B40" s="179"/>
      <c r="C40" s="101" t="s">
        <v>141</v>
      </c>
      <c r="D40" s="140">
        <v>38758</v>
      </c>
      <c r="E40" s="165" t="s">
        <v>155</v>
      </c>
      <c r="F40" s="102">
        <v>5</v>
      </c>
      <c r="G40" s="88">
        <f>12456+7990+4147+1031+2942.5</f>
        <v>28566.5</v>
      </c>
      <c r="H40" s="89">
        <f>1552+1090+669+166+430</f>
        <v>3907</v>
      </c>
      <c r="I40" s="85">
        <f t="shared" si="1"/>
        <v>7.311620168927566</v>
      </c>
    </row>
    <row r="41" spans="1:9" ht="18.75" customHeight="1">
      <c r="A41" s="170">
        <v>38</v>
      </c>
      <c r="B41" s="179"/>
      <c r="C41" s="101" t="s">
        <v>138</v>
      </c>
      <c r="D41" s="140">
        <v>38779</v>
      </c>
      <c r="E41" s="165" t="s">
        <v>152</v>
      </c>
      <c r="F41" s="102">
        <v>2</v>
      </c>
      <c r="G41" s="88">
        <f>19635+7029.5</f>
        <v>26664.5</v>
      </c>
      <c r="H41" s="89">
        <f>2548+994</f>
        <v>3542</v>
      </c>
      <c r="I41" s="85">
        <f t="shared" si="1"/>
        <v>7.528091473743648</v>
      </c>
    </row>
    <row r="42" spans="1:9" ht="18.75" customHeight="1">
      <c r="A42" s="170">
        <v>39</v>
      </c>
      <c r="B42" s="179"/>
      <c r="C42" s="171" t="s">
        <v>79</v>
      </c>
      <c r="D42" s="172">
        <v>38751</v>
      </c>
      <c r="E42" s="171" t="s">
        <v>154</v>
      </c>
      <c r="F42" s="173">
        <v>5</v>
      </c>
      <c r="G42" s="183">
        <v>18805</v>
      </c>
      <c r="H42" s="182">
        <v>2360</v>
      </c>
      <c r="I42" s="181">
        <f>G42/H42</f>
        <v>7.968220338983051</v>
      </c>
    </row>
    <row r="43" spans="1:9" ht="18.75" customHeight="1">
      <c r="A43" s="170">
        <v>40</v>
      </c>
      <c r="B43" s="179"/>
      <c r="C43" s="109" t="s">
        <v>97</v>
      </c>
      <c r="D43" s="144">
        <v>38772</v>
      </c>
      <c r="E43" s="166" t="s">
        <v>94</v>
      </c>
      <c r="F43" s="86">
        <v>5</v>
      </c>
      <c r="G43" s="96">
        <v>14874</v>
      </c>
      <c r="H43" s="97">
        <v>1945</v>
      </c>
      <c r="I43" s="85">
        <f>+G43/H43</f>
        <v>7.647300771208227</v>
      </c>
    </row>
    <row r="44" spans="1:9" s="156" customFormat="1" ht="18.75" customHeight="1">
      <c r="A44" s="170">
        <v>41</v>
      </c>
      <c r="B44" s="180"/>
      <c r="C44" s="171" t="s">
        <v>80</v>
      </c>
      <c r="D44" s="172">
        <v>38723</v>
      </c>
      <c r="E44" s="171" t="s">
        <v>84</v>
      </c>
      <c r="F44" s="173">
        <v>5</v>
      </c>
      <c r="G44" s="183">
        <v>12260</v>
      </c>
      <c r="H44" s="182">
        <v>1718</v>
      </c>
      <c r="I44" s="181">
        <f>G44/H44</f>
        <v>7.136204889406287</v>
      </c>
    </row>
    <row r="45" spans="1:9" ht="18.75" customHeight="1">
      <c r="A45" s="170">
        <v>42</v>
      </c>
      <c r="B45" s="179"/>
      <c r="C45" s="101" t="s">
        <v>137</v>
      </c>
      <c r="D45" s="140">
        <v>38779</v>
      </c>
      <c r="E45" s="165" t="s">
        <v>151</v>
      </c>
      <c r="F45" s="102">
        <v>1</v>
      </c>
      <c r="G45" s="88">
        <f>9397.5</f>
        <v>9397.5</v>
      </c>
      <c r="H45" s="89">
        <f>1039</f>
        <v>1039</v>
      </c>
      <c r="I45" s="85">
        <f>+G45/H45</f>
        <v>9.04475457170356</v>
      </c>
    </row>
    <row r="46" spans="1:9" ht="18.75" customHeight="1">
      <c r="A46" s="170">
        <v>43</v>
      </c>
      <c r="B46" s="179"/>
      <c r="C46" s="122" t="s">
        <v>159</v>
      </c>
      <c r="D46" s="140">
        <v>38786</v>
      </c>
      <c r="E46" s="163" t="s">
        <v>160</v>
      </c>
      <c r="F46" s="80">
        <v>1</v>
      </c>
      <c r="G46" s="88">
        <v>7742</v>
      </c>
      <c r="H46" s="89">
        <v>929</v>
      </c>
      <c r="I46" s="85">
        <f>+G46/H46</f>
        <v>8.333692142088267</v>
      </c>
    </row>
    <row r="47" spans="1:9" ht="18.75" customHeight="1">
      <c r="A47" s="170">
        <v>44</v>
      </c>
      <c r="B47" s="184"/>
      <c r="C47" s="185" t="s">
        <v>81</v>
      </c>
      <c r="D47" s="186">
        <v>38758</v>
      </c>
      <c r="E47" s="185" t="s">
        <v>85</v>
      </c>
      <c r="F47" s="187">
        <v>4</v>
      </c>
      <c r="G47" s="188">
        <v>4970</v>
      </c>
      <c r="H47" s="189">
        <v>841</v>
      </c>
      <c r="I47" s="190">
        <f>G47/H47</f>
        <v>5.909631391200951</v>
      </c>
    </row>
    <row r="48" spans="2:9" ht="15.75" thickBot="1">
      <c r="B48" s="212"/>
      <c r="C48" s="213"/>
      <c r="D48" s="214"/>
      <c r="E48" s="214"/>
      <c r="F48" s="213"/>
      <c r="G48" s="215">
        <f>SUM(G5:G47)</f>
        <v>44561793.62</v>
      </c>
      <c r="H48" s="216">
        <f>SUM(H5:H47)</f>
        <v>6400039</v>
      </c>
      <c r="I48" s="217">
        <f>G48/H48</f>
        <v>6.962737823941385</v>
      </c>
    </row>
  </sheetData>
  <mergeCells count="7">
    <mergeCell ref="B1:I1"/>
    <mergeCell ref="E2:E3"/>
    <mergeCell ref="C2:C3"/>
    <mergeCell ref="D2:D3"/>
    <mergeCell ref="F2:F3"/>
    <mergeCell ref="G2:H2"/>
    <mergeCell ref="I2:I3"/>
  </mergeCells>
  <printOptions/>
  <pageMargins left="0.7480314960629921" right="0.7480314960629921" top="0.984251968503937" bottom="0.984251968503937" header="0.5118110236220472" footer="0.5118110236220472"/>
  <pageSetup orientation="portrait"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Elyetistiren</dc:creator>
  <cp:keywords/>
  <dc:description/>
  <cp:lastModifiedBy>sadi</cp:lastModifiedBy>
  <cp:lastPrinted>2006-03-17T20:14:32Z</cp:lastPrinted>
  <dcterms:created xsi:type="dcterms:W3CDTF">2006-03-17T12:24:26Z</dcterms:created>
  <dcterms:modified xsi:type="dcterms:W3CDTF">2006-03-17T22:12:20Z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2046748808</vt:i4>
  </property>
  <property fmtid="{D5CDD505-2E9C-101B-9397-08002B2CF9AE}" pid="3" name="_EmailSubject">
    <vt:lpwstr>WB Weekly Box Office Report</vt:lpwstr>
  </property>
  <property fmtid="{D5CDD505-2E9C-101B-9397-08002B2CF9AE}" pid="4" name="_AuthorEmail">
    <vt:lpwstr>Gokhan.Elyetistiren@warnerbros.com</vt:lpwstr>
  </property>
  <property fmtid="{D5CDD505-2E9C-101B-9397-08002B2CF9AE}" pid="5" name="_AuthorEmailDisplayName">
    <vt:lpwstr>Elyetistiren, Gokhan</vt:lpwstr>
  </property>
  <property fmtid="{D5CDD505-2E9C-101B-9397-08002B2CF9AE}" pid="6" name="_ReviewingToolsShownOnce">
    <vt:lpwstr/>
  </property>
</Properties>
</file>