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840" windowHeight="12270" activeTab="0"/>
  </bookViews>
  <sheets>
    <sheet name="06 Jan 06 - 12 Jan 06 (WK 02)" sheetId="1" r:id="rId1"/>
    <sheet name="30 Dec 05 - 12 Jan 06 (ALL 02)" sheetId="2" r:id="rId2"/>
  </sheets>
  <definedNames>
    <definedName name="ADM" localSheetId="1">'30 Dec 05 - 12 Jan 06 (ALL 02)'!$J$4</definedName>
    <definedName name="ADM">#REF!</definedName>
    <definedName name="ADM_TOTAL" localSheetId="1">'30 Dec 05 - 12 Jan 06 (ALL 02)'!$J$12</definedName>
    <definedName name="ADM_TOTAL">#REF!</definedName>
    <definedName name="ADM20" localSheetId="1">'30 Dec 05 - 12 Jan 06 (ALL 02)'!#REF!</definedName>
    <definedName name="ADM20">#REF!</definedName>
    <definedName name="DIST" localSheetId="1">'30 Dec 05 - 12 Jan 06 (ALL 02)'!$D$4</definedName>
    <definedName name="DIST">#REF!</definedName>
    <definedName name="DIST_TOTAL" localSheetId="1">'30 Dec 05 - 12 Jan 06 (ALL 02)'!$D$12</definedName>
    <definedName name="DIST_TOTAL">#REF!</definedName>
    <definedName name="DIST20" localSheetId="1">'30 Dec 05 - 12 Jan 06 (ALL 02)'!#REF!</definedName>
    <definedName name="DIST20">#REF!</definedName>
    <definedName name="GBO" localSheetId="1">'30 Dec 05 - 12 Jan 06 (ALL 02)'!$I$4</definedName>
    <definedName name="GBO">#REF!</definedName>
    <definedName name="GBO_TOTAL" localSheetId="1">'30 Dec 05 - 12 Jan 06 (ALL 02)'!$I$12</definedName>
    <definedName name="GBO_TOTAL">#REF!</definedName>
    <definedName name="GBO20" localSheetId="1">'30 Dec 05 - 12 Jan 06 (ALL 02)'!#REF!</definedName>
    <definedName name="GBO20">#REF!</definedName>
    <definedName name="_xlnm.Print_Titles" localSheetId="0">'06 Jan 06 - 12 Jan 06 (WK 02)'!$1:$4</definedName>
    <definedName name="_xlnm.Print_Titles" localSheetId="1">'30 Dec 05 - 12 Jan 06 (ALL 02)'!$1:$4</definedName>
    <definedName name="SB" localSheetId="1">'30 Dec 05 - 12 Jan 06 (ALL 02)'!$A$4</definedName>
    <definedName name="SB">#REF!</definedName>
    <definedName name="SS" localSheetId="1">'30 Dec 05 - 12 Jan 06 (ALL 02)'!$K$11</definedName>
    <definedName name="SS">#REF!</definedName>
    <definedName name="WEADM" localSheetId="0">'06 Jan 06 - 12 Jan 06 (WK 02)'!$J$4</definedName>
    <definedName name="WEADM">#REF!</definedName>
    <definedName name="WEADM_TOTAL" localSheetId="0">'06 Jan 06 - 12 Jan 06 (WK 02)'!$J$39</definedName>
    <definedName name="WEADM_TOTAL">#REF!</definedName>
    <definedName name="WEDIST" localSheetId="0">'06 Jan 06 - 12 Jan 06 (WK 02)'!$D$4</definedName>
    <definedName name="WEDIST">#REF!</definedName>
    <definedName name="WEDIST_TOTAL" localSheetId="0">'06 Jan 06 - 12 Jan 06 (WK 02)'!$D$39</definedName>
    <definedName name="WEDIST_TOTAL">#REF!</definedName>
    <definedName name="WESB" localSheetId="0">'06 Jan 06 - 12 Jan 06 (WK 02)'!$A$4</definedName>
    <definedName name="WESB">#REF!</definedName>
    <definedName name="WESS" localSheetId="0">'06 Jan 06 - 12 Jan 06 (WK 02)'!#REF!</definedName>
    <definedName name="WESS">#REF!</definedName>
  </definedNames>
  <calcPr fullCalcOnLoad="1"/>
</workbook>
</file>

<file path=xl/sharedStrings.xml><?xml version="1.0" encoding="utf-8"?>
<sst xmlns="http://schemas.openxmlformats.org/spreadsheetml/2006/main" count="186" uniqueCount="95">
  <si>
    <r>
      <t xml:space="preserve">TURKEY WEEKLY BOX OFFICE REPORT
</t>
    </r>
    <r>
      <rPr>
        <sz val="16"/>
        <color indexed="9"/>
        <rFont val="Albertus Extra Bold"/>
        <family val="2"/>
      </rPr>
      <t>06 JAN '06 ~ 12 JAN '06</t>
    </r>
  </si>
  <si>
    <t>T I T L E</t>
  </si>
  <si>
    <t>DISTRIBUTOR</t>
  </si>
  <si>
    <t>COMPANY</t>
  </si>
  <si>
    <t>RELEASE DATE</t>
  </si>
  <si>
    <t>WEEKS IN REL</t>
  </si>
  <si>
    <t># OF SCR</t>
  </si>
  <si>
    <t>THIS WEEK</t>
  </si>
  <si>
    <t xml:space="preserve">         CUMULATIVE  </t>
  </si>
  <si>
    <t>AVG.TICKET PRICE</t>
  </si>
  <si>
    <t>G.B.O. YTL</t>
  </si>
  <si>
    <t>ADMISSION</t>
  </si>
  <si>
    <t>HABABAM SINIFI 3½</t>
  </si>
  <si>
    <t>OZEN</t>
  </si>
  <si>
    <t>ARZU - FIDA</t>
  </si>
  <si>
    <t>ORGANIZE ISLER</t>
  </si>
  <si>
    <t>KENDA</t>
  </si>
  <si>
    <t>BKM</t>
  </si>
  <si>
    <t>KELOGLAN KARA PRENS'E KARSI</t>
  </si>
  <si>
    <t>ENERGY</t>
  </si>
  <si>
    <t>BABAM VE OGLUM</t>
  </si>
  <si>
    <t>AVSAR</t>
  </si>
  <si>
    <t>KING KONG</t>
  </si>
  <si>
    <t>UIP</t>
  </si>
  <si>
    <t>UNIVERSAL</t>
  </si>
  <si>
    <t>ZATHURA</t>
  </si>
  <si>
    <t>WB</t>
  </si>
  <si>
    <t>COLUMBIA</t>
  </si>
  <si>
    <t>SPY KIDS 3D : GAME OVER</t>
  </si>
  <si>
    <t>MARS</t>
  </si>
  <si>
    <t>CHICKEN LITTLE</t>
  </si>
  <si>
    <t>BUENA VISTA</t>
  </si>
  <si>
    <t>VOKSNE MENNESKER (DARK HORSE)</t>
  </si>
  <si>
    <t>BIR FILM</t>
  </si>
  <si>
    <t>TRUST</t>
  </si>
  <si>
    <t>RED SHOES</t>
  </si>
  <si>
    <t>CINECLICK</t>
  </si>
  <si>
    <t>HARRY POTTER 4</t>
  </si>
  <si>
    <t>WARNER BROS.</t>
  </si>
  <si>
    <t>EXORCISM OF EMILY ROSE</t>
  </si>
  <si>
    <t>CONEJO EN LA LUNA (RABBIT ON THE MOON)</t>
  </si>
  <si>
    <t>LIMON - CAPITOL</t>
  </si>
  <si>
    <t>WEDDING DATE</t>
  </si>
  <si>
    <t>35 mm</t>
  </si>
  <si>
    <t>HISTORY OF VIOLENCE</t>
  </si>
  <si>
    <t>PRA</t>
  </si>
  <si>
    <t>BROTHERS GRIMM</t>
  </si>
  <si>
    <t>FILMPOP</t>
  </si>
  <si>
    <t>TALE OF TWO SISTERS, A</t>
  </si>
  <si>
    <t>FLIGHT PLAN</t>
  </si>
  <si>
    <t>TUREV</t>
  </si>
  <si>
    <t>CAMERART</t>
  </si>
  <si>
    <t>KISS KISS BANG BANG</t>
  </si>
  <si>
    <t>MASKELI BESLER</t>
  </si>
  <si>
    <t>WALLACE AND GROMIT</t>
  </si>
  <si>
    <t>CUORE SACRO</t>
  </si>
  <si>
    <t>AFS</t>
  </si>
  <si>
    <t>DONGEL KARHANESI</t>
  </si>
  <si>
    <t>MEDYAVIZYON</t>
  </si>
  <si>
    <t>M.VIZYON - REPLIK</t>
  </si>
  <si>
    <t>CAVE, THE</t>
  </si>
  <si>
    <t>LAKESHORE</t>
  </si>
  <si>
    <t>LES FILS DU VENT</t>
  </si>
  <si>
    <t>TF1</t>
  </si>
  <si>
    <t>MADAGASCAR</t>
  </si>
  <si>
    <t>DREAMWORKS</t>
  </si>
  <si>
    <t>LES EGARES (STRAYED)</t>
  </si>
  <si>
    <t>SKELETON KEY</t>
  </si>
  <si>
    <t>STRAY DOGS</t>
  </si>
  <si>
    <t>LIMON - WILD BUNCH</t>
  </si>
  <si>
    <t>GAUMONT</t>
  </si>
  <si>
    <t>IMAM, THE</t>
  </si>
  <si>
    <t>MARMARA</t>
  </si>
  <si>
    <t>MILLIONS</t>
  </si>
  <si>
    <t>PATHE</t>
  </si>
  <si>
    <t>BOW, THE</t>
  </si>
  <si>
    <t>TOTAL</t>
  </si>
  <si>
    <t>LAST WEEK</t>
  </si>
  <si>
    <t>CHANGE</t>
  </si>
  <si>
    <t>SAME PERIOD LAST YEAR (07 JAN '05 - 13 JAN '05)</t>
  </si>
  <si>
    <t xml:space="preserve"> b/(w) than last year</t>
  </si>
  <si>
    <t>DISTRIBUTOR TOTALS (ADMS)</t>
  </si>
  <si>
    <t>OTHERS</t>
  </si>
  <si>
    <t>DISTRIBUT0R SHARES</t>
  </si>
  <si>
    <t>DISTRIBUTOR SHARES                                                           SAME PERIOD LAST YEAR</t>
  </si>
  <si>
    <t>Bu rapor; 35 Milim, Avşar Film, Bir Film, Chantier, Kenda, Medyavizyon, Özen Film, Pinema, Sir Film, UIP, Umut Sanat ve Warner Bros.'un 
sağlamış olduğu bilgiler doğrultusunda hazırlanmıştır.</t>
  </si>
  <si>
    <r>
      <t>TURKEY ANNUAL BOX OFFICE REPORT</t>
    </r>
    <r>
      <rPr>
        <sz val="26"/>
        <color indexed="9"/>
        <rFont val="Albertus Extra Bold"/>
        <family val="2"/>
      </rPr>
      <t xml:space="preserve">
</t>
    </r>
    <r>
      <rPr>
        <sz val="16"/>
        <color indexed="9"/>
        <rFont val="Albertus Extra Bold"/>
        <family val="2"/>
      </rPr>
      <t>30 DEC '05 ~ 12 JAN '06</t>
    </r>
  </si>
  <si>
    <t># OF
PRINTS</t>
  </si>
  <si>
    <t>WEEK IN REL</t>
  </si>
  <si>
    <t>SAME PERIOD LAST YEAR</t>
  </si>
  <si>
    <t># OF FILMS</t>
  </si>
  <si>
    <t>AFTER  INFLATIONARY ADJUSTMENT</t>
  </si>
  <si>
    <t>INFLATION %</t>
  </si>
  <si>
    <t>TOP 20 PICTURES</t>
  </si>
  <si>
    <t>Bu rapor; 35 Milim, Avşar Film, Bir Film, Chantier, Kenda, Medyavizyon, Özen Film, Pinema, Sır Film, UIP, Umut Sanat ve Warner Bros.'un
sağlamış olduğu bilgiler doğrultusunda hazırlanmıştır.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</si>
</sst>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/dd/yy"/>
    <numFmt numFmtId="173" formatCode="_(* #,##0_);_(* \(#,##0\);_(* &quot;-&quot;??_);_(@_)"/>
    <numFmt numFmtId="174" formatCode="dd\-mmm\-yy_)"/>
    <numFmt numFmtId="175" formatCode="_-* #,##0\ _T_L_-;\-* #,##0\ _T_L_-;_-* &quot;-&quot;??\ _T_L_-;_-@_-"/>
    <numFmt numFmtId="176" formatCode="#,##0\ \ "/>
    <numFmt numFmtId="177" formatCode="\%0.00"/>
    <numFmt numFmtId="178" formatCode="%\ 0.00"/>
    <numFmt numFmtId="179" formatCode="\%\ 0.00"/>
    <numFmt numFmtId="180" formatCode="%\ 0.00\ \ "/>
    <numFmt numFmtId="181" formatCode="\%0"/>
    <numFmt numFmtId="182" formatCode="%\ 0"/>
    <numFmt numFmtId="183" formatCode="\%\ 0"/>
    <numFmt numFmtId="184" formatCode="#,##0_);\(#,##0\)"/>
    <numFmt numFmtId="185" formatCode="_-* #,##0.000\ _T_L_-;\-* #,##0.000\ _T_L_-;_-* &quot;-&quot;??\ _T_L_-;_-@_-"/>
    <numFmt numFmtId="186" formatCode="_-* #,##0.0\ _T_L_-;\-* #,##0.0\ _T_L_-;_-* &quot;-&quot;??\ _T_L_-;_-@_-"/>
    <numFmt numFmtId="187" formatCode="[$-41F]dd\ mmmm\ yyyy\ dddd"/>
    <numFmt numFmtId="188" formatCode="m/d/yyyy;@"/>
    <numFmt numFmtId="189" formatCode="#,##0.00\ \ \ "/>
    <numFmt numFmtId="190" formatCode="#,##0.00\ "/>
    <numFmt numFmtId="191" formatCode="#,##0.00\ \ "/>
  </numFmts>
  <fonts count="32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lbertus Extra Bold"/>
      <family val="2"/>
    </font>
    <font>
      <sz val="16"/>
      <color indexed="9"/>
      <name val="Albertus Extra Bold"/>
      <family val="2"/>
    </font>
    <font>
      <sz val="28"/>
      <color indexed="9"/>
      <name val="Albertus Extra Bold"/>
      <family val="2"/>
    </font>
    <font>
      <sz val="2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Impact"/>
      <family val="2"/>
    </font>
    <font>
      <sz val="8"/>
      <name val="Impact"/>
      <family val="2"/>
    </font>
    <font>
      <sz val="9"/>
      <name val="Times New Roman"/>
      <family val="1"/>
    </font>
    <font>
      <sz val="9"/>
      <name val="Albertus Extra Bold"/>
      <family val="2"/>
    </font>
    <font>
      <sz val="8"/>
      <color indexed="9"/>
      <name val="Albertus Extra Bold"/>
      <family val="2"/>
    </font>
    <font>
      <sz val="10"/>
      <name val="Impact"/>
      <family val="2"/>
    </font>
    <font>
      <sz val="10"/>
      <name val="Century Gothic"/>
      <family val="2"/>
    </font>
    <font>
      <sz val="10"/>
      <name val="Trebuchet MS"/>
      <family val="2"/>
    </font>
    <font>
      <sz val="11"/>
      <name val="Albertus Extra Bold"/>
      <family val="2"/>
    </font>
    <font>
      <b/>
      <sz val="11"/>
      <name val="Times New Roman"/>
      <family val="1"/>
    </font>
    <font>
      <sz val="11"/>
      <color indexed="9"/>
      <name val="Albertus Extra Bold"/>
      <family val="2"/>
    </font>
    <font>
      <sz val="10"/>
      <color indexed="9"/>
      <name val="Albertus Extra Bold"/>
      <family val="2"/>
    </font>
    <font>
      <sz val="9"/>
      <color indexed="9"/>
      <name val="Albertus Extra Bold"/>
      <family val="2"/>
    </font>
    <font>
      <sz val="11"/>
      <name val="Arial"/>
      <family val="0"/>
    </font>
    <font>
      <b/>
      <sz val="8"/>
      <name val="Albertus Extra Bold"/>
      <family val="2"/>
    </font>
    <font>
      <sz val="10"/>
      <name val="Albertus Extra Bold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Impact"/>
      <family val="2"/>
    </font>
    <font>
      <b/>
      <sz val="10"/>
      <name val="Times New Roman"/>
      <family val="1"/>
    </font>
    <font>
      <sz val="8"/>
      <name val="Century Gothic"/>
      <family val="2"/>
    </font>
    <font>
      <b/>
      <sz val="10"/>
      <color indexed="9"/>
      <name val="Albertus Extra Bold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9"/>
      </left>
      <right style="dashed">
        <color indexed="9"/>
      </right>
      <top style="medium"/>
      <bottom style="thin"/>
    </border>
    <border>
      <left style="dashed">
        <color indexed="9"/>
      </left>
      <right style="thin">
        <color indexed="9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  <protection/>
    </xf>
    <xf numFmtId="176" fontId="12" fillId="0" borderId="7" xfId="0" applyNumberFormat="1" applyFont="1" applyBorder="1" applyAlignment="1" applyProtection="1">
      <alignment horizontal="center" vertical="center"/>
      <protection/>
    </xf>
    <xf numFmtId="176" fontId="12" fillId="0" borderId="8" xfId="0" applyNumberFormat="1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176" fontId="12" fillId="0" borderId="13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172" fontId="15" fillId="0" borderId="18" xfId="0" applyNumberFormat="1" applyFont="1" applyBorder="1" applyAlignment="1" applyProtection="1">
      <alignment horizontal="center" vertical="center"/>
      <protection/>
    </xf>
    <xf numFmtId="190" fontId="15" fillId="0" borderId="19" xfId="0" applyNumberFormat="1" applyFont="1" applyBorder="1" applyAlignment="1" applyProtection="1">
      <alignment vertical="center"/>
      <protection/>
    </xf>
    <xf numFmtId="176" fontId="15" fillId="0" borderId="20" xfId="0" applyNumberFormat="1" applyFont="1" applyBorder="1" applyAlignment="1" applyProtection="1">
      <alignment vertical="center"/>
      <protection/>
    </xf>
    <xf numFmtId="190" fontId="15" fillId="0" borderId="21" xfId="15" applyNumberFormat="1" applyFont="1" applyBorder="1" applyAlignment="1" applyProtection="1">
      <alignment vertical="center"/>
      <protection/>
    </xf>
    <xf numFmtId="190" fontId="16" fillId="0" borderId="21" xfId="15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 applyProtection="1">
      <alignment horizontal="right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0" fontId="19" fillId="2" borderId="22" xfId="0" applyFont="1" applyFill="1" applyBorder="1" applyAlignment="1" applyProtection="1">
      <alignment horizontal="center"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190" fontId="20" fillId="2" borderId="24" xfId="0" applyNumberFormat="1" applyFont="1" applyFill="1" applyBorder="1" applyAlignment="1" applyProtection="1">
      <alignment vertical="center"/>
      <protection/>
    </xf>
    <xf numFmtId="176" fontId="21" fillId="2" borderId="25" xfId="0" applyNumberFormat="1" applyFont="1" applyFill="1" applyBorder="1" applyAlignment="1" applyProtection="1">
      <alignment vertical="center"/>
      <protection/>
    </xf>
    <xf numFmtId="176" fontId="19" fillId="2" borderId="26" xfId="0" applyNumberFormat="1" applyFont="1" applyFill="1" applyBorder="1" applyAlignment="1" applyProtection="1">
      <alignment vertical="center"/>
      <protection/>
    </xf>
    <xf numFmtId="176" fontId="19" fillId="2" borderId="22" xfId="0" applyNumberFormat="1" applyFont="1" applyFill="1" applyBorder="1" applyAlignment="1" applyProtection="1">
      <alignment vertical="center"/>
      <protection/>
    </xf>
    <xf numFmtId="190" fontId="19" fillId="2" borderId="27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8" xfId="0" applyFont="1" applyBorder="1" applyAlignment="1" applyProtection="1">
      <alignment horizontal="center" vertical="center"/>
      <protection/>
    </xf>
    <xf numFmtId="190" fontId="15" fillId="0" borderId="30" xfId="0" applyNumberFormat="1" applyFont="1" applyBorder="1" applyAlignment="1" applyProtection="1">
      <alignment horizontal="right" vertical="center"/>
      <protection/>
    </xf>
    <xf numFmtId="176" fontId="15" fillId="0" borderId="29" xfId="0" applyNumberFormat="1" applyFont="1" applyBorder="1" applyAlignment="1" applyProtection="1">
      <alignment horizontal="right" vertical="center"/>
      <protection/>
    </xf>
    <xf numFmtId="176" fontId="24" fillId="0" borderId="7" xfId="0" applyNumberFormat="1" applyFont="1" applyBorder="1" applyAlignment="1" applyProtection="1">
      <alignment horizontal="center" vertical="center"/>
      <protection/>
    </xf>
    <xf numFmtId="176" fontId="24" fillId="0" borderId="29" xfId="0" applyNumberFormat="1" applyFont="1" applyBorder="1" applyAlignment="1" applyProtection="1">
      <alignment horizontal="center" vertical="center"/>
      <protection/>
    </xf>
    <xf numFmtId="180" fontId="15" fillId="0" borderId="31" xfId="0" applyNumberFormat="1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190" fontId="15" fillId="0" borderId="13" xfId="0" applyNumberFormat="1" applyFont="1" applyBorder="1" applyAlignment="1" applyProtection="1">
      <alignment horizontal="right" vertical="center"/>
      <protection/>
    </xf>
    <xf numFmtId="176" fontId="15" fillId="0" borderId="33" xfId="0" applyNumberFormat="1" applyFont="1" applyBorder="1" applyAlignment="1" applyProtection="1">
      <alignment horizontal="right" vertical="center"/>
      <protection/>
    </xf>
    <xf numFmtId="176" fontId="24" fillId="0" borderId="35" xfId="21" applyNumberFormat="1" applyFont="1" applyBorder="1" applyAlignment="1" applyProtection="1">
      <alignment horizontal="center" vertical="center"/>
      <protection/>
    </xf>
    <xf numFmtId="176" fontId="24" fillId="0" borderId="33" xfId="21" applyNumberFormat="1" applyFont="1" applyBorder="1" applyAlignment="1" applyProtection="1">
      <alignment horizontal="center" vertical="center"/>
      <protection/>
    </xf>
    <xf numFmtId="180" fontId="15" fillId="0" borderId="36" xfId="21" applyNumberFormat="1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6" fillId="0" borderId="2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176" fontId="26" fillId="0" borderId="37" xfId="0" applyNumberFormat="1" applyFont="1" applyBorder="1" applyAlignment="1" applyProtection="1">
      <alignment vertical="center"/>
      <protection/>
    </xf>
    <xf numFmtId="37" fontId="26" fillId="3" borderId="2" xfId="0" applyNumberFormat="1" applyFont="1" applyFill="1" applyBorder="1" applyAlignment="1" applyProtection="1">
      <alignment vertical="center"/>
      <protection/>
    </xf>
    <xf numFmtId="176" fontId="26" fillId="0" borderId="37" xfId="21" applyNumberFormat="1" applyFont="1" applyBorder="1" applyAlignment="1" applyProtection="1">
      <alignment horizontal="right" vertical="center"/>
      <protection/>
    </xf>
    <xf numFmtId="176" fontId="26" fillId="0" borderId="37" xfId="21" applyNumberFormat="1" applyFont="1" applyBorder="1" applyAlignment="1" applyProtection="1">
      <alignment horizontal="center" vertical="center"/>
      <protection/>
    </xf>
    <xf numFmtId="176" fontId="26" fillId="0" borderId="2" xfId="21" applyNumberFormat="1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4" xfId="0" applyFont="1" applyBorder="1" applyAlignment="1" applyProtection="1">
      <alignment horizontal="center" vertical="center"/>
      <protection/>
    </xf>
    <xf numFmtId="176" fontId="15" fillId="0" borderId="8" xfId="15" applyNumberFormat="1" applyFont="1" applyBorder="1" applyAlignment="1">
      <alignment horizontal="right" vertical="center"/>
    </xf>
    <xf numFmtId="0" fontId="24" fillId="0" borderId="37" xfId="0" applyFont="1" applyBorder="1" applyAlignment="1" applyProtection="1">
      <alignment horizontal="center" vertical="center"/>
      <protection/>
    </xf>
    <xf numFmtId="176" fontId="15" fillId="0" borderId="29" xfId="15" applyNumberFormat="1" applyFont="1" applyBorder="1" applyAlignment="1" applyProtection="1">
      <alignment horizontal="right" vertical="center"/>
      <protection/>
    </xf>
    <xf numFmtId="176" fontId="15" fillId="0" borderId="8" xfId="15" applyNumberFormat="1" applyFont="1" applyBorder="1" applyAlignment="1" applyProtection="1">
      <alignment horizontal="right" vertical="center"/>
      <protection/>
    </xf>
    <xf numFmtId="176" fontId="24" fillId="0" borderId="37" xfId="0" applyNumberFormat="1" applyFont="1" applyBorder="1" applyAlignment="1" applyProtection="1">
      <alignment horizontal="center" vertical="center"/>
      <protection/>
    </xf>
    <xf numFmtId="176" fontId="15" fillId="0" borderId="8" xfId="15" applyNumberFormat="1" applyFont="1" applyBorder="1" applyAlignment="1" applyProtection="1">
      <alignment horizontal="right" vertical="center"/>
      <protection/>
    </xf>
    <xf numFmtId="176" fontId="15" fillId="0" borderId="29" xfId="0" applyNumberFormat="1" applyFont="1" applyBorder="1" applyAlignment="1" applyProtection="1">
      <alignment horizontal="right" vertical="center"/>
      <protection/>
    </xf>
    <xf numFmtId="176" fontId="15" fillId="0" borderId="31" xfId="0" applyNumberFormat="1" applyFont="1" applyBorder="1" applyAlignment="1" applyProtection="1">
      <alignment horizontal="right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180" fontId="15" fillId="0" borderId="11" xfId="21" applyNumberFormat="1" applyFont="1" applyBorder="1" applyAlignment="1">
      <alignment horizontal="right" vertical="center"/>
    </xf>
    <xf numFmtId="0" fontId="24" fillId="0" borderId="38" xfId="0" applyFont="1" applyBorder="1" applyAlignment="1" applyProtection="1">
      <alignment horizontal="center" vertical="center"/>
      <protection/>
    </xf>
    <xf numFmtId="180" fontId="15" fillId="0" borderId="38" xfId="21" applyNumberFormat="1" applyFont="1" applyBorder="1" applyAlignment="1" applyProtection="1">
      <alignment horizontal="right" vertical="center"/>
      <protection/>
    </xf>
    <xf numFmtId="180" fontId="15" fillId="0" borderId="11" xfId="0" applyNumberFormat="1" applyFont="1" applyBorder="1" applyAlignment="1">
      <alignment horizontal="right" vertical="center"/>
    </xf>
    <xf numFmtId="176" fontId="24" fillId="0" borderId="38" xfId="0" applyNumberFormat="1" applyFont="1" applyBorder="1" applyAlignment="1" applyProtection="1">
      <alignment horizontal="center" vertical="center"/>
      <protection/>
    </xf>
    <xf numFmtId="180" fontId="15" fillId="0" borderId="11" xfId="21" applyNumberFormat="1" applyFont="1" applyBorder="1" applyAlignment="1" applyProtection="1">
      <alignment horizontal="right" vertical="center"/>
      <protection/>
    </xf>
    <xf numFmtId="180" fontId="15" fillId="0" borderId="33" xfId="21" applyNumberFormat="1" applyFont="1" applyBorder="1" applyAlignment="1" applyProtection="1">
      <alignment horizontal="right" vertical="center"/>
      <protection/>
    </xf>
    <xf numFmtId="180" fontId="15" fillId="0" borderId="36" xfId="21" applyNumberFormat="1" applyFont="1" applyBorder="1" applyAlignment="1" applyProtection="1">
      <alignment horizontal="right"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10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176" fontId="27" fillId="0" borderId="0" xfId="0" applyNumberFormat="1" applyFont="1" applyBorder="1" applyAlignment="1" applyProtection="1">
      <alignment horizontal="left" vertical="center"/>
      <protection/>
    </xf>
    <xf numFmtId="10" fontId="28" fillId="0" borderId="0" xfId="0" applyNumberFormat="1" applyFont="1" applyBorder="1" applyAlignment="1" applyProtection="1">
      <alignment horizontal="left" vertical="center"/>
      <protection/>
    </xf>
    <xf numFmtId="176" fontId="28" fillId="0" borderId="0" xfId="0" applyNumberFormat="1" applyFont="1" applyBorder="1" applyAlignment="1" applyProtection="1">
      <alignment horizontal="left" vertical="center"/>
      <protection/>
    </xf>
    <xf numFmtId="0" fontId="24" fillId="0" borderId="4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40" xfId="0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14" fillId="0" borderId="41" xfId="0" applyFont="1" applyBorder="1" applyAlignment="1" applyProtection="1">
      <alignment horizontal="center" vertical="center"/>
      <protection/>
    </xf>
    <xf numFmtId="0" fontId="30" fillId="2" borderId="1" xfId="0" applyFont="1" applyFill="1" applyBorder="1" applyAlignment="1" applyProtection="1">
      <alignment horizontal="right" vertical="center"/>
      <protection/>
    </xf>
    <xf numFmtId="190" fontId="19" fillId="2" borderId="24" xfId="0" applyNumberFormat="1" applyFont="1" applyFill="1" applyBorder="1" applyAlignment="1" applyProtection="1">
      <alignment vertical="center"/>
      <protection/>
    </xf>
    <xf numFmtId="176" fontId="19" fillId="2" borderId="25" xfId="0" applyNumberFormat="1" applyFont="1" applyFill="1" applyBorder="1" applyAlignment="1" applyProtection="1">
      <alignment vertical="center"/>
      <protection/>
    </xf>
    <xf numFmtId="190" fontId="19" fillId="2" borderId="3" xfId="0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>
      <alignment vertical="center"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7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190" fontId="15" fillId="0" borderId="42" xfId="0" applyNumberFormat="1" applyFont="1" applyBorder="1" applyAlignment="1" applyProtection="1">
      <alignment vertical="center"/>
      <protection/>
    </xf>
    <xf numFmtId="176" fontId="15" fillId="0" borderId="42" xfId="0" applyNumberFormat="1" applyFont="1" applyBorder="1" applyAlignment="1" applyProtection="1">
      <alignment vertical="center"/>
      <protection/>
    </xf>
    <xf numFmtId="180" fontId="0" fillId="0" borderId="31" xfId="0" applyNumberFormat="1" applyFont="1" applyBorder="1" applyAlignment="1" applyProtection="1">
      <alignment horizontal="right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182" fontId="15" fillId="0" borderId="45" xfId="21" applyNumberFormat="1" applyFont="1" applyBorder="1" applyAlignment="1" applyProtection="1">
      <alignment horizontal="center" vertical="center"/>
      <protection/>
    </xf>
    <xf numFmtId="182" fontId="15" fillId="0" borderId="46" xfId="21" applyNumberFormat="1" applyFont="1" applyBorder="1" applyAlignment="1" applyProtection="1">
      <alignment horizontal="center" vertical="center"/>
      <protection/>
    </xf>
    <xf numFmtId="180" fontId="0" fillId="0" borderId="47" xfId="21" applyNumberFormat="1" applyFont="1" applyBorder="1" applyAlignment="1" applyProtection="1">
      <alignment horizontal="right" vertical="center"/>
      <protection/>
    </xf>
    <xf numFmtId="0" fontId="24" fillId="0" borderId="35" xfId="0" applyFont="1" applyBorder="1" applyAlignment="1" applyProtection="1">
      <alignment horizontal="right" vertical="center"/>
      <protection/>
    </xf>
    <xf numFmtId="0" fontId="24" fillId="0" borderId="33" xfId="0" applyFont="1" applyBorder="1" applyAlignment="1" applyProtection="1">
      <alignment horizontal="right" vertical="center"/>
      <protection/>
    </xf>
    <xf numFmtId="175" fontId="15" fillId="0" borderId="34" xfId="15" applyNumberFormat="1" applyFont="1" applyBorder="1" applyAlignment="1" applyProtection="1">
      <alignment horizontal="left" vertical="center"/>
      <protection/>
    </xf>
    <xf numFmtId="182" fontId="16" fillId="0" borderId="48" xfId="21" applyNumberFormat="1" applyFont="1" applyBorder="1" applyAlignment="1" applyProtection="1">
      <alignment horizontal="center" vertical="center"/>
      <protection/>
    </xf>
    <xf numFmtId="182" fontId="31" fillId="0" borderId="33" xfId="21" applyNumberFormat="1" applyFont="1" applyBorder="1" applyAlignment="1" applyProtection="1">
      <alignment horizontal="center" vertical="center"/>
      <protection/>
    </xf>
    <xf numFmtId="180" fontId="0" fillId="0" borderId="36" xfId="21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center" vertical="center"/>
    </xf>
    <xf numFmtId="176" fontId="26" fillId="0" borderId="0" xfId="21" applyNumberFormat="1" applyFont="1" applyBorder="1" applyAlignment="1" applyProtection="1">
      <alignment horizontal="right" vertical="center"/>
      <protection/>
    </xf>
    <xf numFmtId="176" fontId="26" fillId="0" borderId="0" xfId="21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7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176" fontId="15" fillId="0" borderId="6" xfId="0" applyNumberFormat="1" applyFont="1" applyBorder="1" applyAlignment="1" applyProtection="1">
      <alignment vertical="center"/>
      <protection/>
    </xf>
    <xf numFmtId="178" fontId="15" fillId="0" borderId="9" xfId="21" applyNumberFormat="1" applyFont="1" applyBorder="1" applyAlignment="1" applyProtection="1">
      <alignment horizontal="center" vertical="center"/>
      <protection/>
    </xf>
    <xf numFmtId="0" fontId="24" fillId="0" borderId="4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176" fontId="15" fillId="0" borderId="46" xfId="0" applyNumberFormat="1" applyFont="1" applyBorder="1" applyAlignment="1" applyProtection="1">
      <alignment vertical="center"/>
      <protection/>
    </xf>
    <xf numFmtId="178" fontId="15" fillId="0" borderId="47" xfId="21" applyNumberFormat="1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76" fontId="15" fillId="0" borderId="12" xfId="0" applyNumberFormat="1" applyFont="1" applyBorder="1" applyAlignment="1" applyProtection="1">
      <alignment vertical="center"/>
      <protection/>
    </xf>
    <xf numFmtId="178" fontId="15" fillId="0" borderId="40" xfId="21" applyNumberFormat="1" applyFont="1" applyBorder="1" applyAlignment="1" applyProtection="1">
      <alignment horizontal="center" vertical="center"/>
      <protection/>
    </xf>
    <xf numFmtId="0" fontId="24" fillId="0" borderId="5" xfId="0" applyFont="1" applyBorder="1" applyAlignment="1">
      <alignment horizontal="center" vertical="center"/>
    </xf>
    <xf numFmtId="176" fontId="20" fillId="2" borderId="49" xfId="0" applyNumberFormat="1" applyFont="1" applyFill="1" applyBorder="1" applyAlignment="1" applyProtection="1">
      <alignment horizontal="center" vertical="center"/>
      <protection/>
    </xf>
    <xf numFmtId="176" fontId="20" fillId="2" borderId="50" xfId="0" applyNumberFormat="1" applyFont="1" applyFill="1" applyBorder="1" applyAlignment="1" applyProtection="1">
      <alignment horizontal="center" vertical="center"/>
      <protection/>
    </xf>
    <xf numFmtId="176" fontId="20" fillId="2" borderId="51" xfId="0" applyNumberFormat="1" applyFont="1" applyFill="1" applyBorder="1" applyAlignment="1" applyProtection="1">
      <alignment vertical="center"/>
      <protection/>
    </xf>
    <xf numFmtId="176" fontId="20" fillId="2" borderId="52" xfId="0" applyNumberFormat="1" applyFont="1" applyFill="1" applyBorder="1" applyAlignment="1" applyProtection="1">
      <alignment vertical="center"/>
      <protection/>
    </xf>
    <xf numFmtId="176" fontId="20" fillId="2" borderId="53" xfId="21" applyNumberFormat="1" applyFont="1" applyFill="1" applyBorder="1" applyAlignment="1" applyProtection="1">
      <alignment horizontal="center" vertical="center"/>
      <protection/>
    </xf>
    <xf numFmtId="0" fontId="24" fillId="0" borderId="44" xfId="0" applyFont="1" applyBorder="1" applyAlignment="1">
      <alignment horizontal="center" vertical="center"/>
    </xf>
    <xf numFmtId="0" fontId="24" fillId="0" borderId="54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4" fillId="0" borderId="55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178" fontId="15" fillId="0" borderId="15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11111111111111111111207">
    <pageSetUpPr fitToPage="1"/>
  </sheetPr>
  <dimension ref="A1:T50"/>
  <sheetViews>
    <sheetView showGridLines="0" tabSelected="1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1.7109375" style="18" customWidth="1"/>
    <col min="3" max="3" width="34.28125" style="18" customWidth="1"/>
    <col min="4" max="4" width="12.8515625" style="51" customWidth="1"/>
    <col min="5" max="5" width="16.28125" style="51" customWidth="1"/>
    <col min="6" max="6" width="9.28125" style="18" customWidth="1"/>
    <col min="7" max="7" width="8.7109375" style="18" customWidth="1"/>
    <col min="8" max="8" width="7.7109375" style="18" customWidth="1"/>
    <col min="9" max="9" width="16.7109375" style="53" customWidth="1"/>
    <col min="10" max="10" width="11.57421875" style="18" customWidth="1"/>
    <col min="11" max="11" width="15.8515625" style="53" customWidth="1"/>
    <col min="12" max="12" width="12.7109375" style="53" customWidth="1"/>
    <col min="13" max="13" width="10.7109375" style="53" customWidth="1"/>
    <col min="14" max="14" width="11.7109375" style="18" customWidth="1"/>
    <col min="15" max="16384" width="9.140625" style="18" customWidth="1"/>
  </cols>
  <sheetData>
    <row r="1" spans="1:20" s="5" customFormat="1" ht="90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T1" s="6"/>
    </row>
    <row r="2" spans="1:13" s="10" customFormat="1" ht="4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2:13" ht="15.75" customHeight="1">
      <c r="B3" s="11"/>
      <c r="C3" s="12" t="s">
        <v>1</v>
      </c>
      <c r="D3" s="13" t="s">
        <v>2</v>
      </c>
      <c r="E3" s="13" t="s">
        <v>3</v>
      </c>
      <c r="F3" s="14" t="s">
        <v>4</v>
      </c>
      <c r="G3" s="14" t="s">
        <v>5</v>
      </c>
      <c r="H3" s="14" t="s">
        <v>6</v>
      </c>
      <c r="I3" s="15" t="s">
        <v>7</v>
      </c>
      <c r="J3" s="16"/>
      <c r="K3" s="15" t="s">
        <v>8</v>
      </c>
      <c r="L3" s="16"/>
      <c r="M3" s="17" t="s">
        <v>9</v>
      </c>
    </row>
    <row r="4" spans="1:13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10</v>
      </c>
      <c r="J4" s="25" t="s">
        <v>11</v>
      </c>
      <c r="K4" s="24" t="s">
        <v>10</v>
      </c>
      <c r="L4" s="26" t="s">
        <v>11</v>
      </c>
      <c r="M4" s="27"/>
    </row>
    <row r="5" spans="1:13" ht="15.75" customHeight="1">
      <c r="A5" s="28">
        <f aca="true" t="shared" si="0" ref="A5:A38">ROW()-4</f>
        <v>1</v>
      </c>
      <c r="B5" s="29"/>
      <c r="C5" s="30" t="s">
        <v>12</v>
      </c>
      <c r="D5" s="31" t="s">
        <v>13</v>
      </c>
      <c r="E5" s="32" t="s">
        <v>14</v>
      </c>
      <c r="F5" s="33">
        <v>38723</v>
      </c>
      <c r="G5" s="31">
        <v>1</v>
      </c>
      <c r="H5" s="31">
        <v>280</v>
      </c>
      <c r="I5" s="34">
        <v>5591784</v>
      </c>
      <c r="J5" s="35">
        <v>871283</v>
      </c>
      <c r="K5" s="34">
        <v>5591784</v>
      </c>
      <c r="L5" s="35">
        <v>871283</v>
      </c>
      <c r="M5" s="36">
        <f aca="true" t="shared" si="1" ref="M5:M39">+I5/J5</f>
        <v>6.417873411968327</v>
      </c>
    </row>
    <row r="6" spans="1:13" ht="15.75" customHeight="1">
      <c r="A6" s="28">
        <f t="shared" si="0"/>
        <v>2</v>
      </c>
      <c r="B6" s="29"/>
      <c r="C6" s="30" t="s">
        <v>15</v>
      </c>
      <c r="D6" s="31" t="s">
        <v>16</v>
      </c>
      <c r="E6" s="32" t="s">
        <v>17</v>
      </c>
      <c r="F6" s="33">
        <v>38709</v>
      </c>
      <c r="G6" s="31">
        <v>3</v>
      </c>
      <c r="H6" s="31">
        <v>262</v>
      </c>
      <c r="I6" s="34">
        <v>3169547.5</v>
      </c>
      <c r="J6" s="35">
        <v>448421</v>
      </c>
      <c r="K6" s="34">
        <v>13368038.5</v>
      </c>
      <c r="L6" s="35">
        <v>1944144</v>
      </c>
      <c r="M6" s="37">
        <f t="shared" si="1"/>
        <v>7.068240559652648</v>
      </c>
    </row>
    <row r="7" spans="1:13" ht="15.75" customHeight="1">
      <c r="A7" s="28">
        <f t="shared" si="0"/>
        <v>3</v>
      </c>
      <c r="B7" s="29"/>
      <c r="C7" s="30" t="s">
        <v>18</v>
      </c>
      <c r="D7" s="31" t="s">
        <v>16</v>
      </c>
      <c r="E7" s="32" t="s">
        <v>19</v>
      </c>
      <c r="F7" s="33">
        <v>38723</v>
      </c>
      <c r="G7" s="31">
        <v>1</v>
      </c>
      <c r="H7" s="31">
        <v>289</v>
      </c>
      <c r="I7" s="34">
        <v>2933527.5</v>
      </c>
      <c r="J7" s="35">
        <v>418632</v>
      </c>
      <c r="K7" s="34">
        <v>2933527.5</v>
      </c>
      <c r="L7" s="35">
        <v>418632</v>
      </c>
      <c r="M7" s="37">
        <f t="shared" si="1"/>
        <v>7.007413432322422</v>
      </c>
    </row>
    <row r="8" spans="1:13" ht="15.75" customHeight="1">
      <c r="A8" s="28">
        <f t="shared" si="0"/>
        <v>4</v>
      </c>
      <c r="B8" s="29"/>
      <c r="C8" s="30" t="s">
        <v>20</v>
      </c>
      <c r="D8" s="31" t="s">
        <v>13</v>
      </c>
      <c r="E8" s="32" t="s">
        <v>21</v>
      </c>
      <c r="F8" s="33">
        <v>38674</v>
      </c>
      <c r="G8" s="31">
        <v>8</v>
      </c>
      <c r="H8" s="31">
        <v>93</v>
      </c>
      <c r="I8" s="34">
        <v>1888546</v>
      </c>
      <c r="J8" s="35">
        <v>244832</v>
      </c>
      <c r="K8" s="34">
        <v>15692803</v>
      </c>
      <c r="L8" s="35">
        <v>2147210</v>
      </c>
      <c r="M8" s="36">
        <f t="shared" si="1"/>
        <v>7.713640373807346</v>
      </c>
    </row>
    <row r="9" spans="1:13" ht="15.75" customHeight="1">
      <c r="A9" s="28">
        <f t="shared" si="0"/>
        <v>5</v>
      </c>
      <c r="B9" s="29"/>
      <c r="C9" s="30" t="s">
        <v>22</v>
      </c>
      <c r="D9" s="31" t="s">
        <v>23</v>
      </c>
      <c r="E9" s="32" t="s">
        <v>24</v>
      </c>
      <c r="F9" s="33">
        <v>38702</v>
      </c>
      <c r="G9" s="31">
        <v>4</v>
      </c>
      <c r="H9" s="31">
        <v>124</v>
      </c>
      <c r="I9" s="34">
        <v>346511</v>
      </c>
      <c r="J9" s="35">
        <v>49809</v>
      </c>
      <c r="K9" s="34">
        <v>2988024</v>
      </c>
      <c r="L9" s="35">
        <v>410648</v>
      </c>
      <c r="M9" s="36">
        <f t="shared" si="1"/>
        <v>6.9567949567347265</v>
      </c>
    </row>
    <row r="10" spans="1:13" ht="15.75" customHeight="1">
      <c r="A10" s="28">
        <f t="shared" si="0"/>
        <v>6</v>
      </c>
      <c r="B10" s="29"/>
      <c r="C10" s="30" t="s">
        <v>25</v>
      </c>
      <c r="D10" s="31" t="s">
        <v>26</v>
      </c>
      <c r="E10" s="32" t="s">
        <v>27</v>
      </c>
      <c r="F10" s="33">
        <v>39081</v>
      </c>
      <c r="G10" s="31">
        <v>2</v>
      </c>
      <c r="H10" s="31">
        <v>61</v>
      </c>
      <c r="I10" s="34">
        <v>201798</v>
      </c>
      <c r="J10" s="35">
        <v>27467</v>
      </c>
      <c r="K10" s="34">
        <v>439422</v>
      </c>
      <c r="L10" s="35">
        <v>61351</v>
      </c>
      <c r="M10" s="36">
        <f t="shared" si="1"/>
        <v>7.3469254013907594</v>
      </c>
    </row>
    <row r="11" spans="1:13" ht="15.75" customHeight="1">
      <c r="A11" s="28">
        <f t="shared" si="0"/>
        <v>7</v>
      </c>
      <c r="B11" s="29"/>
      <c r="C11" s="30" t="s">
        <v>28</v>
      </c>
      <c r="D11" s="31" t="s">
        <v>29</v>
      </c>
      <c r="E11" s="32" t="s">
        <v>21</v>
      </c>
      <c r="F11" s="33">
        <v>38723</v>
      </c>
      <c r="G11" s="31">
        <v>10</v>
      </c>
      <c r="H11" s="31">
        <v>1</v>
      </c>
      <c r="I11" s="34">
        <v>86072</v>
      </c>
      <c r="J11" s="35">
        <v>11080</v>
      </c>
      <c r="K11" s="34">
        <v>86072</v>
      </c>
      <c r="L11" s="35">
        <v>11080</v>
      </c>
      <c r="M11" s="36">
        <f t="shared" si="1"/>
        <v>7.768231046931408</v>
      </c>
    </row>
    <row r="12" spans="1:13" ht="15.75" customHeight="1">
      <c r="A12" s="28">
        <f t="shared" si="0"/>
        <v>8</v>
      </c>
      <c r="B12" s="29"/>
      <c r="C12" s="30" t="s">
        <v>30</v>
      </c>
      <c r="D12" s="31" t="s">
        <v>23</v>
      </c>
      <c r="E12" s="32" t="s">
        <v>31</v>
      </c>
      <c r="F12" s="33">
        <v>38695</v>
      </c>
      <c r="G12" s="31">
        <v>5</v>
      </c>
      <c r="H12" s="31">
        <v>41</v>
      </c>
      <c r="I12" s="34">
        <v>61180</v>
      </c>
      <c r="J12" s="35">
        <v>10874</v>
      </c>
      <c r="K12" s="34">
        <v>1739773</v>
      </c>
      <c r="L12" s="35">
        <v>247205</v>
      </c>
      <c r="M12" s="36">
        <f t="shared" si="1"/>
        <v>5.626264484090491</v>
      </c>
    </row>
    <row r="13" spans="1:13" ht="15.75" customHeight="1">
      <c r="A13" s="28">
        <f t="shared" si="0"/>
        <v>9</v>
      </c>
      <c r="B13" s="29"/>
      <c r="C13" s="30" t="s">
        <v>32</v>
      </c>
      <c r="D13" s="31" t="s">
        <v>33</v>
      </c>
      <c r="E13" s="32" t="s">
        <v>34</v>
      </c>
      <c r="F13" s="33">
        <v>38723</v>
      </c>
      <c r="G13" s="31">
        <v>1</v>
      </c>
      <c r="H13" s="31">
        <v>3</v>
      </c>
      <c r="I13" s="34">
        <v>22570</v>
      </c>
      <c r="J13" s="35">
        <v>2787</v>
      </c>
      <c r="K13" s="34">
        <v>22570</v>
      </c>
      <c r="L13" s="35">
        <v>2787</v>
      </c>
      <c r="M13" s="36">
        <f t="shared" si="1"/>
        <v>8.098313598851812</v>
      </c>
    </row>
    <row r="14" spans="1:13" ht="15.75" customHeight="1">
      <c r="A14" s="28">
        <f t="shared" si="0"/>
        <v>10</v>
      </c>
      <c r="B14" s="29"/>
      <c r="C14" s="30" t="s">
        <v>35</v>
      </c>
      <c r="D14" s="31" t="s">
        <v>33</v>
      </c>
      <c r="E14" s="32" t="s">
        <v>36</v>
      </c>
      <c r="F14" s="33">
        <v>38716</v>
      </c>
      <c r="G14" s="31">
        <v>2</v>
      </c>
      <c r="H14" s="31">
        <v>7</v>
      </c>
      <c r="I14" s="34">
        <v>22428</v>
      </c>
      <c r="J14" s="35">
        <v>2761</v>
      </c>
      <c r="K14" s="34">
        <v>63763</v>
      </c>
      <c r="L14" s="35">
        <v>7862</v>
      </c>
      <c r="M14" s="36">
        <f t="shared" si="1"/>
        <v>8.123143788482434</v>
      </c>
    </row>
    <row r="15" spans="1:13" ht="15.75" customHeight="1">
      <c r="A15" s="28">
        <f t="shared" si="0"/>
        <v>11</v>
      </c>
      <c r="B15" s="29"/>
      <c r="C15" s="30" t="s">
        <v>37</v>
      </c>
      <c r="D15" s="31" t="s">
        <v>26</v>
      </c>
      <c r="E15" s="32" t="s">
        <v>38</v>
      </c>
      <c r="F15" s="33">
        <v>38674</v>
      </c>
      <c r="G15" s="31">
        <v>8</v>
      </c>
      <c r="H15" s="31">
        <v>7</v>
      </c>
      <c r="I15" s="34">
        <v>11640</v>
      </c>
      <c r="J15" s="35">
        <v>2715</v>
      </c>
      <c r="K15" s="34">
        <v>5040117</v>
      </c>
      <c r="L15" s="35">
        <v>757740</v>
      </c>
      <c r="M15" s="36">
        <f t="shared" si="1"/>
        <v>4.287292817679558</v>
      </c>
    </row>
    <row r="16" spans="1:13" ht="15.75" customHeight="1">
      <c r="A16" s="28">
        <f t="shared" si="0"/>
        <v>12</v>
      </c>
      <c r="B16" s="29"/>
      <c r="C16" s="30" t="s">
        <v>39</v>
      </c>
      <c r="D16" s="31" t="s">
        <v>26</v>
      </c>
      <c r="E16" s="32" t="s">
        <v>27</v>
      </c>
      <c r="F16" s="33">
        <v>38688</v>
      </c>
      <c r="G16" s="31">
        <v>6</v>
      </c>
      <c r="H16" s="31">
        <v>6</v>
      </c>
      <c r="I16" s="34">
        <v>8077.5</v>
      </c>
      <c r="J16" s="35">
        <v>1856</v>
      </c>
      <c r="K16" s="34">
        <v>1715813</v>
      </c>
      <c r="L16" s="35">
        <v>254426</v>
      </c>
      <c r="M16" s="36">
        <f t="shared" si="1"/>
        <v>4.352101293103448</v>
      </c>
    </row>
    <row r="17" spans="1:13" ht="15.75" customHeight="1">
      <c r="A17" s="28">
        <f t="shared" si="0"/>
        <v>13</v>
      </c>
      <c r="B17" s="29"/>
      <c r="C17" s="30" t="s">
        <v>40</v>
      </c>
      <c r="D17" s="31" t="s">
        <v>33</v>
      </c>
      <c r="E17" s="32" t="s">
        <v>41</v>
      </c>
      <c r="F17" s="33">
        <v>38869</v>
      </c>
      <c r="G17" s="31">
        <v>1</v>
      </c>
      <c r="H17" s="31">
        <v>5</v>
      </c>
      <c r="I17" s="34">
        <v>7149</v>
      </c>
      <c r="J17" s="35">
        <v>932</v>
      </c>
      <c r="K17" s="34">
        <v>7149</v>
      </c>
      <c r="L17" s="35">
        <v>932</v>
      </c>
      <c r="M17" s="36">
        <f t="shared" si="1"/>
        <v>7.670600858369099</v>
      </c>
    </row>
    <row r="18" spans="1:13" ht="15.75" customHeight="1">
      <c r="A18" s="28">
        <f t="shared" si="0"/>
        <v>14</v>
      </c>
      <c r="B18" s="29"/>
      <c r="C18" s="30" t="s">
        <v>42</v>
      </c>
      <c r="D18" s="31" t="s">
        <v>43</v>
      </c>
      <c r="E18" s="32" t="s">
        <v>21</v>
      </c>
      <c r="F18" s="33">
        <v>38702</v>
      </c>
      <c r="G18" s="31">
        <v>4</v>
      </c>
      <c r="H18" s="31">
        <v>3</v>
      </c>
      <c r="I18" s="34">
        <v>3427.5</v>
      </c>
      <c r="J18" s="35">
        <v>610</v>
      </c>
      <c r="K18" s="34">
        <v>118552.5</v>
      </c>
      <c r="L18" s="35">
        <v>13242</v>
      </c>
      <c r="M18" s="36">
        <f t="shared" si="1"/>
        <v>5.618852459016393</v>
      </c>
    </row>
    <row r="19" spans="1:13" ht="15.75" customHeight="1">
      <c r="A19" s="28">
        <f t="shared" si="0"/>
        <v>15</v>
      </c>
      <c r="B19" s="29"/>
      <c r="C19" s="30" t="s">
        <v>44</v>
      </c>
      <c r="D19" s="31" t="s">
        <v>26</v>
      </c>
      <c r="E19" s="32" t="s">
        <v>45</v>
      </c>
      <c r="F19" s="33">
        <v>38695</v>
      </c>
      <c r="G19" s="31">
        <v>5</v>
      </c>
      <c r="H19" s="31">
        <v>3</v>
      </c>
      <c r="I19" s="34">
        <v>2696</v>
      </c>
      <c r="J19" s="35">
        <v>602</v>
      </c>
      <c r="K19" s="34">
        <v>521611</v>
      </c>
      <c r="L19" s="35">
        <v>67944</v>
      </c>
      <c r="M19" s="36">
        <f t="shared" si="1"/>
        <v>4.4784053156146175</v>
      </c>
    </row>
    <row r="20" spans="1:13" ht="15.75" customHeight="1">
      <c r="A20" s="28">
        <f t="shared" si="0"/>
        <v>16</v>
      </c>
      <c r="B20" s="29"/>
      <c r="C20" s="30" t="s">
        <v>46</v>
      </c>
      <c r="D20" s="31" t="s">
        <v>26</v>
      </c>
      <c r="E20" s="32" t="s">
        <v>47</v>
      </c>
      <c r="F20" s="33">
        <v>38695</v>
      </c>
      <c r="G20" s="31">
        <v>5</v>
      </c>
      <c r="H20" s="31">
        <v>4</v>
      </c>
      <c r="I20" s="34">
        <v>2736</v>
      </c>
      <c r="J20" s="35">
        <v>568</v>
      </c>
      <c r="K20" s="34">
        <v>454621.5</v>
      </c>
      <c r="L20" s="35">
        <v>56323</v>
      </c>
      <c r="M20" s="36">
        <f t="shared" si="1"/>
        <v>4.816901408450704</v>
      </c>
    </row>
    <row r="21" spans="1:13" ht="15.75" customHeight="1">
      <c r="A21" s="28">
        <f t="shared" si="0"/>
        <v>17</v>
      </c>
      <c r="B21" s="29"/>
      <c r="C21" s="30" t="s">
        <v>48</v>
      </c>
      <c r="D21" s="31" t="s">
        <v>33</v>
      </c>
      <c r="E21" s="32" t="s">
        <v>36</v>
      </c>
      <c r="F21" s="33">
        <v>38296</v>
      </c>
      <c r="G21" s="31">
        <v>45</v>
      </c>
      <c r="H21" s="31">
        <v>1</v>
      </c>
      <c r="I21" s="34">
        <v>1068</v>
      </c>
      <c r="J21" s="35">
        <v>356</v>
      </c>
      <c r="K21" s="34">
        <v>96635.5</v>
      </c>
      <c r="L21" s="35">
        <v>18374</v>
      </c>
      <c r="M21" s="36">
        <f t="shared" si="1"/>
        <v>3</v>
      </c>
    </row>
    <row r="22" spans="1:13" ht="15.75" customHeight="1">
      <c r="A22" s="28">
        <f t="shared" si="0"/>
        <v>18</v>
      </c>
      <c r="B22" s="29"/>
      <c r="C22" s="30" t="s">
        <v>49</v>
      </c>
      <c r="D22" s="31" t="s">
        <v>23</v>
      </c>
      <c r="E22" s="32" t="s">
        <v>31</v>
      </c>
      <c r="F22" s="33">
        <v>38667</v>
      </c>
      <c r="G22" s="31">
        <v>9</v>
      </c>
      <c r="H22" s="31">
        <v>1</v>
      </c>
      <c r="I22" s="34">
        <v>1152</v>
      </c>
      <c r="J22" s="35">
        <v>348</v>
      </c>
      <c r="K22" s="34">
        <v>2573716</v>
      </c>
      <c r="L22" s="35">
        <v>335884</v>
      </c>
      <c r="M22" s="36">
        <f t="shared" si="1"/>
        <v>3.310344827586207</v>
      </c>
    </row>
    <row r="23" spans="1:13" ht="15.75" customHeight="1">
      <c r="A23" s="28">
        <f t="shared" si="0"/>
        <v>19</v>
      </c>
      <c r="B23" s="29"/>
      <c r="C23" s="30" t="s">
        <v>50</v>
      </c>
      <c r="D23" s="31" t="s">
        <v>13</v>
      </c>
      <c r="E23" s="32" t="s">
        <v>51</v>
      </c>
      <c r="F23" s="33">
        <v>38674</v>
      </c>
      <c r="G23" s="31">
        <v>8</v>
      </c>
      <c r="H23" s="31">
        <v>1</v>
      </c>
      <c r="I23" s="34">
        <v>1807</v>
      </c>
      <c r="J23" s="35">
        <v>346</v>
      </c>
      <c r="K23" s="34">
        <v>36127</v>
      </c>
      <c r="L23" s="35">
        <v>6268</v>
      </c>
      <c r="M23" s="36">
        <f t="shared" si="1"/>
        <v>5.222543352601156</v>
      </c>
    </row>
    <row r="24" spans="1:13" ht="15.75" customHeight="1">
      <c r="A24" s="28">
        <f t="shared" si="0"/>
        <v>20</v>
      </c>
      <c r="B24" s="29"/>
      <c r="C24" s="30" t="s">
        <v>52</v>
      </c>
      <c r="D24" s="31" t="s">
        <v>26</v>
      </c>
      <c r="E24" s="32" t="s">
        <v>38</v>
      </c>
      <c r="F24" s="33">
        <v>38681</v>
      </c>
      <c r="G24" s="31">
        <v>7</v>
      </c>
      <c r="H24" s="31">
        <v>3</v>
      </c>
      <c r="I24" s="34">
        <v>1811</v>
      </c>
      <c r="J24" s="35">
        <v>275</v>
      </c>
      <c r="K24" s="34">
        <v>146961</v>
      </c>
      <c r="L24" s="35">
        <v>16750</v>
      </c>
      <c r="M24" s="37">
        <f t="shared" si="1"/>
        <v>6.585454545454546</v>
      </c>
    </row>
    <row r="25" spans="1:13" ht="15.75" customHeight="1">
      <c r="A25" s="28">
        <f t="shared" si="0"/>
        <v>21</v>
      </c>
      <c r="B25" s="29"/>
      <c r="C25" s="30" t="s">
        <v>53</v>
      </c>
      <c r="D25" s="31" t="s">
        <v>13</v>
      </c>
      <c r="E25" s="32" t="s">
        <v>14</v>
      </c>
      <c r="F25" s="33">
        <v>38653</v>
      </c>
      <c r="G25" s="31">
        <v>11</v>
      </c>
      <c r="H25" s="31">
        <v>1</v>
      </c>
      <c r="I25" s="34">
        <v>1274</v>
      </c>
      <c r="J25" s="35">
        <v>270</v>
      </c>
      <c r="K25" s="34">
        <v>4896662</v>
      </c>
      <c r="L25" s="35">
        <v>774676</v>
      </c>
      <c r="M25" s="36">
        <f t="shared" si="1"/>
        <v>4.718518518518518</v>
      </c>
    </row>
    <row r="26" spans="1:13" ht="15.75" customHeight="1">
      <c r="A26" s="28">
        <f t="shared" si="0"/>
        <v>22</v>
      </c>
      <c r="B26" s="29"/>
      <c r="C26" s="30" t="s">
        <v>54</v>
      </c>
      <c r="D26" s="31" t="s">
        <v>23</v>
      </c>
      <c r="E26" s="32" t="s">
        <v>24</v>
      </c>
      <c r="F26" s="33">
        <v>38653</v>
      </c>
      <c r="G26" s="31">
        <v>11</v>
      </c>
      <c r="H26" s="31">
        <v>4</v>
      </c>
      <c r="I26" s="34">
        <v>1098</v>
      </c>
      <c r="J26" s="35">
        <v>269</v>
      </c>
      <c r="K26" s="34">
        <v>1036110</v>
      </c>
      <c r="L26" s="35">
        <v>150796</v>
      </c>
      <c r="M26" s="36">
        <f t="shared" si="1"/>
        <v>4.0817843866171</v>
      </c>
    </row>
    <row r="27" spans="1:13" ht="15.75" customHeight="1">
      <c r="A27" s="28">
        <f t="shared" si="0"/>
        <v>23</v>
      </c>
      <c r="B27" s="29"/>
      <c r="C27" s="30" t="s">
        <v>55</v>
      </c>
      <c r="D27" s="31" t="s">
        <v>26</v>
      </c>
      <c r="E27" s="32" t="s">
        <v>56</v>
      </c>
      <c r="F27" s="33">
        <v>38681</v>
      </c>
      <c r="G27" s="31">
        <v>7</v>
      </c>
      <c r="H27" s="31">
        <v>2</v>
      </c>
      <c r="I27" s="34">
        <v>1613</v>
      </c>
      <c r="J27" s="35">
        <v>267</v>
      </c>
      <c r="K27" s="34">
        <v>390679</v>
      </c>
      <c r="L27" s="35">
        <v>46970</v>
      </c>
      <c r="M27" s="36">
        <f t="shared" si="1"/>
        <v>6.0411985018726595</v>
      </c>
    </row>
    <row r="28" spans="1:13" ht="15.75" customHeight="1">
      <c r="A28" s="28">
        <f t="shared" si="0"/>
        <v>24</v>
      </c>
      <c r="B28" s="29"/>
      <c r="C28" s="30" t="s">
        <v>57</v>
      </c>
      <c r="D28" s="31" t="s">
        <v>58</v>
      </c>
      <c r="E28" s="32" t="s">
        <v>59</v>
      </c>
      <c r="F28" s="33">
        <v>38653</v>
      </c>
      <c r="G28" s="31">
        <v>11</v>
      </c>
      <c r="H28" s="31">
        <v>1</v>
      </c>
      <c r="I28" s="34">
        <v>830</v>
      </c>
      <c r="J28" s="35">
        <v>166</v>
      </c>
      <c r="K28" s="34">
        <v>4258140.75</v>
      </c>
      <c r="L28" s="35">
        <v>622320</v>
      </c>
      <c r="M28" s="36">
        <f t="shared" si="1"/>
        <v>5</v>
      </c>
    </row>
    <row r="29" spans="1:13" ht="15.75" customHeight="1">
      <c r="A29" s="28">
        <f t="shared" si="0"/>
        <v>25</v>
      </c>
      <c r="B29" s="29"/>
      <c r="C29" s="30" t="s">
        <v>60</v>
      </c>
      <c r="D29" s="31" t="s">
        <v>58</v>
      </c>
      <c r="E29" s="32" t="s">
        <v>61</v>
      </c>
      <c r="F29" s="33">
        <v>38632</v>
      </c>
      <c r="G29" s="31">
        <v>14</v>
      </c>
      <c r="H29" s="31">
        <v>1</v>
      </c>
      <c r="I29" s="34">
        <v>705</v>
      </c>
      <c r="J29" s="35">
        <v>141</v>
      </c>
      <c r="K29" s="34">
        <v>688832.5</v>
      </c>
      <c r="L29" s="35">
        <v>104473</v>
      </c>
      <c r="M29" s="36">
        <f t="shared" si="1"/>
        <v>5</v>
      </c>
    </row>
    <row r="30" spans="1:13" ht="15.75" customHeight="1">
      <c r="A30" s="28">
        <f t="shared" si="0"/>
        <v>26</v>
      </c>
      <c r="B30" s="29"/>
      <c r="C30" s="30" t="s">
        <v>62</v>
      </c>
      <c r="D30" s="31" t="s">
        <v>13</v>
      </c>
      <c r="E30" s="32" t="s">
        <v>63</v>
      </c>
      <c r="F30" s="33">
        <v>38709</v>
      </c>
      <c r="G30" s="31">
        <v>3</v>
      </c>
      <c r="H30" s="31">
        <v>4</v>
      </c>
      <c r="I30" s="34">
        <v>1060</v>
      </c>
      <c r="J30" s="35">
        <v>127</v>
      </c>
      <c r="K30" s="34">
        <v>44918</v>
      </c>
      <c r="L30" s="35">
        <v>5742</v>
      </c>
      <c r="M30" s="36">
        <f t="shared" si="1"/>
        <v>8.346456692913385</v>
      </c>
    </row>
    <row r="31" spans="1:13" ht="15.75" customHeight="1">
      <c r="A31" s="28">
        <f t="shared" si="0"/>
        <v>27</v>
      </c>
      <c r="B31" s="29"/>
      <c r="C31" s="30" t="s">
        <v>64</v>
      </c>
      <c r="D31" s="31" t="s">
        <v>23</v>
      </c>
      <c r="E31" s="32" t="s">
        <v>65</v>
      </c>
      <c r="F31" s="33">
        <v>38499</v>
      </c>
      <c r="G31" s="31">
        <v>32</v>
      </c>
      <c r="H31" s="31">
        <v>1</v>
      </c>
      <c r="I31" s="34">
        <v>658</v>
      </c>
      <c r="J31" s="35">
        <v>126</v>
      </c>
      <c r="K31" s="34">
        <v>1512723</v>
      </c>
      <c r="L31" s="35">
        <v>235437</v>
      </c>
      <c r="M31" s="36">
        <f t="shared" si="1"/>
        <v>5.222222222222222</v>
      </c>
    </row>
    <row r="32" spans="1:13" ht="15.75" customHeight="1">
      <c r="A32" s="28">
        <f t="shared" si="0"/>
        <v>28</v>
      </c>
      <c r="B32" s="29"/>
      <c r="C32" s="30" t="s">
        <v>66</v>
      </c>
      <c r="D32" s="31" t="s">
        <v>13</v>
      </c>
      <c r="E32" s="32" t="s">
        <v>63</v>
      </c>
      <c r="F32" s="33">
        <v>38702</v>
      </c>
      <c r="G32" s="31">
        <v>4</v>
      </c>
      <c r="H32" s="31">
        <v>2</v>
      </c>
      <c r="I32" s="34">
        <v>495</v>
      </c>
      <c r="J32" s="35">
        <v>91</v>
      </c>
      <c r="K32" s="34">
        <v>121099.5</v>
      </c>
      <c r="L32" s="35">
        <v>16374</v>
      </c>
      <c r="M32" s="36">
        <f t="shared" si="1"/>
        <v>5.43956043956044</v>
      </c>
    </row>
    <row r="33" spans="1:13" ht="15.75" customHeight="1">
      <c r="A33" s="28">
        <f t="shared" si="0"/>
        <v>29</v>
      </c>
      <c r="B33" s="29"/>
      <c r="C33" s="30" t="s">
        <v>67</v>
      </c>
      <c r="D33" s="31" t="s">
        <v>23</v>
      </c>
      <c r="E33" s="32" t="s">
        <v>24</v>
      </c>
      <c r="F33" s="33">
        <v>38590</v>
      </c>
      <c r="G33" s="31">
        <v>20</v>
      </c>
      <c r="H33" s="31">
        <v>1</v>
      </c>
      <c r="I33" s="34">
        <v>576</v>
      </c>
      <c r="J33" s="35">
        <v>88</v>
      </c>
      <c r="K33" s="34">
        <v>1279712</v>
      </c>
      <c r="L33" s="35">
        <v>191020</v>
      </c>
      <c r="M33" s="36">
        <f t="shared" si="1"/>
        <v>6.545454545454546</v>
      </c>
    </row>
    <row r="34" spans="1:13" ht="15.75" customHeight="1">
      <c r="A34" s="28">
        <f t="shared" si="0"/>
        <v>30</v>
      </c>
      <c r="B34" s="29"/>
      <c r="C34" s="30" t="s">
        <v>68</v>
      </c>
      <c r="D34" s="31" t="s">
        <v>33</v>
      </c>
      <c r="E34" s="32" t="s">
        <v>69</v>
      </c>
      <c r="F34" s="33">
        <v>38709</v>
      </c>
      <c r="G34" s="31">
        <v>3</v>
      </c>
      <c r="H34" s="31">
        <v>1</v>
      </c>
      <c r="I34" s="34">
        <v>320</v>
      </c>
      <c r="J34" s="35">
        <v>76</v>
      </c>
      <c r="K34" s="34">
        <v>5373</v>
      </c>
      <c r="L34" s="35">
        <v>747</v>
      </c>
      <c r="M34" s="36">
        <f t="shared" si="1"/>
        <v>4.2105263157894735</v>
      </c>
    </row>
    <row r="35" spans="1:13" ht="15.75" customHeight="1">
      <c r="A35" s="28">
        <f t="shared" si="0"/>
        <v>31</v>
      </c>
      <c r="B35" s="29"/>
      <c r="C35" s="30">
        <v>36</v>
      </c>
      <c r="D35" s="31" t="s">
        <v>13</v>
      </c>
      <c r="E35" s="32" t="s">
        <v>70</v>
      </c>
      <c r="F35" s="33">
        <v>38688</v>
      </c>
      <c r="G35" s="31">
        <v>6</v>
      </c>
      <c r="H35" s="31">
        <v>1</v>
      </c>
      <c r="I35" s="34">
        <v>398</v>
      </c>
      <c r="J35" s="35">
        <v>50</v>
      </c>
      <c r="K35" s="34">
        <v>194696</v>
      </c>
      <c r="L35" s="35">
        <v>28242</v>
      </c>
      <c r="M35" s="36">
        <f t="shared" si="1"/>
        <v>7.96</v>
      </c>
    </row>
    <row r="36" spans="1:13" ht="15.75" customHeight="1">
      <c r="A36" s="28">
        <f t="shared" si="0"/>
        <v>32</v>
      </c>
      <c r="B36" s="29"/>
      <c r="C36" s="30" t="s">
        <v>71</v>
      </c>
      <c r="D36" s="31" t="s">
        <v>13</v>
      </c>
      <c r="E36" s="32" t="s">
        <v>72</v>
      </c>
      <c r="F36" s="33">
        <v>38639</v>
      </c>
      <c r="G36" s="31">
        <v>12</v>
      </c>
      <c r="H36" s="31">
        <v>1</v>
      </c>
      <c r="I36" s="34">
        <v>152</v>
      </c>
      <c r="J36" s="35">
        <v>31</v>
      </c>
      <c r="K36" s="34">
        <v>556886</v>
      </c>
      <c r="L36" s="35">
        <v>107423</v>
      </c>
      <c r="M36" s="36">
        <f t="shared" si="1"/>
        <v>4.903225806451613</v>
      </c>
    </row>
    <row r="37" spans="1:13" ht="15.75" customHeight="1">
      <c r="A37" s="28">
        <f t="shared" si="0"/>
        <v>33</v>
      </c>
      <c r="B37" s="29"/>
      <c r="C37" s="30" t="s">
        <v>73</v>
      </c>
      <c r="D37" s="31" t="s">
        <v>33</v>
      </c>
      <c r="E37" s="32" t="s">
        <v>74</v>
      </c>
      <c r="F37" s="33">
        <v>38688</v>
      </c>
      <c r="G37" s="31">
        <v>6</v>
      </c>
      <c r="H37" s="31">
        <v>1</v>
      </c>
      <c r="I37" s="34">
        <v>98</v>
      </c>
      <c r="J37" s="35">
        <v>22</v>
      </c>
      <c r="K37" s="34">
        <v>24373</v>
      </c>
      <c r="L37" s="35">
        <v>3254</v>
      </c>
      <c r="M37" s="36">
        <f t="shared" si="1"/>
        <v>4.454545454545454</v>
      </c>
    </row>
    <row r="38" spans="1:13" ht="15.75" customHeight="1" thickBot="1">
      <c r="A38" s="28">
        <f t="shared" si="0"/>
        <v>34</v>
      </c>
      <c r="B38" s="29"/>
      <c r="C38" s="30" t="s">
        <v>75</v>
      </c>
      <c r="D38" s="31" t="s">
        <v>33</v>
      </c>
      <c r="E38" s="32" t="s">
        <v>36</v>
      </c>
      <c r="F38" s="33">
        <v>38688</v>
      </c>
      <c r="G38" s="31">
        <v>6</v>
      </c>
      <c r="H38" s="31">
        <v>1</v>
      </c>
      <c r="I38" s="34">
        <v>105</v>
      </c>
      <c r="J38" s="35">
        <v>13</v>
      </c>
      <c r="K38" s="34">
        <v>24980.5</v>
      </c>
      <c r="L38" s="35">
        <v>3359</v>
      </c>
      <c r="M38" s="36">
        <f t="shared" si="1"/>
        <v>8.076923076923077</v>
      </c>
    </row>
    <row r="39" spans="1:13" s="48" customFormat="1" ht="19.5" customHeight="1" thickBot="1">
      <c r="A39" s="38"/>
      <c r="B39" s="39"/>
      <c r="C39" s="40" t="s">
        <v>76</v>
      </c>
      <c r="D39" s="40"/>
      <c r="E39" s="40"/>
      <c r="F39" s="40"/>
      <c r="G39" s="41"/>
      <c r="H39" s="42">
        <f>SUM(H5:H38)</f>
        <v>1217</v>
      </c>
      <c r="I39" s="43">
        <f>SUM(I5:I38)</f>
        <v>14374910</v>
      </c>
      <c r="J39" s="44">
        <f>SUM(J5:J38)</f>
        <v>2098291</v>
      </c>
      <c r="K39" s="45"/>
      <c r="L39" s="46"/>
      <c r="M39" s="47">
        <f t="shared" si="1"/>
        <v>6.850770460341296</v>
      </c>
    </row>
    <row r="40" spans="1:6" ht="9.75" customHeight="1" thickBot="1">
      <c r="A40" s="49"/>
      <c r="C40" s="50"/>
      <c r="F40" s="52"/>
    </row>
    <row r="41" spans="1:13" ht="19.5" customHeight="1">
      <c r="A41" s="49"/>
      <c r="B41" s="54" t="s">
        <v>77</v>
      </c>
      <c r="C41" s="55"/>
      <c r="D41" s="55"/>
      <c r="E41" s="55"/>
      <c r="F41" s="55"/>
      <c r="G41" s="55"/>
      <c r="H41" s="56"/>
      <c r="I41" s="57">
        <v>6403022.5</v>
      </c>
      <c r="J41" s="58">
        <v>970902</v>
      </c>
      <c r="K41" s="59" t="s">
        <v>78</v>
      </c>
      <c r="L41" s="60"/>
      <c r="M41" s="61">
        <f>(J39-J41)/J41</f>
        <v>1.1611769261985248</v>
      </c>
    </row>
    <row r="42" spans="1:13" ht="19.5" customHeight="1" thickBot="1">
      <c r="A42" s="49"/>
      <c r="B42" s="62" t="s">
        <v>79</v>
      </c>
      <c r="C42" s="63"/>
      <c r="D42" s="63"/>
      <c r="E42" s="63"/>
      <c r="F42" s="63"/>
      <c r="G42" s="63"/>
      <c r="H42" s="64"/>
      <c r="I42" s="65">
        <v>3632361.25</v>
      </c>
      <c r="J42" s="66">
        <v>556306</v>
      </c>
      <c r="K42" s="67" t="s">
        <v>80</v>
      </c>
      <c r="L42" s="68"/>
      <c r="M42" s="69">
        <f>(+J39-J42)/J42</f>
        <v>2.771828813638537</v>
      </c>
    </row>
    <row r="43" spans="1:13" ht="9.75" customHeight="1" thickBot="1">
      <c r="A43" s="49"/>
      <c r="B43" s="70"/>
      <c r="C43" s="71"/>
      <c r="D43" s="72"/>
      <c r="E43" s="73"/>
      <c r="F43" s="74"/>
      <c r="G43" s="74"/>
      <c r="H43" s="75"/>
      <c r="I43" s="76"/>
      <c r="J43" s="77"/>
      <c r="K43" s="78"/>
      <c r="L43" s="79"/>
      <c r="M43" s="80"/>
    </row>
    <row r="44" spans="1:13" ht="19.5" customHeight="1">
      <c r="A44" s="49"/>
      <c r="B44" s="54" t="s">
        <v>81</v>
      </c>
      <c r="C44" s="81"/>
      <c r="D44" s="82" t="s">
        <v>26</v>
      </c>
      <c r="E44" s="83">
        <f>SUMIF(WEDIST:WEDIST_TOTAL,"WB",WEADM:WEADM_TOTAL)</f>
        <v>33750</v>
      </c>
      <c r="F44" s="84" t="s">
        <v>23</v>
      </c>
      <c r="G44" s="85">
        <f>SUMIF(WEDIST:WEDIST_TOTAL,"UIP",WEADM:WEADM_TOTAL)</f>
        <v>61514</v>
      </c>
      <c r="H44" s="86">
        <f>SUMIF(WEDIST:WEDIST_TOTAL,"WB",WEADM:WEADM_TOTAL)</f>
        <v>33750</v>
      </c>
      <c r="I44" s="87" t="s">
        <v>13</v>
      </c>
      <c r="J44" s="88">
        <f>SUMIF(WEDIST:WEDIST_TOTAL,"OZEN",WEADM:WEADM_TOTAL)</f>
        <v>1117030</v>
      </c>
      <c r="K44" s="87" t="s">
        <v>82</v>
      </c>
      <c r="L44" s="89">
        <f>+J39-E44-G44-J44</f>
        <v>885997</v>
      </c>
      <c r="M44" s="90"/>
    </row>
    <row r="45" spans="2:13" ht="19.5" customHeight="1" thickBot="1">
      <c r="B45" s="62" t="s">
        <v>83</v>
      </c>
      <c r="C45" s="91"/>
      <c r="D45" s="92"/>
      <c r="E45" s="93">
        <f>SUM(E44/J39)</f>
        <v>0.016084518305611566</v>
      </c>
      <c r="F45" s="94"/>
      <c r="G45" s="95">
        <f>SUM(G44/J39)</f>
        <v>0.02931623878670785</v>
      </c>
      <c r="H45" s="96"/>
      <c r="I45" s="97"/>
      <c r="J45" s="98">
        <f>SUM(J44/J39)</f>
        <v>0.532352280975327</v>
      </c>
      <c r="K45" s="97"/>
      <c r="L45" s="99">
        <f>SUM(L44/J39)</f>
        <v>0.4222469619323535</v>
      </c>
      <c r="M45" s="100"/>
    </row>
    <row r="46" spans="2:13" ht="9.75" customHeight="1" thickBot="1">
      <c r="B46" s="101"/>
      <c r="C46" s="102"/>
      <c r="D46" s="103"/>
      <c r="E46" s="104"/>
      <c r="F46" s="105"/>
      <c r="G46" s="106"/>
      <c r="H46" s="106"/>
      <c r="I46" s="107"/>
      <c r="J46" s="108"/>
      <c r="K46" s="107"/>
      <c r="L46" s="109"/>
      <c r="M46" s="109"/>
    </row>
    <row r="47" spans="2:13" ht="19.5" customHeight="1">
      <c r="B47" s="110" t="s">
        <v>84</v>
      </c>
      <c r="C47" s="111"/>
      <c r="D47" s="82" t="s">
        <v>26</v>
      </c>
      <c r="E47" s="83">
        <v>333007</v>
      </c>
      <c r="F47" s="84" t="s">
        <v>23</v>
      </c>
      <c r="G47" s="85">
        <v>83910</v>
      </c>
      <c r="H47" s="86"/>
      <c r="I47" s="87" t="s">
        <v>13</v>
      </c>
      <c r="J47" s="88">
        <v>74461</v>
      </c>
      <c r="K47" s="87" t="s">
        <v>82</v>
      </c>
      <c r="L47" s="89">
        <v>64928</v>
      </c>
      <c r="M47" s="90"/>
    </row>
    <row r="48" spans="2:13" ht="19.5" customHeight="1" thickBot="1">
      <c r="B48" s="112"/>
      <c r="C48" s="113"/>
      <c r="D48" s="92"/>
      <c r="E48" s="93">
        <f>SUM(E47/J42)</f>
        <v>0.5986040057090881</v>
      </c>
      <c r="F48" s="94"/>
      <c r="G48" s="95">
        <f>SUM(G47/J42)</f>
        <v>0.15083425309092477</v>
      </c>
      <c r="H48" s="96"/>
      <c r="I48" s="97"/>
      <c r="J48" s="98">
        <f>SUM(J47/J42)</f>
        <v>0.13384899677515613</v>
      </c>
      <c r="K48" s="97"/>
      <c r="L48" s="99">
        <f>SUM(L47/J42)</f>
        <v>0.11671274442483094</v>
      </c>
      <c r="M48" s="100"/>
    </row>
    <row r="49" ht="9.75" customHeight="1"/>
    <row r="50" spans="1:13" s="116" customFormat="1" ht="24.75" customHeight="1">
      <c r="A50" s="114"/>
      <c r="B50" s="115" t="s">
        <v>85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35">
    <mergeCell ref="L48:M48"/>
    <mergeCell ref="G45:H45"/>
    <mergeCell ref="L45:M45"/>
    <mergeCell ref="B47:C48"/>
    <mergeCell ref="D47:D48"/>
    <mergeCell ref="F47:F48"/>
    <mergeCell ref="G47:H47"/>
    <mergeCell ref="I47:I48"/>
    <mergeCell ref="K47:K48"/>
    <mergeCell ref="L47:M47"/>
    <mergeCell ref="G48:H48"/>
    <mergeCell ref="B42:H42"/>
    <mergeCell ref="K42:L42"/>
    <mergeCell ref="B44:C44"/>
    <mergeCell ref="D44:D45"/>
    <mergeCell ref="F44:F45"/>
    <mergeCell ref="G44:H44"/>
    <mergeCell ref="I44:I45"/>
    <mergeCell ref="L44:M44"/>
    <mergeCell ref="B45:C45"/>
    <mergeCell ref="I3:J3"/>
    <mergeCell ref="K3:L3"/>
    <mergeCell ref="K41:L41"/>
    <mergeCell ref="B41:H41"/>
    <mergeCell ref="C39:G39"/>
    <mergeCell ref="B50:M50"/>
    <mergeCell ref="B1:M1"/>
    <mergeCell ref="D3:D4"/>
    <mergeCell ref="E3:E4"/>
    <mergeCell ref="C3:C4"/>
    <mergeCell ref="F3:F4"/>
    <mergeCell ref="G3:G4"/>
    <mergeCell ref="H3:H4"/>
    <mergeCell ref="M3:M4"/>
    <mergeCell ref="K44:K4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111111111111111111111207">
    <pageSetUpPr fitToPage="1"/>
  </sheetPr>
  <dimension ref="A1:T33"/>
  <sheetViews>
    <sheetView showGridLines="0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4.7109375" style="1" bestFit="1" customWidth="1"/>
    <col min="2" max="2" width="1.7109375" style="18" customWidth="1"/>
    <col min="3" max="3" width="34.28125" style="18" customWidth="1"/>
    <col min="4" max="4" width="12.8515625" style="51" customWidth="1"/>
    <col min="5" max="5" width="16.28125" style="51" customWidth="1"/>
    <col min="6" max="6" width="9.28125" style="18" customWidth="1"/>
    <col min="7" max="7" width="8.7109375" style="18" customWidth="1"/>
    <col min="8" max="8" width="7.8515625" style="18" customWidth="1"/>
    <col min="9" max="9" width="19.421875" style="53" bestFit="1" customWidth="1"/>
    <col min="10" max="10" width="16.57421875" style="53" bestFit="1" customWidth="1"/>
    <col min="11" max="11" width="10.7109375" style="53" customWidth="1"/>
    <col min="12" max="12" width="11.7109375" style="18" customWidth="1"/>
    <col min="13" max="14" width="12.28125" style="18" bestFit="1" customWidth="1"/>
    <col min="15" max="16384" width="9.140625" style="18" customWidth="1"/>
  </cols>
  <sheetData>
    <row r="1" spans="1:20" s="5" customFormat="1" ht="90" customHeight="1" thickBot="1">
      <c r="A1" s="1"/>
      <c r="B1" s="2" t="s">
        <v>86</v>
      </c>
      <c r="C1" s="3"/>
      <c r="D1" s="3"/>
      <c r="E1" s="3"/>
      <c r="F1" s="3"/>
      <c r="G1" s="3"/>
      <c r="H1" s="3"/>
      <c r="I1" s="3"/>
      <c r="J1" s="3"/>
      <c r="K1" s="4"/>
      <c r="L1" s="117"/>
      <c r="M1" s="117"/>
      <c r="T1" s="6"/>
    </row>
    <row r="2" spans="1:13" s="10" customFormat="1" ht="4.5" customHeight="1" thickBot="1">
      <c r="A2" s="7"/>
      <c r="B2" s="8"/>
      <c r="K2" s="9"/>
      <c r="L2" s="9"/>
      <c r="M2" s="9"/>
    </row>
    <row r="3" spans="2:11" ht="15.75" customHeight="1">
      <c r="B3" s="11"/>
      <c r="C3" s="12" t="s">
        <v>1</v>
      </c>
      <c r="D3" s="13" t="s">
        <v>2</v>
      </c>
      <c r="E3" s="13" t="s">
        <v>3</v>
      </c>
      <c r="F3" s="14" t="s">
        <v>4</v>
      </c>
      <c r="G3" s="14" t="s">
        <v>87</v>
      </c>
      <c r="H3" s="14" t="s">
        <v>88</v>
      </c>
      <c r="I3" s="15" t="s">
        <v>8</v>
      </c>
      <c r="J3" s="16"/>
      <c r="K3" s="17" t="s">
        <v>9</v>
      </c>
    </row>
    <row r="4" spans="1:11" ht="15.75" customHeight="1" thickBot="1">
      <c r="A4" s="19"/>
      <c r="B4" s="20"/>
      <c r="C4" s="21"/>
      <c r="D4" s="22"/>
      <c r="E4" s="22"/>
      <c r="F4" s="23"/>
      <c r="G4" s="23"/>
      <c r="H4" s="23"/>
      <c r="I4" s="24" t="s">
        <v>10</v>
      </c>
      <c r="J4" s="26" t="s">
        <v>11</v>
      </c>
      <c r="K4" s="27"/>
    </row>
    <row r="5" spans="1:11" ht="15.75" customHeight="1">
      <c r="A5" s="28">
        <f aca="true" t="shared" si="0" ref="A5:A11">ROW()-4</f>
        <v>1</v>
      </c>
      <c r="B5" s="118"/>
      <c r="C5" s="30" t="s">
        <v>12</v>
      </c>
      <c r="D5" s="31" t="s">
        <v>13</v>
      </c>
      <c r="E5" s="32" t="s">
        <v>14</v>
      </c>
      <c r="F5" s="33">
        <v>38723</v>
      </c>
      <c r="G5" s="31">
        <v>280</v>
      </c>
      <c r="H5" s="31">
        <v>1</v>
      </c>
      <c r="I5" s="34">
        <v>5591784</v>
      </c>
      <c r="J5" s="35">
        <v>871283</v>
      </c>
      <c r="K5" s="36">
        <f aca="true" t="shared" si="1" ref="K5:K12">I5/J5</f>
        <v>6.417873411968327</v>
      </c>
    </row>
    <row r="6" spans="1:11" ht="15.75" customHeight="1">
      <c r="A6" s="28">
        <f t="shared" si="0"/>
        <v>2</v>
      </c>
      <c r="B6" s="118"/>
      <c r="C6" s="30" t="s">
        <v>18</v>
      </c>
      <c r="D6" s="31" t="s">
        <v>16</v>
      </c>
      <c r="E6" s="32" t="s">
        <v>19</v>
      </c>
      <c r="F6" s="33">
        <v>38723</v>
      </c>
      <c r="G6" s="31">
        <v>199</v>
      </c>
      <c r="H6" s="31">
        <v>1</v>
      </c>
      <c r="I6" s="34">
        <v>2933527.5</v>
      </c>
      <c r="J6" s="35">
        <v>418632</v>
      </c>
      <c r="K6" s="36">
        <f t="shared" si="1"/>
        <v>7.007413432322422</v>
      </c>
    </row>
    <row r="7" spans="1:11" ht="15.75" customHeight="1">
      <c r="A7" s="28">
        <f t="shared" si="0"/>
        <v>3</v>
      </c>
      <c r="B7" s="118"/>
      <c r="C7" s="30" t="s">
        <v>25</v>
      </c>
      <c r="D7" s="31" t="s">
        <v>26</v>
      </c>
      <c r="E7" s="32" t="s">
        <v>27</v>
      </c>
      <c r="F7" s="33">
        <v>38716</v>
      </c>
      <c r="G7" s="31">
        <v>60</v>
      </c>
      <c r="H7" s="31">
        <v>2</v>
      </c>
      <c r="I7" s="34">
        <v>439422</v>
      </c>
      <c r="J7" s="35">
        <v>61351</v>
      </c>
      <c r="K7" s="36">
        <f t="shared" si="1"/>
        <v>7.162426040325341</v>
      </c>
    </row>
    <row r="8" spans="1:11" ht="15.75" customHeight="1">
      <c r="A8" s="28">
        <f t="shared" si="0"/>
        <v>4</v>
      </c>
      <c r="B8" s="118"/>
      <c r="C8" s="30" t="s">
        <v>28</v>
      </c>
      <c r="D8" s="31" t="s">
        <v>29</v>
      </c>
      <c r="E8" s="32" t="s">
        <v>21</v>
      </c>
      <c r="F8" s="33">
        <v>38723</v>
      </c>
      <c r="G8" s="31">
        <v>10</v>
      </c>
      <c r="H8" s="31">
        <v>1</v>
      </c>
      <c r="I8" s="34">
        <v>86072</v>
      </c>
      <c r="J8" s="35">
        <v>11080</v>
      </c>
      <c r="K8" s="36">
        <f t="shared" si="1"/>
        <v>7.768231046931408</v>
      </c>
    </row>
    <row r="9" spans="1:11" ht="15.75" customHeight="1">
      <c r="A9" s="28">
        <f t="shared" si="0"/>
        <v>5</v>
      </c>
      <c r="B9" s="118"/>
      <c r="C9" s="30" t="s">
        <v>35</v>
      </c>
      <c r="D9" s="31" t="s">
        <v>33</v>
      </c>
      <c r="E9" s="32" t="s">
        <v>36</v>
      </c>
      <c r="F9" s="33">
        <v>38716</v>
      </c>
      <c r="G9" s="31">
        <v>9</v>
      </c>
      <c r="H9" s="31">
        <v>2</v>
      </c>
      <c r="I9" s="34">
        <v>63763</v>
      </c>
      <c r="J9" s="35">
        <v>7862</v>
      </c>
      <c r="K9" s="36">
        <f t="shared" si="1"/>
        <v>8.110277283134062</v>
      </c>
    </row>
    <row r="10" spans="1:11" ht="15.75" customHeight="1">
      <c r="A10" s="28">
        <f t="shared" si="0"/>
        <v>6</v>
      </c>
      <c r="B10" s="118"/>
      <c r="C10" s="30" t="s">
        <v>32</v>
      </c>
      <c r="D10" s="31" t="s">
        <v>33</v>
      </c>
      <c r="E10" s="32" t="s">
        <v>34</v>
      </c>
      <c r="F10" s="33">
        <v>38723</v>
      </c>
      <c r="G10" s="31">
        <v>3</v>
      </c>
      <c r="H10" s="31">
        <v>1</v>
      </c>
      <c r="I10" s="34">
        <v>22570</v>
      </c>
      <c r="J10" s="35">
        <v>2787</v>
      </c>
      <c r="K10" s="36">
        <f t="shared" si="1"/>
        <v>8.098313598851812</v>
      </c>
    </row>
    <row r="11" spans="1:11" ht="15.75" customHeight="1" thickBot="1">
      <c r="A11" s="28">
        <f t="shared" si="0"/>
        <v>7</v>
      </c>
      <c r="B11" s="118"/>
      <c r="C11" s="30" t="s">
        <v>40</v>
      </c>
      <c r="D11" s="31" t="s">
        <v>33</v>
      </c>
      <c r="E11" s="32" t="s">
        <v>41</v>
      </c>
      <c r="F11" s="33">
        <v>38723</v>
      </c>
      <c r="G11" s="31">
        <v>5</v>
      </c>
      <c r="H11" s="31">
        <v>1</v>
      </c>
      <c r="I11" s="34">
        <v>7149</v>
      </c>
      <c r="J11" s="35">
        <v>932</v>
      </c>
      <c r="K11" s="36">
        <f t="shared" si="1"/>
        <v>7.670600858369099</v>
      </c>
    </row>
    <row r="12" spans="1:12" ht="19.5" customHeight="1" thickBot="1">
      <c r="A12" s="28"/>
      <c r="B12" s="119"/>
      <c r="C12" s="40" t="s">
        <v>76</v>
      </c>
      <c r="D12" s="40"/>
      <c r="E12" s="40"/>
      <c r="F12" s="40"/>
      <c r="G12" s="40"/>
      <c r="H12" s="40"/>
      <c r="I12" s="120">
        <f>SUM(I5:I11)</f>
        <v>9144287.5</v>
      </c>
      <c r="J12" s="121">
        <f>SUM(J5:J11)</f>
        <v>1373927</v>
      </c>
      <c r="K12" s="122">
        <f t="shared" si="1"/>
        <v>6.655584685358101</v>
      </c>
      <c r="L12" s="123"/>
    </row>
    <row r="13" spans="1:12" s="50" customFormat="1" ht="9.75" customHeight="1" thickBot="1">
      <c r="A13" s="28"/>
      <c r="B13" s="124"/>
      <c r="C13" s="125"/>
      <c r="D13" s="125"/>
      <c r="E13" s="125"/>
      <c r="F13" s="125"/>
      <c r="G13" s="125"/>
      <c r="H13" s="125"/>
      <c r="I13" s="126"/>
      <c r="J13" s="126"/>
      <c r="K13" s="126"/>
      <c r="L13" s="127"/>
    </row>
    <row r="14" spans="1:11" ht="19.5" customHeight="1">
      <c r="A14" s="28"/>
      <c r="B14" s="82" t="s">
        <v>89</v>
      </c>
      <c r="C14" s="84"/>
      <c r="D14" s="84"/>
      <c r="E14" s="128"/>
      <c r="F14" s="129" t="s">
        <v>90</v>
      </c>
      <c r="G14" s="55"/>
      <c r="H14" s="130">
        <v>7</v>
      </c>
      <c r="I14" s="131">
        <v>3145198.75</v>
      </c>
      <c r="J14" s="132">
        <v>414255</v>
      </c>
      <c r="K14" s="133"/>
    </row>
    <row r="15" spans="1:11" ht="19.5" customHeight="1">
      <c r="A15" s="28"/>
      <c r="B15" s="134"/>
      <c r="C15" s="135"/>
      <c r="D15" s="135"/>
      <c r="E15" s="136"/>
      <c r="F15" s="135" t="s">
        <v>78</v>
      </c>
      <c r="G15" s="135"/>
      <c r="H15" s="137">
        <f>(A11-H14)/H14</f>
        <v>0</v>
      </c>
      <c r="I15" s="138">
        <f>(GBO_TOTAL-I14)/I14</f>
        <v>1.907379859539878</v>
      </c>
      <c r="J15" s="138">
        <f>(ADM_TOTAL-J14)/J14</f>
        <v>2.316621404690348</v>
      </c>
      <c r="K15" s="139"/>
    </row>
    <row r="16" spans="1:11" ht="19.5" customHeight="1" thickBot="1">
      <c r="A16" s="28"/>
      <c r="B16" s="62" t="s">
        <v>91</v>
      </c>
      <c r="C16" s="63"/>
      <c r="D16" s="63"/>
      <c r="E16" s="64"/>
      <c r="F16" s="140" t="s">
        <v>92</v>
      </c>
      <c r="G16" s="141"/>
      <c r="H16" s="142"/>
      <c r="I16" s="143">
        <f>(GBO_TOTAL-(((I14+((I14/100)*H16)))))/(((I14+((I14/100)*H16))))</f>
        <v>1.907379859539878</v>
      </c>
      <c r="J16" s="144"/>
      <c r="K16" s="145"/>
    </row>
    <row r="17" spans="1:11" ht="9.75" customHeight="1" thickBot="1">
      <c r="A17" s="28"/>
      <c r="B17" s="70"/>
      <c r="C17" s="146"/>
      <c r="D17" s="72"/>
      <c r="E17" s="147"/>
      <c r="F17" s="74"/>
      <c r="G17" s="74"/>
      <c r="H17" s="74"/>
      <c r="I17" s="148"/>
      <c r="J17" s="149"/>
      <c r="K17" s="149"/>
    </row>
    <row r="18" spans="1:13" ht="19.5" customHeight="1">
      <c r="A18" s="28"/>
      <c r="B18" s="82" t="s">
        <v>81</v>
      </c>
      <c r="C18" s="150"/>
      <c r="D18" s="150"/>
      <c r="E18" s="150"/>
      <c r="F18" s="151" t="s">
        <v>26</v>
      </c>
      <c r="G18" s="152"/>
      <c r="H18" s="152"/>
      <c r="I18" s="153"/>
      <c r="J18" s="154">
        <f>SUMIF(DIST:DIST_TOTAL,"WB",ADM:ADM_TOTAL)</f>
        <v>61351</v>
      </c>
      <c r="K18" s="155">
        <f>SUM(J18/J12)</f>
        <v>0.04465375525773931</v>
      </c>
      <c r="M18" s="53"/>
    </row>
    <row r="19" spans="1:11" ht="19.5" customHeight="1">
      <c r="A19" s="28"/>
      <c r="B19" s="156"/>
      <c r="C19" s="157"/>
      <c r="D19" s="157"/>
      <c r="E19" s="158"/>
      <c r="F19" s="156" t="s">
        <v>13</v>
      </c>
      <c r="G19" s="159"/>
      <c r="H19" s="159"/>
      <c r="I19" s="160"/>
      <c r="J19" s="161">
        <f>SUMIF(DIST:DIST_TOTAL,"OZEN",ADM:ADM_TOTAL)</f>
        <v>871283</v>
      </c>
      <c r="K19" s="162">
        <f>SUM(J19/J12)</f>
        <v>0.6341552353218184</v>
      </c>
    </row>
    <row r="20" spans="1:11" ht="19.5" customHeight="1">
      <c r="A20" s="28"/>
      <c r="B20" s="156"/>
      <c r="C20" s="157"/>
      <c r="D20" s="157"/>
      <c r="E20" s="158"/>
      <c r="F20" s="156" t="s">
        <v>23</v>
      </c>
      <c r="G20" s="159"/>
      <c r="H20" s="159"/>
      <c r="I20" s="160"/>
      <c r="J20" s="161">
        <f>SUMIF(DIST:DIST_TOTAL,"UIP",ADM:ADM_TOTAL)</f>
        <v>0</v>
      </c>
      <c r="K20" s="162">
        <f>SUM(J20/J12)</f>
        <v>0</v>
      </c>
    </row>
    <row r="21" spans="1:11" ht="19.5" customHeight="1">
      <c r="A21" s="28"/>
      <c r="B21" s="156"/>
      <c r="C21" s="157"/>
      <c r="D21" s="157"/>
      <c r="E21" s="158"/>
      <c r="F21" s="156" t="s">
        <v>16</v>
      </c>
      <c r="G21" s="159"/>
      <c r="H21" s="159"/>
      <c r="I21" s="160"/>
      <c r="J21" s="161">
        <f>SUMIF(DIST:DIST_TOTAL,"KENDA",ADM:ADM_TOTAL)</f>
        <v>418632</v>
      </c>
      <c r="K21" s="162">
        <f>SUM(J21/J12)</f>
        <v>0.3046974111433868</v>
      </c>
    </row>
    <row r="22" spans="1:11" ht="19.5" customHeight="1">
      <c r="A22" s="28"/>
      <c r="B22" s="156"/>
      <c r="C22" s="157"/>
      <c r="D22" s="157"/>
      <c r="E22" s="158"/>
      <c r="F22" s="156" t="s">
        <v>58</v>
      </c>
      <c r="G22" s="159"/>
      <c r="H22" s="159"/>
      <c r="I22" s="160"/>
      <c r="J22" s="161">
        <f>SUMIF(DIST:DIST_TOTAL,"MEDYAVIZYON",ADM:ADM_TOTAL)</f>
        <v>0</v>
      </c>
      <c r="K22" s="162">
        <f>SUM(J22/J12)</f>
        <v>0</v>
      </c>
    </row>
    <row r="23" spans="1:11" ht="19.5" customHeight="1" thickBot="1">
      <c r="A23" s="28"/>
      <c r="B23" s="163"/>
      <c r="C23" s="164"/>
      <c r="D23" s="164"/>
      <c r="E23" s="164"/>
      <c r="F23" s="163" t="s">
        <v>82</v>
      </c>
      <c r="G23" s="165"/>
      <c r="H23" s="165"/>
      <c r="I23" s="166"/>
      <c r="J23" s="167">
        <f>+ADM_TOTAL-J18-J20-J19-J22-J21</f>
        <v>22661</v>
      </c>
      <c r="K23" s="168">
        <f>SUM(J23/J12)</f>
        <v>0.016493598277055477</v>
      </c>
    </row>
    <row r="24" spans="1:11" ht="9.75" customHeight="1" hidden="1" thickBot="1">
      <c r="A24" s="28"/>
      <c r="B24" s="70"/>
      <c r="C24" s="146"/>
      <c r="D24" s="72"/>
      <c r="E24" s="147"/>
      <c r="F24" s="74"/>
      <c r="G24" s="74"/>
      <c r="H24" s="74"/>
      <c r="I24" s="148"/>
      <c r="J24" s="149"/>
      <c r="K24" s="149"/>
    </row>
    <row r="25" spans="1:11" ht="19.5" customHeight="1" hidden="1">
      <c r="A25" s="28"/>
      <c r="B25" s="82" t="s">
        <v>81</v>
      </c>
      <c r="C25" s="150"/>
      <c r="D25" s="150"/>
      <c r="E25" s="169"/>
      <c r="F25" s="170" t="s">
        <v>93</v>
      </c>
      <c r="G25" s="171"/>
      <c r="H25" s="171"/>
      <c r="I25" s="172" t="e">
        <f>SUM(GBO:GBO20)</f>
        <v>#REF!</v>
      </c>
      <c r="J25" s="173" t="e">
        <f>SUM(ADM:ADM20)</f>
        <v>#REF!</v>
      </c>
      <c r="K25" s="174"/>
    </row>
    <row r="26" spans="1:11" ht="19.5" customHeight="1" hidden="1">
      <c r="A26" s="28"/>
      <c r="B26" s="156"/>
      <c r="C26" s="157"/>
      <c r="D26" s="157"/>
      <c r="E26" s="175"/>
      <c r="F26" s="176" t="s">
        <v>26</v>
      </c>
      <c r="G26" s="135"/>
      <c r="H26" s="135"/>
      <c r="I26" s="136"/>
      <c r="J26" s="161" t="e">
        <f>SUMIF(DIST:DIST20,"WB",ADM:ADM20)</f>
        <v>#REF!</v>
      </c>
      <c r="K26" s="162" t="e">
        <f>SUM(J26/J25)</f>
        <v>#REF!</v>
      </c>
    </row>
    <row r="27" spans="1:11" ht="19.5" customHeight="1" hidden="1">
      <c r="A27" s="28"/>
      <c r="B27" s="156"/>
      <c r="C27" s="157"/>
      <c r="D27" s="157"/>
      <c r="E27" s="175"/>
      <c r="F27" s="176" t="s">
        <v>13</v>
      </c>
      <c r="G27" s="135"/>
      <c r="H27" s="135"/>
      <c r="I27" s="136"/>
      <c r="J27" s="161" t="e">
        <f>SUMIF(DIST:DIST20,"OZEN",ADM:ADM20)</f>
        <v>#REF!</v>
      </c>
      <c r="K27" s="162" t="e">
        <f>SUM(J27/J25)</f>
        <v>#REF!</v>
      </c>
    </row>
    <row r="28" spans="1:11" ht="19.5" customHeight="1" hidden="1">
      <c r="A28" s="28"/>
      <c r="B28" s="156"/>
      <c r="C28" s="157"/>
      <c r="D28" s="157"/>
      <c r="E28" s="175"/>
      <c r="F28" s="176" t="s">
        <v>23</v>
      </c>
      <c r="G28" s="135"/>
      <c r="H28" s="135"/>
      <c r="I28" s="136"/>
      <c r="J28" s="161" t="e">
        <f>SUMIF(DIST:DIST20,"UIP",ADM:ADM20)</f>
        <v>#REF!</v>
      </c>
      <c r="K28" s="162" t="e">
        <f>SUM(J28/J25)</f>
        <v>#REF!</v>
      </c>
    </row>
    <row r="29" spans="1:11" ht="19.5" customHeight="1" hidden="1">
      <c r="A29" s="28"/>
      <c r="B29" s="156"/>
      <c r="C29" s="157"/>
      <c r="D29" s="157"/>
      <c r="E29" s="175"/>
      <c r="F29" s="176" t="s">
        <v>16</v>
      </c>
      <c r="G29" s="135"/>
      <c r="H29" s="135"/>
      <c r="I29" s="136"/>
      <c r="J29" s="161" t="e">
        <f>SUMIF(DIST:DIST20,"KENDA",ADM:ADM20)</f>
        <v>#REF!</v>
      </c>
      <c r="K29" s="162" t="e">
        <f>SUM(J29/J25)</f>
        <v>#REF!</v>
      </c>
    </row>
    <row r="30" spans="1:11" ht="19.5" customHeight="1" hidden="1">
      <c r="A30" s="28"/>
      <c r="B30" s="156"/>
      <c r="C30" s="157"/>
      <c r="D30" s="157"/>
      <c r="E30" s="175"/>
      <c r="F30" s="176" t="s">
        <v>58</v>
      </c>
      <c r="G30" s="135"/>
      <c r="H30" s="135"/>
      <c r="I30" s="136"/>
      <c r="J30" s="161" t="e">
        <f>SUMIF(DIST:DIST20,"MEDYAVIZYON",ADM:ADM20)</f>
        <v>#REF!</v>
      </c>
      <c r="K30" s="162" t="e">
        <f>SUM(J30/J25)</f>
        <v>#REF!</v>
      </c>
    </row>
    <row r="31" spans="1:11" ht="19.5" customHeight="1" hidden="1" thickBot="1">
      <c r="A31" s="28"/>
      <c r="B31" s="163"/>
      <c r="C31" s="164"/>
      <c r="D31" s="164"/>
      <c r="E31" s="177"/>
      <c r="F31" s="178" t="s">
        <v>82</v>
      </c>
      <c r="G31" s="94"/>
      <c r="H31" s="94"/>
      <c r="I31" s="179"/>
      <c r="J31" s="167" t="e">
        <f>+J25-J26-J28-J27-J30-J29</f>
        <v>#REF!</v>
      </c>
      <c r="K31" s="180" t="e">
        <f>SUM(J31/J25)</f>
        <v>#REF!</v>
      </c>
    </row>
    <row r="33" spans="1:13" s="116" customFormat="1" ht="24.75" customHeight="1">
      <c r="A33" s="114"/>
      <c r="B33" s="115" t="s">
        <v>94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4"/>
      <c r="M33" s="114"/>
    </row>
  </sheetData>
  <mergeCells count="31">
    <mergeCell ref="B33:K33"/>
    <mergeCell ref="B16:E16"/>
    <mergeCell ref="F16:G16"/>
    <mergeCell ref="F20:I20"/>
    <mergeCell ref="F19:I19"/>
    <mergeCell ref="B18:E23"/>
    <mergeCell ref="F18:I18"/>
    <mergeCell ref="F23:I23"/>
    <mergeCell ref="F21:I21"/>
    <mergeCell ref="F22:I22"/>
    <mergeCell ref="C12:H12"/>
    <mergeCell ref="B14:E15"/>
    <mergeCell ref="F14:G14"/>
    <mergeCell ref="F15:G15"/>
    <mergeCell ref="B25:E31"/>
    <mergeCell ref="F27:I27"/>
    <mergeCell ref="F31:I31"/>
    <mergeCell ref="F30:I30"/>
    <mergeCell ref="F29:I29"/>
    <mergeCell ref="F25:H25"/>
    <mergeCell ref="F26:I26"/>
    <mergeCell ref="F28:I28"/>
    <mergeCell ref="B1:K1"/>
    <mergeCell ref="C3:C4"/>
    <mergeCell ref="D3:D4"/>
    <mergeCell ref="E3:E4"/>
    <mergeCell ref="F3:F4"/>
    <mergeCell ref="G3:G4"/>
    <mergeCell ref="H3:H4"/>
    <mergeCell ref="K3:K4"/>
    <mergeCell ref="I3:J3"/>
  </mergeCells>
  <printOptions horizontalCentered="1"/>
  <pageMargins left="0.5905511811023623" right="0.5905511811023623" top="0.5905511811023623" bottom="0.5905511811023623" header="0.5118110236220472" footer="0.5118110236220472"/>
  <pageSetup fitToHeight="3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2006-01-17T14:31:02Z</dcterms:created>
  <dcterms:modified xsi:type="dcterms:W3CDTF">2006-01-17T14:31:39Z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-867737100</vt:i4>
  </property>
  <property fmtid="{D5CDD505-2E9C-101B-9397-08002B2CF9AE}" pid="4" name="_EmailSubje">
    <vt:lpwstr>Weekly &amp; All Box Office Reports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