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60" windowWidth="19320" windowHeight="12120" tabRatio="806" activeTab="0"/>
  </bookViews>
  <sheets>
    <sheet name="09 SAYI DETAY-OVERALL GBO&amp;ADD" sheetId="1" r:id="rId1"/>
    <sheet name="DAĞITIMCILAR-DISTRIBUTION" sheetId="2" r:id="rId2"/>
    <sheet name="09 HEPSİ-ALL" sheetId="3" r:id="rId3"/>
    <sheet name="BÜTÜN YERLİLER-ALL LOCAL" sheetId="4" r:id="rId4"/>
    <sheet name="09 YABANCI-09'S FOREIGN" sheetId="5" r:id="rId5"/>
  </sheets>
  <definedNames/>
  <calcPr fullCalcOnLoad="1"/>
</workbook>
</file>

<file path=xl/sharedStrings.xml><?xml version="1.0" encoding="utf-8"?>
<sst xmlns="http://schemas.openxmlformats.org/spreadsheetml/2006/main" count="1376" uniqueCount="527">
  <si>
    <t>box office</t>
  </si>
  <si>
    <t>admission</t>
  </si>
  <si>
    <t>ex years rleases all 2009 öncesi vizyonları toplam</t>
  </si>
  <si>
    <t>ex years local releases 2009 öncesi vizyonları yerli film</t>
  </si>
  <si>
    <t>ex years foreign relases 2009 öncesi vizyonları yabancı film</t>
  </si>
  <si>
    <t>all local releases 2009 yılı yerli film</t>
  </si>
  <si>
    <t>all foreign films 2009 yılı yabancı film</t>
  </si>
  <si>
    <t>new releases all 2009 yılı yeni vizyonları toplam</t>
  </si>
  <si>
    <t>all releases 2009 yılı toplam</t>
  </si>
  <si>
    <t>new local releases 2009 yılı yeni vizyonları yerli film</t>
  </si>
  <si>
    <t>new foreign releases 2009 yılı yeni vizyonları yabancı film</t>
  </si>
  <si>
    <t>VICKY CRISTINA BARCELONA</t>
  </si>
  <si>
    <t>BIR FILM</t>
  </si>
  <si>
    <t>HE'S JUST NOT THAT INTO YOU</t>
  </si>
  <si>
    <t>G.I.JOE: THE RISE OF COBRA</t>
  </si>
  <si>
    <t>INKHEART</t>
  </si>
  <si>
    <t>NEW LINE</t>
  </si>
  <si>
    <t>X-MEN ORIGINS: WOLVERINE</t>
  </si>
  <si>
    <t>MY BLOODY VALENTINE 3D</t>
  </si>
  <si>
    <t>UGLY TRUTH</t>
  </si>
  <si>
    <t>VALKYRIE</t>
  </si>
  <si>
    <t>UNBORN, THE</t>
  </si>
  <si>
    <t>PUBLIC ENEMIES</t>
  </si>
  <si>
    <t>PROPOSAL,THE</t>
  </si>
  <si>
    <t>NIGHT AT THE MUSEUM 2</t>
  </si>
  <si>
    <t>GHOSTS OF GIRLFRIEND PAST</t>
  </si>
  <si>
    <t>TAKING OF PELHAM 1-2-3</t>
  </si>
  <si>
    <t>KARANLIKTAKİLER</t>
  </si>
  <si>
    <t>MOST PRODUCTION</t>
  </si>
  <si>
    <t>SECRET OF MOONACRE, THE</t>
  </si>
  <si>
    <t>VAVİEN</t>
  </si>
  <si>
    <t>IMAJ</t>
  </si>
  <si>
    <t>G-FORCE</t>
  </si>
  <si>
    <t>ABİMM</t>
  </si>
  <si>
    <t>ELITA FILM</t>
  </si>
  <si>
    <t>CLOUDY WITH A CHANCE OF MEATBALLS</t>
  </si>
  <si>
    <t>DUPLICITY</t>
  </si>
  <si>
    <t>WATCHMEN</t>
  </si>
  <si>
    <t>UNDERWORLD 3</t>
  </si>
  <si>
    <t>USTA</t>
  </si>
  <si>
    <t>FILMPARK</t>
  </si>
  <si>
    <t>LAST HOUSE ON THE LEFT</t>
  </si>
  <si>
    <t>CARRIERS</t>
  </si>
  <si>
    <t>İKİ DİL BİR BAVUL</t>
  </si>
  <si>
    <t>PERISAN FILM</t>
  </si>
  <si>
    <t>NIKO &amp; THE WAY TO THE STARS</t>
  </si>
  <si>
    <t>TELEPOOL</t>
  </si>
  <si>
    <t>HOTEL FOR DOGS</t>
  </si>
  <si>
    <t>MARLEY AND ME</t>
  </si>
  <si>
    <t>READER, THE</t>
  </si>
  <si>
    <t>WEINSTEIN CO.</t>
  </si>
  <si>
    <t>BAŞKA DİLDE AŞK</t>
  </si>
  <si>
    <t>PPR PRODUKSIYON</t>
  </si>
  <si>
    <t>GAMER</t>
  </si>
  <si>
    <t>D PRODUCTIONS</t>
  </si>
  <si>
    <t>BLUE ELEPHANT</t>
  </si>
  <si>
    <t>TMC</t>
  </si>
  <si>
    <t>CONFESSION OF A SHOPAHOLIC</t>
  </si>
  <si>
    <t>BRIDE WARS</t>
  </si>
  <si>
    <t>THIS IS IT</t>
  </si>
  <si>
    <t>HORSEMEN</t>
  </si>
  <si>
    <t>PINK PANTHER 2</t>
  </si>
  <si>
    <t>DRAG ME TO HELL</t>
  </si>
  <si>
    <t>(500) DAYS OF SUMMER</t>
  </si>
  <si>
    <t>CORALINE</t>
  </si>
  <si>
    <t>RACE TO WITCH MOUNTAIN</t>
  </si>
  <si>
    <t>ALIENS IN THE ATTIC</t>
  </si>
  <si>
    <t>DISTRICT 9</t>
  </si>
  <si>
    <t>CHRISTMAS CAROL</t>
  </si>
  <si>
    <t>MY BEST FRIEND'S GIRL</t>
  </si>
  <si>
    <t>GNOMES AND TROLLS: THE SECRET CHAMBER</t>
  </si>
  <si>
    <t>CINEMATEQUE</t>
  </si>
  <si>
    <t>ALVIN &amp; THE CHIPMUNKS 2</t>
  </si>
  <si>
    <t>DOUBT</t>
  </si>
  <si>
    <t>NEW IN TOWN</t>
  </si>
  <si>
    <t>LAST CHANCE HARVEY</t>
  </si>
  <si>
    <t>SCAR</t>
  </si>
  <si>
    <t>GRAN TORINO</t>
  </si>
  <si>
    <t>OCEAN WORLD 3D</t>
  </si>
  <si>
    <t>BIR FILM-TIGLON</t>
  </si>
  <si>
    <t>PRIDE AND GLORY</t>
  </si>
  <si>
    <t>GÖLGESİZLER</t>
  </si>
  <si>
    <t>NARSIST FILM</t>
  </si>
  <si>
    <t>BAŞKA SEMTİN ÇOCUKLARI</t>
  </si>
  <si>
    <t>BULUT FILM</t>
  </si>
  <si>
    <t>hasılat</t>
  </si>
  <si>
    <t>seyirci</t>
  </si>
  <si>
    <t>2009'da toplam seyirci, toplam hasılat ve açılımları</t>
  </si>
  <si>
    <t>NEFES: VATAN SAĞOLSUN</t>
  </si>
  <si>
    <t>MEDYAVIZYON</t>
  </si>
  <si>
    <t>FIDA FILM-CREAVIDI</t>
  </si>
  <si>
    <t>GÜNEŞİ GÖRDÜM</t>
  </si>
  <si>
    <t>PINEMA</t>
  </si>
  <si>
    <t>BOYUT FILM</t>
  </si>
  <si>
    <t>COLUMBIA</t>
  </si>
  <si>
    <t>ICE AGE 3: DAWN OF THE DINOSAURS</t>
  </si>
  <si>
    <t>TIGLON</t>
  </si>
  <si>
    <t>FOX</t>
  </si>
  <si>
    <t>TWILIGHT SAGA: NEW MOON</t>
  </si>
  <si>
    <t>FIDA FILM</t>
  </si>
  <si>
    <t xml:space="preserve">NEŞELİ HAYAT </t>
  </si>
  <si>
    <t>CINEFILM</t>
  </si>
  <si>
    <t>BKM</t>
  </si>
  <si>
    <t>AVATAR</t>
  </si>
  <si>
    <t>KURTLAR VADİSİ GLADİO</t>
  </si>
  <si>
    <t>OZEN FILM</t>
  </si>
  <si>
    <t>PANA FILM</t>
  </si>
  <si>
    <t>ANGELS &amp; DEMONS</t>
  </si>
  <si>
    <t>HARRY POTTER: HALF-BLOOD PRINCE</t>
  </si>
  <si>
    <t>WARNER BROS.</t>
  </si>
  <si>
    <t>GÜZ SANCISI</t>
  </si>
  <si>
    <t>C YAPIM</t>
  </si>
  <si>
    <t>CURIOUS CASE OF BENJAMIN BUTTON</t>
  </si>
  <si>
    <t>KADRİ'NİN GÖTÜRDÜĞÜ YERE GİT</t>
  </si>
  <si>
    <t>U.S.T.A-MEDYAVIZYON</t>
  </si>
  <si>
    <t>KOLPAÇİNO</t>
  </si>
  <si>
    <t>IYI SEYIRLER</t>
  </si>
  <si>
    <t>OXFORD MURDERS</t>
  </si>
  <si>
    <t>CAPITOL</t>
  </si>
  <si>
    <t>ALL THE BOYS LOVE MANDY LANE</t>
  </si>
  <si>
    <t>FILM POP</t>
  </si>
  <si>
    <t>MELEKLER VE KUMARBAZLAR</t>
  </si>
  <si>
    <t>12 ROUNDS</t>
  </si>
  <si>
    <t>DIARY OF A SEX ADDICT</t>
  </si>
  <si>
    <t>POUR ELLE (ANYTHING FOR HER)</t>
  </si>
  <si>
    <t>FILMA</t>
  </si>
  <si>
    <t>BLINDNESS</t>
  </si>
  <si>
    <t>GÖKTEN ÜÇ ELMA DÜŞTÜ</t>
  </si>
  <si>
    <t>DEFNE FILM</t>
  </si>
  <si>
    <t>NO MAN'S LAND: THE RISE OF REEKER 2</t>
  </si>
  <si>
    <t>KAMPÜSTE ÇIPLAK AYAKLAR</t>
  </si>
  <si>
    <t>KIPROKO FILM</t>
  </si>
  <si>
    <t>COMING SOON</t>
  </si>
  <si>
    <t>EASY VIRTUE</t>
  </si>
  <si>
    <t>DREAD</t>
  </si>
  <si>
    <t>FAME</t>
  </si>
  <si>
    <t>HADİGARİ CUMHUR</t>
  </si>
  <si>
    <t>METAFOR</t>
  </si>
  <si>
    <t>HUSH</t>
  </si>
  <si>
    <t>HEXE LILLI, DER DRACHE UND DAS MAGISCHE BUCH</t>
  </si>
  <si>
    <t>BLUE EYES FICTION</t>
  </si>
  <si>
    <t>51</t>
  </si>
  <si>
    <t>6</t>
  </si>
  <si>
    <t>WRESTLER, THE</t>
  </si>
  <si>
    <t>BIR FILM-MARS PRODUCTION</t>
  </si>
  <si>
    <t>MUTANT CHRONICLES, THE</t>
  </si>
  <si>
    <t>VOLTAGE</t>
  </si>
  <si>
    <t>BURNING PLAIN</t>
  </si>
  <si>
    <t>2929 INTERNATIONAL</t>
  </si>
  <si>
    <t>NO OFSAYT</t>
  </si>
  <si>
    <t>ALI TARAN</t>
  </si>
  <si>
    <t>SUNSHINE CLEANING</t>
  </si>
  <si>
    <t>SADDAM'IN ASKERLERİ</t>
  </si>
  <si>
    <t>7.SANAT</t>
  </si>
  <si>
    <t>SÜPÜRRR!</t>
  </si>
  <si>
    <t>TILSIM DESIGN</t>
  </si>
  <si>
    <t>MILK</t>
  </si>
  <si>
    <t>LARGO WINCH</t>
  </si>
  <si>
    <t>TRAITOR</t>
  </si>
  <si>
    <t>VERTIGE (HIGH LINE)</t>
  </si>
  <si>
    <t>NE TE RETOURNE PAS (DON'T LOOK BACK)</t>
  </si>
  <si>
    <t xml:space="preserve">BORNOVA BORNOVA </t>
  </si>
  <si>
    <t>VALİ</t>
  </si>
  <si>
    <t>KOLIBA FILM</t>
  </si>
  <si>
    <t>FAST AND THE FURIOUS, THE</t>
  </si>
  <si>
    <t>UNIVERSAL</t>
  </si>
  <si>
    <t>SLUMDOG MILLIONAIRE</t>
  </si>
  <si>
    <t>CHANTIER-PINEMA</t>
  </si>
  <si>
    <t>PATHE</t>
  </si>
  <si>
    <t>FINAL DESTINATION 4 (3D)</t>
  </si>
  <si>
    <t>YES MAN</t>
  </si>
  <si>
    <t>INGLOURIOUS BASTERDS</t>
  </si>
  <si>
    <t>TRANSFORMERS 2</t>
  </si>
  <si>
    <t>PARAMOUNT</t>
  </si>
  <si>
    <t>KNOWING</t>
  </si>
  <si>
    <t>TWILIGHT</t>
  </si>
  <si>
    <t>GECENİN KANATLARI</t>
  </si>
  <si>
    <t>UP</t>
  </si>
  <si>
    <t>WALT DISNEY</t>
  </si>
  <si>
    <t>TÜRKLER ÇILDIRMIŞ OLMALI</t>
  </si>
  <si>
    <t>AVSAR FILM</t>
  </si>
  <si>
    <t>TERMINATOR: SALVATION</t>
  </si>
  <si>
    <t>TALE OF DESPEREAUX, THE</t>
  </si>
  <si>
    <t>KANAL-İ-ZASYON</t>
  </si>
  <si>
    <t>TIGLON-DADA FILM</t>
  </si>
  <si>
    <t>AŞK GELİYORUM DEMEZ</t>
  </si>
  <si>
    <t>TIM'S-SUGARWORKZ</t>
  </si>
  <si>
    <t>AYAKTA KAL</t>
  </si>
  <si>
    <t>SURROGATES</t>
  </si>
  <si>
    <t>MONSTERS VS. ALIENS</t>
  </si>
  <si>
    <t>SAW VI</t>
  </si>
  <si>
    <t>ADINI SEN KOY</t>
  </si>
  <si>
    <t>ELIZI FILM</t>
  </si>
  <si>
    <t>UMUT</t>
  </si>
  <si>
    <t>OZEN-HERMES</t>
  </si>
  <si>
    <t>AYDIN FILM</t>
  </si>
  <si>
    <t>BEDTIME STORIES</t>
  </si>
  <si>
    <t>HANGOVER</t>
  </si>
  <si>
    <t>ACI AŞK</t>
  </si>
  <si>
    <t>TIM'S</t>
  </si>
  <si>
    <t>OPEN SEASON 2</t>
  </si>
  <si>
    <t>SPHE</t>
  </si>
  <si>
    <t>HAUNTING IN CONNECTICUT</t>
  </si>
  <si>
    <t>SEVEN POUNDS</t>
  </si>
  <si>
    <t>DABBE 2</t>
  </si>
  <si>
    <t>J PLAN</t>
  </si>
  <si>
    <t>CHANGELING</t>
  </si>
  <si>
    <t>SİZİ SEVİYORUM</t>
  </si>
  <si>
    <t>MIA YAPIM</t>
  </si>
  <si>
    <t>SONSUZ</t>
  </si>
  <si>
    <t>SPOT FILM</t>
  </si>
  <si>
    <t>STAR TREK</t>
  </si>
  <si>
    <t>REVOLUTIONARY ROAD</t>
  </si>
  <si>
    <t>ADAB-I MUAŞERET</t>
  </si>
  <si>
    <t>TIME TRAVELLER'S WIFE</t>
  </si>
  <si>
    <t>MY SISTER'S KEEPER</t>
  </si>
  <si>
    <t>STATE OF PLAY</t>
  </si>
  <si>
    <t>FRIDAY THE 13TH</t>
  </si>
  <si>
    <t>ORPHAN</t>
  </si>
  <si>
    <t>CRANK 2: HIGH VOLTAGE</t>
  </si>
  <si>
    <t>KİRPİ</t>
  </si>
  <si>
    <t>DEMO-SARAN</t>
  </si>
  <si>
    <t>LA VERITABLE HISTOIRE DU CHAT BOTTE</t>
  </si>
  <si>
    <t>R FILM</t>
  </si>
  <si>
    <t>17 AGAIN</t>
  </si>
  <si>
    <t>UNINVITED, THE</t>
  </si>
  <si>
    <t>PASSENGERS</t>
  </si>
  <si>
    <t>CICEK FILM</t>
  </si>
  <si>
    <t>SÜT</t>
  </si>
  <si>
    <t>KAPLAN FILM</t>
  </si>
  <si>
    <t>NOTHING IS PRIVATE</t>
  </si>
  <si>
    <t>OKURIBITO (DEPARTURES)</t>
  </si>
  <si>
    <t>COUNTESS, THE</t>
  </si>
  <si>
    <t>TOURNAMENT, THE</t>
  </si>
  <si>
    <t>HORIZON</t>
  </si>
  <si>
    <t>CAPITALISM: A LOVE STORY</t>
  </si>
  <si>
    <t>GÖLGE</t>
  </si>
  <si>
    <t>LUP FILM</t>
  </si>
  <si>
    <t>PONTYPOOL</t>
  </si>
  <si>
    <t>A+ FILMS</t>
  </si>
  <si>
    <t>L'INSTINCT DE MORT</t>
  </si>
  <si>
    <t>APPALOOSA</t>
  </si>
  <si>
    <t>SARI SATEN</t>
  </si>
  <si>
    <t>SON FILM</t>
  </si>
  <si>
    <t>ACI</t>
  </si>
  <si>
    <t>MFP-CINEGROUP</t>
  </si>
  <si>
    <t>SAN FILM</t>
  </si>
  <si>
    <t>HURT LOCKER</t>
  </si>
  <si>
    <t>VOLTAGE PICTURES</t>
  </si>
  <si>
    <t>RICKY</t>
  </si>
  <si>
    <t>L'ENNEMI INTIME</t>
  </si>
  <si>
    <t>SECRET DEFENCE</t>
  </si>
  <si>
    <t>ZEYTİNİN HAYALİ</t>
  </si>
  <si>
    <t>ELLA YAPIM</t>
  </si>
  <si>
    <t>HE WAS A QUIET MAN</t>
  </si>
  <si>
    <t>ERMAN FILM</t>
  </si>
  <si>
    <t>BLEIBERG</t>
  </si>
  <si>
    <t>ÖLDÜR BENİ</t>
  </si>
  <si>
    <t>SAYGIN</t>
  </si>
  <si>
    <t>FROST NIXON</t>
  </si>
  <si>
    <t>SZABADSAG, SZERELEM (CHILDREN OF GLORY)</t>
  </si>
  <si>
    <t>PALERMO SHOOTING</t>
  </si>
  <si>
    <t>I SKONI TOU HRONOU (DUST OF TIME, THE)</t>
  </si>
  <si>
    <t>FILMARTI</t>
  </si>
  <si>
    <t>IMMIGRANTS</t>
  </si>
  <si>
    <t>DU SARAM YIDA (SOMEONE BEHIND YOU)</t>
  </si>
  <si>
    <t>YASAM ARSIZI</t>
  </si>
  <si>
    <t>UMUT SANAT</t>
  </si>
  <si>
    <t>TIYATROFIL</t>
  </si>
  <si>
    <t>WALTZ WITH BASHIR</t>
  </si>
  <si>
    <t>İKİ ÇİZGİ</t>
  </si>
  <si>
    <t>EVCI FILM</t>
  </si>
  <si>
    <t>DİLBER'İN SEKİZ GÜNÜ</t>
  </si>
  <si>
    <t>RUMBA</t>
  </si>
  <si>
    <t>HAVAR</t>
  </si>
  <si>
    <t>HAYATIN TUZU</t>
  </si>
  <si>
    <t>CHILDREN, THE</t>
  </si>
  <si>
    <t>PROTAGONIST PICTURES</t>
  </si>
  <si>
    <t>HANNAH MONTANA</t>
  </si>
  <si>
    <t>SPIRIT, THE</t>
  </si>
  <si>
    <t>ODDLOT</t>
  </si>
  <si>
    <t>EDEN LAKE</t>
  </si>
  <si>
    <t>TERRA</t>
  </si>
  <si>
    <t>KONAK</t>
  </si>
  <si>
    <t>OYKU YAPIM</t>
  </si>
  <si>
    <t>ROADSIDE ROMEO</t>
  </si>
  <si>
    <t>ICON MEDYA</t>
  </si>
  <si>
    <t>FUNNY PEOPLE</t>
  </si>
  <si>
    <t>MOMMO</t>
  </si>
  <si>
    <t>AT YAPIM</t>
  </si>
  <si>
    <t>COUPLES RETREAT</t>
  </si>
  <si>
    <t>FOUR CHRISTMASES</t>
  </si>
  <si>
    <t>COCO CHANEL &amp; IGOR STRAVINSKY</t>
  </si>
  <si>
    <t>COCO AVANT CHANEL</t>
  </si>
  <si>
    <t>CHANTIER FILMS</t>
  </si>
  <si>
    <t>FILMS DIST.</t>
  </si>
  <si>
    <t>PUSH</t>
  </si>
  <si>
    <t>LISSI AND THE WILD EMPEROR</t>
  </si>
  <si>
    <t>KISKANMAK</t>
  </si>
  <si>
    <t>YERLI FILM</t>
  </si>
  <si>
    <t>JENNIFER'S BODY</t>
  </si>
  <si>
    <t>FROM WITHIN</t>
  </si>
  <si>
    <t>BEVERLY HILLS CHIHUAHUA</t>
  </si>
  <si>
    <t>DISNEY</t>
  </si>
  <si>
    <t>SPLINTER</t>
  </si>
  <si>
    <t>KANIMDAKI BARUT</t>
  </si>
  <si>
    <t>PASHA</t>
  </si>
  <si>
    <t>THICK AS THIEVES</t>
  </si>
  <si>
    <t>SINETEL</t>
  </si>
  <si>
    <t>RECEP İVEDİK 2</t>
  </si>
  <si>
    <t>OZEN-AKSOY FILM</t>
  </si>
  <si>
    <t>MARATHON</t>
  </si>
  <si>
    <t>AGE OF STUPID</t>
  </si>
  <si>
    <t>U2 3D</t>
  </si>
  <si>
    <t>MARS ENT.</t>
  </si>
  <si>
    <t>7 KOCALI HÜRMÜZ</t>
  </si>
  <si>
    <t>5. BOYUT</t>
  </si>
  <si>
    <t>WARNER BROS. TÜRKİYE</t>
  </si>
  <si>
    <t>UIP TÜRKİYE</t>
  </si>
  <si>
    <t>EL YAPIMI FILM</t>
  </si>
  <si>
    <t>GULERYUZ FILM</t>
  </si>
  <si>
    <t>HAYAL ET FILM</t>
  </si>
  <si>
    <t>MARS PRODUCTION</t>
  </si>
  <si>
    <t>FIDA FILM-AKSOY FİLM</t>
  </si>
  <si>
    <t>SINE FILM</t>
  </si>
  <si>
    <t>MGM-COLUMBIA</t>
  </si>
  <si>
    <t>NU IMAGE FILMS</t>
  </si>
  <si>
    <t>41</t>
  </si>
  <si>
    <t>9</t>
  </si>
  <si>
    <t>KELEBEK</t>
  </si>
  <si>
    <t>SANAI NEFISE</t>
  </si>
  <si>
    <t>SUNSHINE BARRY AND THE DISCO WORMS (DISCO ORMENE)</t>
  </si>
  <si>
    <t xml:space="preserve">SOLA MEDIA </t>
  </si>
  <si>
    <t>UZAK İHTİMAL</t>
  </si>
  <si>
    <t>HOKUSFOKUS</t>
  </si>
  <si>
    <t>I LOVE YOU, MAN</t>
  </si>
  <si>
    <t>OUTLANDER</t>
  </si>
  <si>
    <t>OZEN-UMUT</t>
  </si>
  <si>
    <t>PANDORA'NIN KUTUSU</t>
  </si>
  <si>
    <t>USTAOGLU</t>
  </si>
  <si>
    <t>HUMANS</t>
  </si>
  <si>
    <t>SPACE CHIMPS</t>
  </si>
  <si>
    <t>FILMPOP</t>
  </si>
  <si>
    <t>MARTYRS</t>
  </si>
  <si>
    <t xml:space="preserve">BIR FILM   </t>
  </si>
  <si>
    <t>BLOOD: THE LAST VAMPIRE</t>
  </si>
  <si>
    <t>FOCUS FEATURES</t>
  </si>
  <si>
    <t>TOTALLY SPIES</t>
  </si>
  <si>
    <t>SEE PRANG</t>
  </si>
  <si>
    <t>DUKA FILM</t>
  </si>
  <si>
    <t>10</t>
  </si>
  <si>
    <t>19</t>
  </si>
  <si>
    <t>FRITT WILT II (COLD PREY 2)</t>
  </si>
  <si>
    <t>11</t>
  </si>
  <si>
    <t>15</t>
  </si>
  <si>
    <t>CLIVE BARKER'S BOOK OF BLOOD</t>
  </si>
  <si>
    <t>ADMISSION</t>
  </si>
  <si>
    <t>COMPANY</t>
  </si>
  <si>
    <t>YAPIM, İTHALAT</t>
  </si>
  <si>
    <t>KOPYA</t>
  </si>
  <si>
    <t>COPY</t>
  </si>
  <si>
    <t>BOX OFFICE</t>
  </si>
  <si>
    <t>HASILAT</t>
  </si>
  <si>
    <t>SEYİRCİ</t>
  </si>
  <si>
    <t>TICKET</t>
  </si>
  <si>
    <t>BİLET</t>
  </si>
  <si>
    <t>WEEK</t>
  </si>
  <si>
    <t>HAFTA</t>
  </si>
  <si>
    <t>DISTRIBUTION</t>
  </si>
  <si>
    <t>DAĞITIM</t>
  </si>
  <si>
    <t>VİZYON TARİHİ</t>
  </si>
  <si>
    <t>DATE</t>
  </si>
  <si>
    <t xml:space="preserve">FİLMİN ORİJİNAL İSMİ </t>
  </si>
  <si>
    <t>ORIJINAL NAME</t>
  </si>
  <si>
    <t>SON BULUŞMA</t>
  </si>
  <si>
    <t>CHANTIER</t>
  </si>
  <si>
    <t>PLAN PRODUCTIONS</t>
  </si>
  <si>
    <t>GİTMEK</t>
  </si>
  <si>
    <t xml:space="preserve">CHANTIER </t>
  </si>
  <si>
    <t>ASI FILM</t>
  </si>
  <si>
    <t>ISSIZ ADAM</t>
  </si>
  <si>
    <t>ŞEYTANIN PABUCU</t>
  </si>
  <si>
    <t>SICAK</t>
  </si>
  <si>
    <t>ANS</t>
  </si>
  <si>
    <t>AŞK TUTULMASI</t>
  </si>
  <si>
    <t>SUGARWORKZ-TIM'S</t>
  </si>
  <si>
    <t>SON CELLAT</t>
  </si>
  <si>
    <t>HAYALIM FILM</t>
  </si>
  <si>
    <t>BEYAZ MELEK</t>
  </si>
  <si>
    <t>SÜPER AJAN K9</t>
  </si>
  <si>
    <t>VİCDAN</t>
  </si>
  <si>
    <t>DENIZ FILM-FONO FILM</t>
  </si>
  <si>
    <t>MURO: NALET OLSUN İÇİMDEKİ İNSAN SEVGİSİNE</t>
  </si>
  <si>
    <t>OZEN</t>
  </si>
  <si>
    <t>YAĞMURDAN SONRA</t>
  </si>
  <si>
    <t>UZMAN FILM</t>
  </si>
  <si>
    <t>FIRTINA</t>
  </si>
  <si>
    <t xml:space="preserve">YAPIM 13 </t>
  </si>
  <si>
    <t>POSTA</t>
  </si>
  <si>
    <t>TEMELKURAN FILM</t>
  </si>
  <si>
    <t>HOW TO LOSE FRIENDS AND ALIENATE PEOPLE</t>
  </si>
  <si>
    <t>11' E 10 KALA</t>
  </si>
  <si>
    <t>ÇINGIRAKLI TOP</t>
  </si>
  <si>
    <t>ODE FILM</t>
  </si>
  <si>
    <t>NOKTA</t>
  </si>
  <si>
    <t>MARATHON-SARMASIK S.</t>
  </si>
  <si>
    <t>L'UOMO CHE AMA (MAN WHO LOVES, THE)</t>
  </si>
  <si>
    <t>DUET FILM</t>
  </si>
  <si>
    <t>3</t>
  </si>
  <si>
    <t>SHINJUKU INCIDENT</t>
  </si>
  <si>
    <t>EMPEROR</t>
  </si>
  <si>
    <t>YENGEÇ OYUNU</t>
  </si>
  <si>
    <t>ASYA FILM</t>
  </si>
  <si>
    <t>IL Y A LONGTEMPS QUE JE T'AIME (I'VE LOVED YOU SO LONG)</t>
  </si>
  <si>
    <t>UGC</t>
  </si>
  <si>
    <t>FRANKLYN</t>
  </si>
  <si>
    <t>HANWAY FILMS</t>
  </si>
  <si>
    <t>ZOMBIELAND</t>
  </si>
  <si>
    <t>HAYAT VAR</t>
  </si>
  <si>
    <t>ATLANTIK</t>
  </si>
  <si>
    <t>CHOKE, THE</t>
  </si>
  <si>
    <t>AE FILM</t>
  </si>
  <si>
    <t>MARKET: A TALE OF TRADE, THE</t>
  </si>
  <si>
    <t>PI FILM</t>
  </si>
  <si>
    <t>MEZUNİYET</t>
  </si>
  <si>
    <t>ISTANBUL PRO.</t>
  </si>
  <si>
    <t>BENİM VE ROZ'UN SONBAHARI</t>
  </si>
  <si>
    <t>GALA AJANS</t>
  </si>
  <si>
    <t>HUNGER</t>
  </si>
  <si>
    <t>KUZEY</t>
  </si>
  <si>
    <t>İNCİR ÇEKİRDEĞİ</t>
  </si>
  <si>
    <t>DELİ DELİ OLMA</t>
  </si>
  <si>
    <t>DİNLE NEYDEN</t>
  </si>
  <si>
    <t>ATM FILM</t>
  </si>
  <si>
    <t>AVANAK KUZENLER</t>
  </si>
  <si>
    <t>AKSOY FILM-FIDA FILM</t>
  </si>
  <si>
    <t>MADE IN EUROPE</t>
  </si>
  <si>
    <t>TEMELKURAN</t>
  </si>
  <si>
    <t>KADER</t>
  </si>
  <si>
    <t>MAVI FILM</t>
  </si>
  <si>
    <t>DELİ YÜREK: BUMERANG CEHENNEMİ</t>
  </si>
  <si>
    <t>SINEGRAF</t>
  </si>
  <si>
    <t>BABAM VE OĞLUM</t>
  </si>
  <si>
    <t>GELİBOLU</t>
  </si>
  <si>
    <t>EKIP FILM</t>
  </si>
  <si>
    <t>DEVRİM ARABALARI</t>
  </si>
  <si>
    <t>SONBAHAR</t>
  </si>
  <si>
    <t>KUZEY FILM</t>
  </si>
  <si>
    <t>DESTERE</t>
  </si>
  <si>
    <t>ZERO FILM</t>
  </si>
  <si>
    <t>GÜNEŞİN OĞLU</t>
  </si>
  <si>
    <t>EFLATUN FİLM</t>
  </si>
  <si>
    <t>TATİL KİTABI</t>
  </si>
  <si>
    <t>TAS YASTIK</t>
  </si>
  <si>
    <t>JEK FILM</t>
  </si>
  <si>
    <t>A.R.O.G: BİR YONTMATAŞ FİLMİ</t>
  </si>
  <si>
    <t>UIP</t>
  </si>
  <si>
    <t>FIDA FILM-CMYLMZ</t>
  </si>
  <si>
    <t>OSMANLI CUMHURİYETİ</t>
  </si>
  <si>
    <t>3 MAYMUN</t>
  </si>
  <si>
    <t>IMAJ-NBC-ZEYNO FILM</t>
  </si>
  <si>
    <t>MASKELI BEŞLER: KIBRIS</t>
  </si>
  <si>
    <t>FIDA FILM-ARZU FILM</t>
  </si>
  <si>
    <t>KABADAYI</t>
  </si>
  <si>
    <t>DAR ALANDA KISA PASLAŞMALAR</t>
  </si>
  <si>
    <t>MUSTAFA</t>
  </si>
  <si>
    <t>WB</t>
  </si>
  <si>
    <t>KO-MEDYA-NTV</t>
  </si>
  <si>
    <t>MAVİ RENK İLE BELİRTİLENLER 2008 VE ÖNCEKİ YILLARDA İLK VİZYONUNU YAPAN FİLMLERDİR / BLUE COLOURS ARE EX YEARS FILMS</t>
  </si>
  <si>
    <t>2009'un yeni filmleri</t>
  </si>
  <si>
    <t>09'da gösterilen eski filmler</t>
  </si>
  <si>
    <t>2009'un bütün dağıtılanları</t>
  </si>
  <si>
    <t>2009 genel toplam</t>
  </si>
  <si>
    <t>film başına</t>
  </si>
  <si>
    <t>yabancı</t>
  </si>
  <si>
    <t>yerli</t>
  </si>
  <si>
    <t>yerli-yabancı</t>
  </si>
  <si>
    <t>ortalama</t>
  </si>
  <si>
    <t>TİGLON FİLM</t>
  </si>
  <si>
    <t>ÖZEN FİLM</t>
  </si>
  <si>
    <t>MEDYAVİZYON</t>
  </si>
  <si>
    <t>PİNEMA</t>
  </si>
  <si>
    <t>CINE FILM</t>
  </si>
  <si>
    <t xml:space="preserve">MFP-CINE GROUP </t>
  </si>
  <si>
    <t>DUKA FİLM</t>
  </si>
  <si>
    <t>SİNETEL</t>
  </si>
  <si>
    <t>ERMAN FİLM</t>
  </si>
  <si>
    <t>MARS ENTERTAINMENT</t>
  </si>
  <si>
    <t>BELGE FİLM</t>
  </si>
  <si>
    <t>BARBAR FİLM</t>
  </si>
  <si>
    <t>Umut Sanat ve Özen Film'in birlikte dağıttıkları 3 film Özen Film'e ve Chantier Films ile Pinema'nın birlikte dağıttığı bir film ise Chantier Films'e işlenmiştir. Sıralama genel hasılata göre yapılmıştır. Sinetel daha sonra isim değiştirerek Duka Film olmuştur.</t>
  </si>
  <si>
    <t>ex years releases-foreign</t>
  </si>
  <si>
    <t>ex years releases-local</t>
  </si>
  <si>
    <t>2009's new releases-local</t>
  </si>
  <si>
    <t>2009's new releases-foreign</t>
  </si>
  <si>
    <t>all films</t>
  </si>
  <si>
    <t>all films-foreign</t>
  </si>
  <si>
    <t>all films-local</t>
  </si>
  <si>
    <t>per film</t>
  </si>
  <si>
    <t>hasılat-gbo</t>
  </si>
  <si>
    <t>seyirci-add</t>
  </si>
  <si>
    <t>adet-films</t>
  </si>
  <si>
    <t>FIKIRTEPE FILM</t>
  </si>
  <si>
    <t>JONAS BROTHERS CONSERT</t>
  </si>
  <si>
    <t>FROZEN RIVER</t>
  </si>
  <si>
    <t>MAN ON WIRE</t>
  </si>
  <si>
    <t xml:space="preserve">TIGLON </t>
  </si>
  <si>
    <t>NORTH</t>
  </si>
  <si>
    <t xml:space="preserve">BIR FILM </t>
  </si>
  <si>
    <t>ALİ'NİN SEKİZ GÜNÜ</t>
  </si>
  <si>
    <t>ETZ LIMON</t>
  </si>
  <si>
    <t>GAKE NO UE NO PONYO</t>
  </si>
  <si>
    <t>IGOR</t>
  </si>
  <si>
    <t>DUNYA &amp; DESIE</t>
  </si>
  <si>
    <t>TAKING WOODSTOCK</t>
  </si>
  <si>
    <t>ORADA</t>
  </si>
  <si>
    <t>IKI FILM</t>
  </si>
  <si>
    <t>MAZİ YARASI</t>
  </si>
  <si>
    <t>MISSION ATRACTIQUE</t>
  </si>
  <si>
    <t>VIAGGIO SEGRETO</t>
  </si>
  <si>
    <t>BELGE FILM</t>
  </si>
  <si>
    <t>RODEO FILM</t>
  </si>
  <si>
    <t>SULUBOYA</t>
  </si>
  <si>
    <t>MEDYAEVİ</t>
  </si>
  <si>
    <t>HAZ-ART</t>
  </si>
  <si>
    <t>O'HORTEN</t>
  </si>
  <si>
    <t>AKAMAS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</si>
</sst>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"/>
    <numFmt numFmtId="173" formatCode="#,##0\ "/>
    <numFmt numFmtId="174" formatCode="0.00\ "/>
    <numFmt numFmtId="175" formatCode="dd/mm/yy"/>
    <numFmt numFmtId="176" formatCode="_-* #,##0.00\ _T_L_-;\-* #,##0.00\ _T_L_-;_-* &quot;-&quot;??\ _T_L_-;_-@_-"/>
  </numFmts>
  <fonts count="5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Trebuchet MS"/>
      <family val="2"/>
    </font>
    <font>
      <sz val="10"/>
      <name val="Arial"/>
      <family val="0"/>
    </font>
    <font>
      <sz val="10"/>
      <color indexed="10"/>
      <name val="Trebuchet MS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Trebuchet MS"/>
      <family val="0"/>
    </font>
    <font>
      <b/>
      <sz val="10"/>
      <color indexed="10"/>
      <name val="Trebuchet MS"/>
      <family val="0"/>
    </font>
    <font>
      <b/>
      <sz val="9"/>
      <name val="Trebuchet MS"/>
      <family val="0"/>
    </font>
    <font>
      <b/>
      <sz val="9"/>
      <color indexed="10"/>
      <name val="Trebuchet MS"/>
      <family val="0"/>
    </font>
    <font>
      <b/>
      <sz val="9"/>
      <color indexed="9"/>
      <name val="Trebuchet MS"/>
      <family val="0"/>
    </font>
    <font>
      <sz val="10"/>
      <color indexed="9"/>
      <name val="Trebuchet MS"/>
      <family val="0"/>
    </font>
    <font>
      <sz val="10"/>
      <color indexed="12"/>
      <name val="Trebuchet MS"/>
      <family val="0"/>
    </font>
    <font>
      <b/>
      <sz val="10"/>
      <color indexed="12"/>
      <name val="Trebuchet MS"/>
      <family val="0"/>
    </font>
    <font>
      <b/>
      <sz val="10"/>
      <color indexed="9"/>
      <name val="Trebuchet MS"/>
      <family val="0"/>
    </font>
    <font>
      <b/>
      <i/>
      <sz val="10"/>
      <color indexed="10"/>
      <name val="Trebuchet MS"/>
      <family val="2"/>
    </font>
    <font>
      <i/>
      <sz val="10"/>
      <name val="Trebuchet MS"/>
      <family val="2"/>
    </font>
    <font>
      <b/>
      <sz val="12"/>
      <name val="Trebuchet M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176" fontId="6" fillId="0" borderId="0" applyFont="0" applyFill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vertical="center"/>
    </xf>
    <xf numFmtId="175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4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/>
      <protection locked="0"/>
    </xf>
    <xf numFmtId="175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2" fontId="5" fillId="0" borderId="0" xfId="61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175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45" applyNumberFormat="1" applyFont="1" applyFill="1" applyBorder="1" applyAlignment="1" applyProtection="1">
      <alignment horizontal="right" vertical="center"/>
      <protection/>
    </xf>
    <xf numFmtId="2" fontId="5" fillId="0" borderId="0" xfId="0" applyNumberFormat="1" applyFont="1" applyFill="1" applyBorder="1" applyAlignment="1">
      <alignment horizontal="right" vertical="center"/>
    </xf>
    <xf numFmtId="2" fontId="5" fillId="0" borderId="0" xfId="61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14" fontId="5" fillId="0" borderId="0" xfId="0" applyNumberFormat="1" applyFont="1" applyFill="1" applyBorder="1" applyAlignment="1">
      <alignment horizontal="left" vertical="center"/>
    </xf>
    <xf numFmtId="2" fontId="5" fillId="0" borderId="0" xfId="40" applyNumberFormat="1" applyFont="1" applyFill="1" applyBorder="1" applyAlignment="1" applyProtection="1">
      <alignment vertical="center"/>
      <protection/>
    </xf>
    <xf numFmtId="2" fontId="5" fillId="0" borderId="0" xfId="43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43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>
      <alignment horizontal="left" vertical="top"/>
    </xf>
    <xf numFmtId="175" fontId="5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175" fontId="12" fillId="33" borderId="0" xfId="0" applyNumberFormat="1" applyFont="1" applyFill="1" applyBorder="1" applyAlignment="1">
      <alignment horizontal="center" vertical="center"/>
    </xf>
    <xf numFmtId="4" fontId="12" fillId="33" borderId="0" xfId="0" applyNumberFormat="1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2" fontId="12" fillId="33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/>
    </xf>
    <xf numFmtId="4" fontId="10" fillId="0" borderId="0" xfId="40" applyNumberFormat="1" applyFont="1" applyFill="1" applyBorder="1" applyAlignment="1" applyProtection="1">
      <alignment vertical="center"/>
      <protection locked="0"/>
    </xf>
    <xf numFmtId="3" fontId="10" fillId="0" borderId="0" xfId="40" applyNumberFormat="1" applyFont="1" applyFill="1" applyBorder="1" applyAlignment="1" applyProtection="1">
      <alignment vertical="center"/>
      <protection locked="0"/>
    </xf>
    <xf numFmtId="4" fontId="10" fillId="0" borderId="0" xfId="43" applyNumberFormat="1" applyFont="1" applyFill="1" applyBorder="1" applyAlignment="1" applyProtection="1">
      <alignment vertical="center"/>
      <protection/>
    </xf>
    <xf numFmtId="4" fontId="10" fillId="0" borderId="0" xfId="45" applyNumberFormat="1" applyFont="1" applyFill="1" applyBorder="1" applyAlignment="1" applyProtection="1">
      <alignment vertical="center"/>
      <protection locked="0"/>
    </xf>
    <xf numFmtId="3" fontId="10" fillId="0" borderId="0" xfId="45" applyNumberFormat="1" applyFont="1" applyFill="1" applyBorder="1" applyAlignment="1" applyProtection="1">
      <alignment vertical="center"/>
      <protection locked="0"/>
    </xf>
    <xf numFmtId="4" fontId="10" fillId="0" borderId="0" xfId="43" applyNumberFormat="1" applyFont="1" applyFill="1" applyBorder="1" applyAlignment="1" applyProtection="1">
      <alignment vertical="center"/>
      <protection locked="0"/>
    </xf>
    <xf numFmtId="3" fontId="10" fillId="0" borderId="0" xfId="43" applyNumberFormat="1" applyFont="1" applyFill="1" applyBorder="1" applyAlignment="1" applyProtection="1">
      <alignment vertical="center"/>
      <protection locked="0"/>
    </xf>
    <xf numFmtId="4" fontId="10" fillId="0" borderId="0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 applyProtection="1">
      <alignment vertical="center"/>
      <protection/>
    </xf>
    <xf numFmtId="4" fontId="10" fillId="0" borderId="0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1" fontId="14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 applyProtection="1">
      <alignment horizontal="right" vertical="center"/>
      <protection locked="0"/>
    </xf>
    <xf numFmtId="1" fontId="15" fillId="0" borderId="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center" vertical="center"/>
    </xf>
    <xf numFmtId="175" fontId="12" fillId="34" borderId="10" xfId="0" applyNumberFormat="1" applyFont="1" applyFill="1" applyBorder="1" applyAlignment="1">
      <alignment horizontal="center" vertical="center"/>
    </xf>
    <xf numFmtId="4" fontId="12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2" fontId="12" fillId="34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2" fontId="16" fillId="0" borderId="0" xfId="61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>
      <alignment horizontal="left" vertical="top"/>
    </xf>
    <xf numFmtId="0" fontId="16" fillId="0" borderId="0" xfId="0" applyNumberFormat="1" applyFont="1" applyFill="1" applyBorder="1" applyAlignment="1">
      <alignment horizontal="left" vertical="center"/>
    </xf>
    <xf numFmtId="175" fontId="16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4" fontId="10" fillId="35" borderId="0" xfId="0" applyNumberFormat="1" applyFont="1" applyFill="1" applyBorder="1" applyAlignment="1">
      <alignment horizontal="center" vertical="center"/>
    </xf>
    <xf numFmtId="3" fontId="10" fillId="35" borderId="0" xfId="0" applyNumberFormat="1" applyFont="1" applyFill="1" applyBorder="1" applyAlignment="1">
      <alignment horizontal="center" vertical="center"/>
    </xf>
    <xf numFmtId="2" fontId="10" fillId="35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4" fontId="10" fillId="36" borderId="10" xfId="0" applyNumberFormat="1" applyFont="1" applyFill="1" applyBorder="1" applyAlignment="1">
      <alignment horizontal="center" vertical="center"/>
    </xf>
    <xf numFmtId="3" fontId="10" fillId="36" borderId="10" xfId="0" applyNumberFormat="1" applyFont="1" applyFill="1" applyBorder="1" applyAlignment="1">
      <alignment horizontal="center" vertical="center"/>
    </xf>
    <xf numFmtId="2" fontId="10" fillId="36" borderId="10" xfId="0" applyNumberFormat="1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left" vertical="center"/>
    </xf>
    <xf numFmtId="4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 horizontal="left" vertical="center"/>
    </xf>
    <xf numFmtId="0" fontId="12" fillId="37" borderId="0" xfId="0" applyFont="1" applyFill="1" applyBorder="1" applyAlignment="1">
      <alignment horizontal="center" vertical="center"/>
    </xf>
    <xf numFmtId="175" fontId="12" fillId="37" borderId="0" xfId="0" applyNumberFormat="1" applyFont="1" applyFill="1" applyBorder="1" applyAlignment="1">
      <alignment horizontal="center" vertical="center"/>
    </xf>
    <xf numFmtId="4" fontId="12" fillId="37" borderId="0" xfId="0" applyNumberFormat="1" applyFont="1" applyFill="1" applyBorder="1" applyAlignment="1">
      <alignment horizontal="center" vertical="center"/>
    </xf>
    <xf numFmtId="3" fontId="12" fillId="37" borderId="0" xfId="0" applyNumberFormat="1" applyFont="1" applyFill="1" applyBorder="1" applyAlignment="1">
      <alignment horizontal="center" vertical="center"/>
    </xf>
    <xf numFmtId="2" fontId="12" fillId="37" borderId="0" xfId="0" applyNumberFormat="1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/>
    </xf>
    <xf numFmtId="175" fontId="12" fillId="38" borderId="10" xfId="0" applyNumberFormat="1" applyFont="1" applyFill="1" applyBorder="1" applyAlignment="1">
      <alignment horizontal="center" vertical="center"/>
    </xf>
    <xf numFmtId="4" fontId="12" fillId="38" borderId="10" xfId="0" applyNumberFormat="1" applyFont="1" applyFill="1" applyBorder="1" applyAlignment="1">
      <alignment horizontal="center" vertical="center"/>
    </xf>
    <xf numFmtId="3" fontId="12" fillId="38" borderId="10" xfId="0" applyNumberFormat="1" applyFont="1" applyFill="1" applyBorder="1" applyAlignment="1">
      <alignment horizontal="center" vertical="center"/>
    </xf>
    <xf numFmtId="2" fontId="12" fillId="38" borderId="10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4" fontId="5" fillId="39" borderId="11" xfId="0" applyNumberFormat="1" applyFont="1" applyFill="1" applyBorder="1" applyAlignment="1">
      <alignment horizontal="center"/>
    </xf>
    <xf numFmtId="3" fontId="5" fillId="39" borderId="11" xfId="0" applyNumberFormat="1" applyFont="1" applyFill="1" applyBorder="1" applyAlignment="1">
      <alignment horizontal="center"/>
    </xf>
    <xf numFmtId="0" fontId="5" fillId="40" borderId="11" xfId="0" applyFont="1" applyFill="1" applyBorder="1" applyAlignment="1">
      <alignment horizontal="center"/>
    </xf>
    <xf numFmtId="4" fontId="5" fillId="40" borderId="11" xfId="0" applyNumberFormat="1" applyFont="1" applyFill="1" applyBorder="1" applyAlignment="1">
      <alignment horizontal="center"/>
    </xf>
    <xf numFmtId="3" fontId="5" fillId="40" borderId="11" xfId="0" applyNumberFormat="1" applyFont="1" applyFill="1" applyBorder="1" applyAlignment="1">
      <alignment horizontal="center"/>
    </xf>
    <xf numFmtId="4" fontId="5" fillId="41" borderId="11" xfId="0" applyNumberFormat="1" applyFont="1" applyFill="1" applyBorder="1" applyAlignment="1">
      <alignment horizontal="center"/>
    </xf>
    <xf numFmtId="3" fontId="5" fillId="41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4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10" fillId="42" borderId="11" xfId="0" applyFont="1" applyFill="1" applyBorder="1" applyAlignment="1">
      <alignment/>
    </xf>
    <xf numFmtId="4" fontId="10" fillId="42" borderId="11" xfId="0" applyNumberFormat="1" applyFont="1" applyFill="1" applyBorder="1" applyAlignment="1">
      <alignment/>
    </xf>
    <xf numFmtId="3" fontId="10" fillId="42" borderId="11" xfId="0" applyNumberFormat="1" applyFont="1" applyFill="1" applyBorder="1" applyAlignment="1">
      <alignment/>
    </xf>
    <xf numFmtId="0" fontId="14" fillId="43" borderId="12" xfId="0" applyFont="1" applyFill="1" applyBorder="1" applyAlignment="1">
      <alignment horizontal="center"/>
    </xf>
    <xf numFmtId="0" fontId="14" fillId="43" borderId="11" xfId="0" applyFont="1" applyFill="1" applyBorder="1" applyAlignment="1">
      <alignment horizontal="center"/>
    </xf>
    <xf numFmtId="0" fontId="14" fillId="43" borderId="13" xfId="0" applyFont="1" applyFill="1" applyBorder="1" applyAlignment="1">
      <alignment horizontal="center"/>
    </xf>
    <xf numFmtId="0" fontId="5" fillId="44" borderId="11" xfId="0" applyFont="1" applyFill="1" applyBorder="1" applyAlignment="1">
      <alignment horizontal="right"/>
    </xf>
    <xf numFmtId="0" fontId="5" fillId="44" borderId="11" xfId="0" applyFont="1" applyFill="1" applyBorder="1" applyAlignment="1">
      <alignment horizontal="center"/>
    </xf>
    <xf numFmtId="4" fontId="10" fillId="44" borderId="11" xfId="0" applyNumberFormat="1" applyFont="1" applyFill="1" applyBorder="1" applyAlignment="1">
      <alignment horizontal="right"/>
    </xf>
    <xf numFmtId="4" fontId="5" fillId="44" borderId="14" xfId="0" applyNumberFormat="1" applyFont="1" applyFill="1" applyBorder="1" applyAlignment="1">
      <alignment horizontal="right"/>
    </xf>
    <xf numFmtId="4" fontId="5" fillId="44" borderId="11" xfId="0" applyNumberFormat="1" applyFont="1" applyFill="1" applyBorder="1" applyAlignment="1">
      <alignment horizontal="right"/>
    </xf>
    <xf numFmtId="3" fontId="10" fillId="44" borderId="13" xfId="0" applyNumberFormat="1" applyFont="1" applyFill="1" applyBorder="1" applyAlignment="1">
      <alignment horizontal="right"/>
    </xf>
    <xf numFmtId="0" fontId="5" fillId="44" borderId="15" xfId="0" applyFont="1" applyFill="1" applyBorder="1" applyAlignment="1">
      <alignment horizontal="right"/>
    </xf>
    <xf numFmtId="0" fontId="5" fillId="44" borderId="15" xfId="0" applyFont="1" applyFill="1" applyBorder="1" applyAlignment="1">
      <alignment horizontal="center"/>
    </xf>
    <xf numFmtId="4" fontId="10" fillId="44" borderId="15" xfId="0" applyNumberFormat="1" applyFont="1" applyFill="1" applyBorder="1" applyAlignment="1">
      <alignment horizontal="right"/>
    </xf>
    <xf numFmtId="4" fontId="5" fillId="44" borderId="16" xfId="0" applyNumberFormat="1" applyFont="1" applyFill="1" applyBorder="1" applyAlignment="1">
      <alignment horizontal="right"/>
    </xf>
    <xf numFmtId="4" fontId="5" fillId="44" borderId="15" xfId="0" applyNumberFormat="1" applyFont="1" applyFill="1" applyBorder="1" applyAlignment="1">
      <alignment horizontal="right"/>
    </xf>
    <xf numFmtId="3" fontId="10" fillId="44" borderId="17" xfId="0" applyNumberFormat="1" applyFont="1" applyFill="1" applyBorder="1" applyAlignment="1">
      <alignment horizontal="right"/>
    </xf>
    <xf numFmtId="0" fontId="5" fillId="45" borderId="18" xfId="0" applyFont="1" applyFill="1" applyBorder="1" applyAlignment="1">
      <alignment horizontal="right"/>
    </xf>
    <xf numFmtId="0" fontId="5" fillId="45" borderId="18" xfId="0" applyFont="1" applyFill="1" applyBorder="1" applyAlignment="1">
      <alignment horizontal="center"/>
    </xf>
    <xf numFmtId="4" fontId="10" fillId="45" borderId="18" xfId="0" applyNumberFormat="1" applyFont="1" applyFill="1" applyBorder="1" applyAlignment="1">
      <alignment horizontal="right"/>
    </xf>
    <xf numFmtId="4" fontId="5" fillId="45" borderId="19" xfId="0" applyNumberFormat="1" applyFont="1" applyFill="1" applyBorder="1" applyAlignment="1">
      <alignment horizontal="right"/>
    </xf>
    <xf numFmtId="4" fontId="5" fillId="45" borderId="18" xfId="0" applyNumberFormat="1" applyFont="1" applyFill="1" applyBorder="1" applyAlignment="1">
      <alignment horizontal="right"/>
    </xf>
    <xf numFmtId="3" fontId="10" fillId="45" borderId="20" xfId="0" applyNumberFormat="1" applyFont="1" applyFill="1" applyBorder="1" applyAlignment="1">
      <alignment horizontal="right"/>
    </xf>
    <xf numFmtId="0" fontId="5" fillId="45" borderId="11" xfId="0" applyFont="1" applyFill="1" applyBorder="1" applyAlignment="1">
      <alignment horizontal="right"/>
    </xf>
    <xf numFmtId="0" fontId="5" fillId="45" borderId="11" xfId="0" applyFont="1" applyFill="1" applyBorder="1" applyAlignment="1">
      <alignment horizontal="center"/>
    </xf>
    <xf numFmtId="4" fontId="10" fillId="45" borderId="11" xfId="0" applyNumberFormat="1" applyFont="1" applyFill="1" applyBorder="1" applyAlignment="1">
      <alignment horizontal="right"/>
    </xf>
    <xf numFmtId="4" fontId="5" fillId="45" borderId="14" xfId="0" applyNumberFormat="1" applyFont="1" applyFill="1" applyBorder="1" applyAlignment="1">
      <alignment horizontal="right"/>
    </xf>
    <xf numFmtId="4" fontId="5" fillId="45" borderId="11" xfId="0" applyNumberFormat="1" applyFont="1" applyFill="1" applyBorder="1" applyAlignment="1">
      <alignment horizontal="right"/>
    </xf>
    <xf numFmtId="3" fontId="10" fillId="45" borderId="13" xfId="0" applyNumberFormat="1" applyFont="1" applyFill="1" applyBorder="1" applyAlignment="1">
      <alignment horizontal="right"/>
    </xf>
    <xf numFmtId="0" fontId="5" fillId="45" borderId="15" xfId="0" applyFont="1" applyFill="1" applyBorder="1" applyAlignment="1">
      <alignment horizontal="right"/>
    </xf>
    <xf numFmtId="0" fontId="5" fillId="45" borderId="15" xfId="0" applyFont="1" applyFill="1" applyBorder="1" applyAlignment="1">
      <alignment horizontal="center"/>
    </xf>
    <xf numFmtId="4" fontId="10" fillId="45" borderId="15" xfId="0" applyNumberFormat="1" applyFont="1" applyFill="1" applyBorder="1" applyAlignment="1">
      <alignment horizontal="right"/>
    </xf>
    <xf numFmtId="4" fontId="5" fillId="45" borderId="16" xfId="0" applyNumberFormat="1" applyFont="1" applyFill="1" applyBorder="1" applyAlignment="1">
      <alignment horizontal="right"/>
    </xf>
    <xf numFmtId="4" fontId="5" fillId="45" borderId="15" xfId="0" applyNumberFormat="1" applyFont="1" applyFill="1" applyBorder="1" applyAlignment="1">
      <alignment horizontal="right"/>
    </xf>
    <xf numFmtId="3" fontId="10" fillId="45" borderId="17" xfId="0" applyNumberFormat="1" applyFont="1" applyFill="1" applyBorder="1" applyAlignment="1">
      <alignment horizontal="right"/>
    </xf>
    <xf numFmtId="0" fontId="5" fillId="40" borderId="18" xfId="0" applyFont="1" applyFill="1" applyBorder="1" applyAlignment="1">
      <alignment horizontal="right"/>
    </xf>
    <xf numFmtId="0" fontId="5" fillId="40" borderId="18" xfId="0" applyFont="1" applyFill="1" applyBorder="1" applyAlignment="1">
      <alignment horizontal="center"/>
    </xf>
    <xf numFmtId="4" fontId="10" fillId="40" borderId="18" xfId="0" applyNumberFormat="1" applyFont="1" applyFill="1" applyBorder="1" applyAlignment="1">
      <alignment horizontal="right"/>
    </xf>
    <xf numFmtId="4" fontId="5" fillId="40" borderId="19" xfId="0" applyNumberFormat="1" applyFont="1" applyFill="1" applyBorder="1" applyAlignment="1">
      <alignment horizontal="right"/>
    </xf>
    <xf numFmtId="4" fontId="5" fillId="40" borderId="18" xfId="0" applyNumberFormat="1" applyFont="1" applyFill="1" applyBorder="1" applyAlignment="1">
      <alignment horizontal="right"/>
    </xf>
    <xf numFmtId="3" fontId="10" fillId="40" borderId="20" xfId="0" applyNumberFormat="1" applyFont="1" applyFill="1" applyBorder="1" applyAlignment="1">
      <alignment horizontal="right"/>
    </xf>
    <xf numFmtId="0" fontId="5" fillId="40" borderId="11" xfId="0" applyFont="1" applyFill="1" applyBorder="1" applyAlignment="1">
      <alignment horizontal="right"/>
    </xf>
    <xf numFmtId="4" fontId="10" fillId="40" borderId="11" xfId="0" applyNumberFormat="1" applyFont="1" applyFill="1" applyBorder="1" applyAlignment="1">
      <alignment horizontal="right"/>
    </xf>
    <xf numFmtId="4" fontId="5" fillId="40" borderId="14" xfId="0" applyNumberFormat="1" applyFont="1" applyFill="1" applyBorder="1" applyAlignment="1">
      <alignment horizontal="right"/>
    </xf>
    <xf numFmtId="4" fontId="5" fillId="40" borderId="11" xfId="0" applyNumberFormat="1" applyFont="1" applyFill="1" applyBorder="1" applyAlignment="1">
      <alignment horizontal="right"/>
    </xf>
    <xf numFmtId="3" fontId="10" fillId="40" borderId="13" xfId="0" applyNumberFormat="1" applyFont="1" applyFill="1" applyBorder="1" applyAlignment="1">
      <alignment horizontal="right"/>
    </xf>
    <xf numFmtId="0" fontId="5" fillId="40" borderId="15" xfId="0" applyFont="1" applyFill="1" applyBorder="1" applyAlignment="1">
      <alignment horizontal="right"/>
    </xf>
    <xf numFmtId="0" fontId="5" fillId="40" borderId="15" xfId="0" applyFont="1" applyFill="1" applyBorder="1" applyAlignment="1">
      <alignment horizontal="center"/>
    </xf>
    <xf numFmtId="4" fontId="10" fillId="40" borderId="15" xfId="0" applyNumberFormat="1" applyFont="1" applyFill="1" applyBorder="1" applyAlignment="1">
      <alignment horizontal="right"/>
    </xf>
    <xf numFmtId="4" fontId="5" fillId="40" borderId="16" xfId="0" applyNumberFormat="1" applyFont="1" applyFill="1" applyBorder="1" applyAlignment="1">
      <alignment horizontal="right"/>
    </xf>
    <xf numFmtId="4" fontId="5" fillId="40" borderId="15" xfId="0" applyNumberFormat="1" applyFont="1" applyFill="1" applyBorder="1" applyAlignment="1">
      <alignment horizontal="right"/>
    </xf>
    <xf numFmtId="3" fontId="10" fillId="40" borderId="17" xfId="0" applyNumberFormat="1" applyFont="1" applyFill="1" applyBorder="1" applyAlignment="1">
      <alignment horizontal="right"/>
    </xf>
    <xf numFmtId="4" fontId="10" fillId="43" borderId="14" xfId="0" applyNumberFormat="1" applyFont="1" applyFill="1" applyBorder="1" applyAlignment="1">
      <alignment horizontal="center"/>
    </xf>
    <xf numFmtId="4" fontId="10" fillId="43" borderId="11" xfId="0" applyNumberFormat="1" applyFont="1" applyFill="1" applyBorder="1" applyAlignment="1">
      <alignment horizontal="center"/>
    </xf>
    <xf numFmtId="4" fontId="18" fillId="43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1" fillId="45" borderId="21" xfId="0" applyNumberFormat="1" applyFont="1" applyFill="1" applyBorder="1" applyAlignment="1">
      <alignment horizontal="center" wrapText="1"/>
    </xf>
    <xf numFmtId="0" fontId="5" fillId="0" borderId="22" xfId="0" applyNumberFormat="1" applyFont="1" applyBorder="1" applyAlignment="1">
      <alignment horizontal="center" wrapText="1"/>
    </xf>
    <xf numFmtId="0" fontId="5" fillId="0" borderId="23" xfId="0" applyNumberFormat="1" applyFont="1" applyBorder="1" applyAlignment="1">
      <alignment horizontal="center" wrapText="1"/>
    </xf>
    <xf numFmtId="0" fontId="10" fillId="0" borderId="24" xfId="0" applyFont="1" applyFill="1" applyBorder="1" applyAlignment="1">
      <alignment horizontal="right" vertical="center" textRotation="48" wrapText="1"/>
    </xf>
    <xf numFmtId="0" fontId="10" fillId="0" borderId="25" xfId="0" applyFont="1" applyFill="1" applyBorder="1" applyAlignment="1">
      <alignment horizontal="right" vertical="center" textRotation="48" wrapText="1"/>
    </xf>
    <xf numFmtId="0" fontId="10" fillId="0" borderId="26" xfId="0" applyFont="1" applyFill="1" applyBorder="1" applyAlignment="1">
      <alignment horizontal="right" vertical="center" textRotation="48" wrapText="1"/>
    </xf>
    <xf numFmtId="0" fontId="10" fillId="39" borderId="11" xfId="0" applyFont="1" applyFill="1" applyBorder="1" applyAlignment="1">
      <alignment horizontal="center" wrapText="1"/>
    </xf>
    <xf numFmtId="0" fontId="1" fillId="39" borderId="11" xfId="0" applyFont="1" applyFill="1" applyBorder="1" applyAlignment="1">
      <alignment horizontal="center" wrapText="1"/>
    </xf>
    <xf numFmtId="0" fontId="10" fillId="40" borderId="11" xfId="0" applyFont="1" applyFill="1" applyBorder="1" applyAlignment="1">
      <alignment horizontal="center" wrapText="1"/>
    </xf>
    <xf numFmtId="0" fontId="1" fillId="40" borderId="11" xfId="0" applyFont="1" applyFill="1" applyBorder="1" applyAlignment="1">
      <alignment horizontal="center" wrapText="1"/>
    </xf>
    <xf numFmtId="4" fontId="10" fillId="41" borderId="11" xfId="0" applyNumberFormat="1" applyFont="1" applyFill="1" applyBorder="1" applyAlignment="1">
      <alignment horizontal="center" wrapText="1"/>
    </xf>
    <xf numFmtId="0" fontId="1" fillId="41" borderId="11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nlik Ayracı 2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A3" sqref="A3:A11"/>
    </sheetView>
  </sheetViews>
  <sheetFormatPr defaultColWidth="11.00390625" defaultRowHeight="12.75"/>
  <cols>
    <col min="1" max="1" width="9.375" style="0" bestFit="1" customWidth="1"/>
    <col min="2" max="2" width="45.375" style="0" bestFit="1" customWidth="1"/>
    <col min="3" max="3" width="5.75390625" style="0" bestFit="1" customWidth="1"/>
    <col min="4" max="4" width="2.00390625" style="0" customWidth="1"/>
    <col min="5" max="5" width="13.875" style="0" bestFit="1" customWidth="1"/>
    <col min="6" max="6" width="1.875" style="0" customWidth="1"/>
    <col min="7" max="7" width="5.25390625" style="0" bestFit="1" customWidth="1"/>
    <col min="8" max="8" width="1.75390625" style="0" customWidth="1"/>
    <col min="9" max="9" width="10.125" style="0" bestFit="1" customWidth="1"/>
  </cols>
  <sheetData>
    <row r="1" spans="1:9" ht="15.75">
      <c r="A1" s="188" t="s">
        <v>87</v>
      </c>
      <c r="B1" s="189"/>
      <c r="C1" s="189"/>
      <c r="D1" s="189"/>
      <c r="E1" s="189"/>
      <c r="F1" s="189"/>
      <c r="G1" s="189"/>
      <c r="H1" s="189"/>
      <c r="I1" s="190"/>
    </row>
    <row r="2" spans="1:9" s="187" customFormat="1" ht="15.75">
      <c r="A2" s="134"/>
      <c r="B2" s="135"/>
      <c r="C2" s="135"/>
      <c r="D2" s="135"/>
      <c r="E2" s="135" t="s">
        <v>0</v>
      </c>
      <c r="F2" s="136"/>
      <c r="G2" s="184"/>
      <c r="H2" s="185"/>
      <c r="I2" s="186" t="s">
        <v>1</v>
      </c>
    </row>
    <row r="3" spans="1:9" ht="15">
      <c r="A3" s="191"/>
      <c r="B3" s="137" t="s">
        <v>8</v>
      </c>
      <c r="C3" s="138" t="s">
        <v>85</v>
      </c>
      <c r="D3" s="138"/>
      <c r="E3" s="139">
        <v>308232142.9</v>
      </c>
      <c r="F3" s="138"/>
      <c r="G3" s="140" t="s">
        <v>86</v>
      </c>
      <c r="H3" s="141"/>
      <c r="I3" s="142">
        <v>36899954</v>
      </c>
    </row>
    <row r="4" spans="1:9" ht="15">
      <c r="A4" s="192"/>
      <c r="B4" s="137" t="s">
        <v>5</v>
      </c>
      <c r="C4" s="138" t="s">
        <v>85</v>
      </c>
      <c r="D4" s="138"/>
      <c r="E4" s="139">
        <v>147409629.9</v>
      </c>
      <c r="F4" s="138"/>
      <c r="G4" s="140" t="s">
        <v>86</v>
      </c>
      <c r="H4" s="141"/>
      <c r="I4" s="142">
        <v>18790700</v>
      </c>
    </row>
    <row r="5" spans="1:9" ht="15.75" thickBot="1">
      <c r="A5" s="192"/>
      <c r="B5" s="143" t="s">
        <v>6</v>
      </c>
      <c r="C5" s="144" t="s">
        <v>85</v>
      </c>
      <c r="D5" s="144"/>
      <c r="E5" s="145">
        <f>E3-E4</f>
        <v>160822512.99999997</v>
      </c>
      <c r="F5" s="144"/>
      <c r="G5" s="146" t="s">
        <v>86</v>
      </c>
      <c r="H5" s="147"/>
      <c r="I5" s="148">
        <f>I3-I4</f>
        <v>18109254</v>
      </c>
    </row>
    <row r="6" spans="1:9" ht="15">
      <c r="A6" s="192"/>
      <c r="B6" s="149" t="s">
        <v>2</v>
      </c>
      <c r="C6" s="150" t="s">
        <v>85</v>
      </c>
      <c r="D6" s="150"/>
      <c r="E6" s="151">
        <v>15804104.75</v>
      </c>
      <c r="F6" s="150"/>
      <c r="G6" s="152" t="s">
        <v>86</v>
      </c>
      <c r="H6" s="153"/>
      <c r="I6" s="154">
        <v>2112209</v>
      </c>
    </row>
    <row r="7" spans="1:9" ht="15">
      <c r="A7" s="192"/>
      <c r="B7" s="155" t="s">
        <v>3</v>
      </c>
      <c r="C7" s="156" t="s">
        <v>85</v>
      </c>
      <c r="D7" s="156"/>
      <c r="E7" s="157">
        <v>11429156.75</v>
      </c>
      <c r="F7" s="156"/>
      <c r="G7" s="158" t="s">
        <v>86</v>
      </c>
      <c r="H7" s="159"/>
      <c r="I7" s="160">
        <v>1572364</v>
      </c>
    </row>
    <row r="8" spans="1:9" ht="15.75" thickBot="1">
      <c r="A8" s="192"/>
      <c r="B8" s="161" t="s">
        <v>4</v>
      </c>
      <c r="C8" s="162" t="s">
        <v>85</v>
      </c>
      <c r="D8" s="162"/>
      <c r="E8" s="163">
        <v>4374948</v>
      </c>
      <c r="F8" s="162"/>
      <c r="G8" s="164" t="s">
        <v>86</v>
      </c>
      <c r="H8" s="165"/>
      <c r="I8" s="166">
        <v>539845</v>
      </c>
    </row>
    <row r="9" spans="1:9" ht="15">
      <c r="A9" s="192"/>
      <c r="B9" s="167" t="s">
        <v>7</v>
      </c>
      <c r="C9" s="168" t="s">
        <v>85</v>
      </c>
      <c r="D9" s="168"/>
      <c r="E9" s="169">
        <f>E3-E6</f>
        <v>292428038.15</v>
      </c>
      <c r="F9" s="168"/>
      <c r="G9" s="170" t="s">
        <v>86</v>
      </c>
      <c r="H9" s="171"/>
      <c r="I9" s="172">
        <f>I11+I10</f>
        <v>34787745</v>
      </c>
    </row>
    <row r="10" spans="1:9" ht="15">
      <c r="A10" s="192"/>
      <c r="B10" s="173" t="s">
        <v>9</v>
      </c>
      <c r="C10" s="121" t="s">
        <v>85</v>
      </c>
      <c r="D10" s="121"/>
      <c r="E10" s="174">
        <v>135980473.15</v>
      </c>
      <c r="F10" s="121"/>
      <c r="G10" s="175" t="s">
        <v>86</v>
      </c>
      <c r="H10" s="176"/>
      <c r="I10" s="177">
        <v>17218336</v>
      </c>
    </row>
    <row r="11" spans="1:9" ht="15.75" thickBot="1">
      <c r="A11" s="193"/>
      <c r="B11" s="178" t="s">
        <v>10</v>
      </c>
      <c r="C11" s="179" t="s">
        <v>85</v>
      </c>
      <c r="D11" s="179"/>
      <c r="E11" s="180">
        <v>156447565</v>
      </c>
      <c r="F11" s="179"/>
      <c r="G11" s="181" t="s">
        <v>86</v>
      </c>
      <c r="H11" s="182"/>
      <c r="I11" s="183">
        <v>17569409</v>
      </c>
    </row>
  </sheetData>
  <sheetProtection/>
  <mergeCells count="2">
    <mergeCell ref="A1:I1"/>
    <mergeCell ref="A3:A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"/>
  <sheetViews>
    <sheetView zoomScale="62" zoomScaleNormal="62" zoomScalePageLayoutView="0" workbookViewId="0" topLeftCell="A1">
      <selection activeCell="O37" sqref="O37"/>
    </sheetView>
  </sheetViews>
  <sheetFormatPr defaultColWidth="11.00390625" defaultRowHeight="12.75"/>
  <cols>
    <col min="1" max="1" width="16.375" style="0" bestFit="1" customWidth="1"/>
    <col min="2" max="2" width="7.50390625" style="0" bestFit="1" customWidth="1"/>
    <col min="3" max="3" width="12.875" style="0" bestFit="1" customWidth="1"/>
    <col min="4" max="4" width="10.00390625" style="0" bestFit="1" customWidth="1"/>
    <col min="5" max="5" width="7.50390625" style="0" bestFit="1" customWidth="1"/>
    <col min="6" max="6" width="12.875" style="0" bestFit="1" customWidth="1"/>
    <col min="7" max="7" width="10.00390625" style="0" bestFit="1" customWidth="1"/>
    <col min="8" max="8" width="7.50390625" style="0" bestFit="1" customWidth="1"/>
    <col min="9" max="9" width="11.875" style="0" bestFit="1" customWidth="1"/>
    <col min="10" max="10" width="8.375" style="0" bestFit="1" customWidth="1"/>
    <col min="11" max="11" width="7.50390625" style="0" bestFit="1" customWidth="1"/>
    <col min="12" max="12" width="11.875" style="0" bestFit="1" customWidth="1"/>
    <col min="13" max="13" width="8.375" style="0" bestFit="1" customWidth="1"/>
    <col min="14" max="14" width="7.50390625" style="0" bestFit="1" customWidth="1"/>
    <col min="15" max="15" width="12.875" style="0" bestFit="1" customWidth="1"/>
    <col min="16" max="16" width="10.00390625" style="0" bestFit="1" customWidth="1"/>
    <col min="17" max="17" width="7.50390625" style="0" bestFit="1" customWidth="1"/>
    <col min="18" max="18" width="12.875" style="0" bestFit="1" customWidth="1"/>
    <col min="19" max="19" width="10.00390625" style="0" bestFit="1" customWidth="1"/>
    <col min="20" max="20" width="8.625" style="0" bestFit="1" customWidth="1"/>
    <col min="21" max="21" width="13.75390625" style="0" bestFit="1" customWidth="1"/>
    <col min="22" max="22" width="10.00390625" style="0" bestFit="1" customWidth="1"/>
    <col min="23" max="23" width="11.875" style="0" bestFit="1" customWidth="1"/>
    <col min="24" max="24" width="8.375" style="0" bestFit="1" customWidth="1"/>
  </cols>
  <sheetData>
    <row r="1" spans="1:24" ht="15">
      <c r="A1" s="116"/>
      <c r="B1" s="194" t="s">
        <v>469</v>
      </c>
      <c r="C1" s="195"/>
      <c r="D1" s="195"/>
      <c r="E1" s="196" t="s">
        <v>469</v>
      </c>
      <c r="F1" s="197"/>
      <c r="G1" s="197"/>
      <c r="H1" s="194" t="s">
        <v>470</v>
      </c>
      <c r="I1" s="195"/>
      <c r="J1" s="195"/>
      <c r="K1" s="196" t="s">
        <v>470</v>
      </c>
      <c r="L1" s="197"/>
      <c r="M1" s="197"/>
      <c r="N1" s="194" t="s">
        <v>471</v>
      </c>
      <c r="O1" s="195"/>
      <c r="P1" s="195"/>
      <c r="Q1" s="196" t="s">
        <v>471</v>
      </c>
      <c r="R1" s="197"/>
      <c r="S1" s="197"/>
      <c r="T1" s="194" t="s">
        <v>472</v>
      </c>
      <c r="U1" s="195"/>
      <c r="V1" s="195"/>
      <c r="W1" s="198" t="s">
        <v>473</v>
      </c>
      <c r="X1" s="199"/>
    </row>
    <row r="2" spans="1:24" ht="15">
      <c r="A2" s="116"/>
      <c r="B2" s="194" t="s">
        <v>494</v>
      </c>
      <c r="C2" s="195"/>
      <c r="D2" s="195"/>
      <c r="E2" s="196" t="s">
        <v>493</v>
      </c>
      <c r="F2" s="197"/>
      <c r="G2" s="197"/>
      <c r="H2" s="194" t="s">
        <v>491</v>
      </c>
      <c r="I2" s="195"/>
      <c r="J2" s="195"/>
      <c r="K2" s="196" t="s">
        <v>492</v>
      </c>
      <c r="L2" s="197"/>
      <c r="M2" s="197"/>
      <c r="N2" s="194" t="s">
        <v>496</v>
      </c>
      <c r="O2" s="195"/>
      <c r="P2" s="195"/>
      <c r="Q2" s="196" t="s">
        <v>497</v>
      </c>
      <c r="R2" s="197"/>
      <c r="S2" s="197"/>
      <c r="T2" s="194" t="s">
        <v>495</v>
      </c>
      <c r="U2" s="195"/>
      <c r="V2" s="195"/>
      <c r="W2" s="198" t="s">
        <v>498</v>
      </c>
      <c r="X2" s="199"/>
    </row>
    <row r="3" spans="1:24" ht="15">
      <c r="A3" s="116"/>
      <c r="B3" s="194" t="s">
        <v>474</v>
      </c>
      <c r="C3" s="195"/>
      <c r="D3" s="195"/>
      <c r="E3" s="196" t="s">
        <v>475</v>
      </c>
      <c r="F3" s="197"/>
      <c r="G3" s="197"/>
      <c r="H3" s="194" t="s">
        <v>474</v>
      </c>
      <c r="I3" s="195"/>
      <c r="J3" s="195"/>
      <c r="K3" s="196" t="s">
        <v>475</v>
      </c>
      <c r="L3" s="197"/>
      <c r="M3" s="197"/>
      <c r="N3" s="194" t="s">
        <v>474</v>
      </c>
      <c r="O3" s="195"/>
      <c r="P3" s="195"/>
      <c r="Q3" s="196" t="s">
        <v>475</v>
      </c>
      <c r="R3" s="197"/>
      <c r="S3" s="197"/>
      <c r="T3" s="194" t="s">
        <v>476</v>
      </c>
      <c r="U3" s="195"/>
      <c r="V3" s="195"/>
      <c r="W3" s="198" t="s">
        <v>477</v>
      </c>
      <c r="X3" s="199"/>
    </row>
    <row r="4" spans="1:24" ht="15">
      <c r="A4" s="117"/>
      <c r="B4" s="118" t="s">
        <v>501</v>
      </c>
      <c r="C4" s="119" t="s">
        <v>499</v>
      </c>
      <c r="D4" s="120" t="s">
        <v>500</v>
      </c>
      <c r="E4" s="121" t="s">
        <v>501</v>
      </c>
      <c r="F4" s="122" t="s">
        <v>499</v>
      </c>
      <c r="G4" s="123" t="s">
        <v>500</v>
      </c>
      <c r="H4" s="118" t="s">
        <v>501</v>
      </c>
      <c r="I4" s="119" t="s">
        <v>499</v>
      </c>
      <c r="J4" s="120" t="s">
        <v>500</v>
      </c>
      <c r="K4" s="121" t="s">
        <v>501</v>
      </c>
      <c r="L4" s="122" t="s">
        <v>499</v>
      </c>
      <c r="M4" s="123" t="s">
        <v>500</v>
      </c>
      <c r="N4" s="118" t="s">
        <v>501</v>
      </c>
      <c r="O4" s="119" t="s">
        <v>499</v>
      </c>
      <c r="P4" s="120" t="s">
        <v>500</v>
      </c>
      <c r="Q4" s="121" t="s">
        <v>501</v>
      </c>
      <c r="R4" s="122" t="s">
        <v>499</v>
      </c>
      <c r="S4" s="123" t="s">
        <v>500</v>
      </c>
      <c r="T4" s="118" t="s">
        <v>501</v>
      </c>
      <c r="U4" s="119" t="s">
        <v>499</v>
      </c>
      <c r="V4" s="120" t="s">
        <v>500</v>
      </c>
      <c r="W4" s="124" t="s">
        <v>499</v>
      </c>
      <c r="X4" s="125" t="s">
        <v>500</v>
      </c>
    </row>
    <row r="5" spans="1:24" ht="15">
      <c r="A5" s="126" t="s">
        <v>317</v>
      </c>
      <c r="B5" s="126">
        <v>35</v>
      </c>
      <c r="C5" s="127">
        <v>58618824</v>
      </c>
      <c r="D5" s="128">
        <v>6544178</v>
      </c>
      <c r="E5" s="126">
        <v>2</v>
      </c>
      <c r="F5" s="129">
        <v>344404</v>
      </c>
      <c r="G5" s="130">
        <v>40897</v>
      </c>
      <c r="H5" s="126">
        <v>4</v>
      </c>
      <c r="I5" s="129">
        <v>611589</v>
      </c>
      <c r="J5" s="130">
        <v>70265</v>
      </c>
      <c r="K5" s="126">
        <v>1</v>
      </c>
      <c r="L5" s="129">
        <v>8406</v>
      </c>
      <c r="M5" s="130">
        <v>2327</v>
      </c>
      <c r="N5" s="126">
        <f aca="true" t="shared" si="0" ref="N5:S22">B5+H5</f>
        <v>39</v>
      </c>
      <c r="O5" s="127">
        <f t="shared" si="0"/>
        <v>59230413</v>
      </c>
      <c r="P5" s="128">
        <f t="shared" si="0"/>
        <v>6614443</v>
      </c>
      <c r="Q5" s="126">
        <f t="shared" si="0"/>
        <v>3</v>
      </c>
      <c r="R5" s="129">
        <f t="shared" si="0"/>
        <v>352810</v>
      </c>
      <c r="S5" s="130">
        <f t="shared" si="0"/>
        <v>43224</v>
      </c>
      <c r="T5" s="131">
        <f aca="true" t="shared" si="1" ref="T5:V22">N5+Q5</f>
        <v>42</v>
      </c>
      <c r="U5" s="132">
        <f t="shared" si="1"/>
        <v>59583223</v>
      </c>
      <c r="V5" s="133">
        <f t="shared" si="1"/>
        <v>6657667</v>
      </c>
      <c r="W5" s="129">
        <f>U5/T5</f>
        <v>1418648.1666666667</v>
      </c>
      <c r="X5" s="130">
        <f>V5/T5</f>
        <v>158515.88095238095</v>
      </c>
    </row>
    <row r="6" spans="1:24" ht="15">
      <c r="A6" s="126" t="s">
        <v>478</v>
      </c>
      <c r="B6" s="126">
        <v>65</v>
      </c>
      <c r="C6" s="129">
        <v>49163219.25</v>
      </c>
      <c r="D6" s="130">
        <v>5665996</v>
      </c>
      <c r="E6" s="126">
        <v>15</v>
      </c>
      <c r="F6" s="129">
        <v>6603675.25</v>
      </c>
      <c r="G6" s="130">
        <v>839211</v>
      </c>
      <c r="H6" s="126">
        <v>19</v>
      </c>
      <c r="I6" s="129">
        <v>1658924.5</v>
      </c>
      <c r="J6" s="130">
        <v>208921</v>
      </c>
      <c r="K6" s="126">
        <v>5</v>
      </c>
      <c r="L6" s="129">
        <v>720536.8</v>
      </c>
      <c r="M6" s="130">
        <v>106428</v>
      </c>
      <c r="N6" s="126">
        <f t="shared" si="0"/>
        <v>84</v>
      </c>
      <c r="O6" s="129">
        <f t="shared" si="0"/>
        <v>50822143.75</v>
      </c>
      <c r="P6" s="130">
        <f t="shared" si="0"/>
        <v>5874917</v>
      </c>
      <c r="Q6" s="126">
        <f t="shared" si="0"/>
        <v>20</v>
      </c>
      <c r="R6" s="129">
        <f t="shared" si="0"/>
        <v>7324212.05</v>
      </c>
      <c r="S6" s="130">
        <f t="shared" si="0"/>
        <v>945639</v>
      </c>
      <c r="T6" s="131">
        <f t="shared" si="1"/>
        <v>104</v>
      </c>
      <c r="U6" s="132">
        <f t="shared" si="1"/>
        <v>58146355.8</v>
      </c>
      <c r="V6" s="133">
        <f t="shared" si="1"/>
        <v>6820556</v>
      </c>
      <c r="W6" s="129">
        <f aca="true" t="shared" si="2" ref="W6:W22">U6/T6</f>
        <v>559099.575</v>
      </c>
      <c r="X6" s="130">
        <f aca="true" t="shared" si="3" ref="X6:X22">V6/T6</f>
        <v>65582.26923076923</v>
      </c>
    </row>
    <row r="7" spans="1:24" ht="15">
      <c r="A7" s="126" t="s">
        <v>479</v>
      </c>
      <c r="B7" s="126">
        <v>11</v>
      </c>
      <c r="C7" s="129">
        <v>1698212.5</v>
      </c>
      <c r="D7" s="130">
        <v>202107</v>
      </c>
      <c r="E7" s="126">
        <v>16</v>
      </c>
      <c r="F7" s="127">
        <v>52544350</v>
      </c>
      <c r="G7" s="128">
        <v>6777880</v>
      </c>
      <c r="H7" s="126">
        <v>11</v>
      </c>
      <c r="I7" s="129">
        <v>136876.75</v>
      </c>
      <c r="J7" s="130">
        <v>19041</v>
      </c>
      <c r="K7" s="126">
        <v>11</v>
      </c>
      <c r="L7" s="129">
        <v>1342441.9</v>
      </c>
      <c r="M7" s="130">
        <v>204694</v>
      </c>
      <c r="N7" s="126">
        <f t="shared" si="0"/>
        <v>22</v>
      </c>
      <c r="O7" s="129">
        <f t="shared" si="0"/>
        <v>1835089.25</v>
      </c>
      <c r="P7" s="130">
        <f t="shared" si="0"/>
        <v>221148</v>
      </c>
      <c r="Q7" s="126">
        <f t="shared" si="0"/>
        <v>27</v>
      </c>
      <c r="R7" s="127">
        <f t="shared" si="0"/>
        <v>53886791.9</v>
      </c>
      <c r="S7" s="128">
        <f t="shared" si="0"/>
        <v>6982574</v>
      </c>
      <c r="T7" s="131">
        <f t="shared" si="1"/>
        <v>49</v>
      </c>
      <c r="U7" s="132">
        <f t="shared" si="1"/>
        <v>55721881.15</v>
      </c>
      <c r="V7" s="133">
        <f t="shared" si="1"/>
        <v>7203722</v>
      </c>
      <c r="W7" s="129">
        <f t="shared" si="2"/>
        <v>1137181.2479591835</v>
      </c>
      <c r="X7" s="130">
        <f t="shared" si="3"/>
        <v>147014.73469387754</v>
      </c>
    </row>
    <row r="8" spans="1:24" ht="15">
      <c r="A8" s="126" t="s">
        <v>318</v>
      </c>
      <c r="B8" s="126">
        <v>41</v>
      </c>
      <c r="C8" s="129">
        <v>37203705</v>
      </c>
      <c r="D8" s="130">
        <v>4075658</v>
      </c>
      <c r="E8" s="126">
        <v>6</v>
      </c>
      <c r="F8" s="129">
        <v>5952105</v>
      </c>
      <c r="G8" s="130">
        <v>727604</v>
      </c>
      <c r="H8" s="126">
        <v>15</v>
      </c>
      <c r="I8" s="127">
        <v>1880940.75</v>
      </c>
      <c r="J8" s="128">
        <v>225598</v>
      </c>
      <c r="K8" s="126">
        <v>5</v>
      </c>
      <c r="L8" s="129">
        <v>2013454.4</v>
      </c>
      <c r="M8" s="130">
        <v>278829</v>
      </c>
      <c r="N8" s="126">
        <f t="shared" si="0"/>
        <v>56</v>
      </c>
      <c r="O8" s="129">
        <f t="shared" si="0"/>
        <v>39084645.75</v>
      </c>
      <c r="P8" s="130">
        <f t="shared" si="0"/>
        <v>4301256</v>
      </c>
      <c r="Q8" s="126">
        <f t="shared" si="0"/>
        <v>11</v>
      </c>
      <c r="R8" s="129">
        <f t="shared" si="0"/>
        <v>7965559.4</v>
      </c>
      <c r="S8" s="130">
        <f t="shared" si="0"/>
        <v>1006433</v>
      </c>
      <c r="T8" s="131">
        <f t="shared" si="1"/>
        <v>67</v>
      </c>
      <c r="U8" s="132">
        <f t="shared" si="1"/>
        <v>47050205.15</v>
      </c>
      <c r="V8" s="133">
        <f t="shared" si="1"/>
        <v>5307689</v>
      </c>
      <c r="W8" s="129">
        <f t="shared" si="2"/>
        <v>702241.8679104478</v>
      </c>
      <c r="X8" s="130">
        <f t="shared" si="3"/>
        <v>79219.23880597015</v>
      </c>
    </row>
    <row r="9" spans="1:24" ht="15">
      <c r="A9" s="126" t="s">
        <v>480</v>
      </c>
      <c r="B9" s="126">
        <v>10</v>
      </c>
      <c r="C9" s="129">
        <v>3922430.25</v>
      </c>
      <c r="D9" s="130">
        <v>438179</v>
      </c>
      <c r="E9" s="126">
        <v>15</v>
      </c>
      <c r="F9" s="129">
        <v>31840811.75</v>
      </c>
      <c r="G9" s="130">
        <v>4031994</v>
      </c>
      <c r="H9" s="126">
        <v>7</v>
      </c>
      <c r="I9" s="129">
        <v>19051</v>
      </c>
      <c r="J9" s="130">
        <v>3719</v>
      </c>
      <c r="K9" s="126">
        <v>7</v>
      </c>
      <c r="L9" s="129">
        <v>992299.75</v>
      </c>
      <c r="M9" s="130">
        <v>140073</v>
      </c>
      <c r="N9" s="126">
        <f t="shared" si="0"/>
        <v>17</v>
      </c>
      <c r="O9" s="129">
        <f t="shared" si="0"/>
        <v>3941481.25</v>
      </c>
      <c r="P9" s="130">
        <f t="shared" si="0"/>
        <v>441898</v>
      </c>
      <c r="Q9" s="126">
        <f t="shared" si="0"/>
        <v>22</v>
      </c>
      <c r="R9" s="129">
        <f t="shared" si="0"/>
        <v>32833111.5</v>
      </c>
      <c r="S9" s="130">
        <f t="shared" si="0"/>
        <v>4172067</v>
      </c>
      <c r="T9" s="131">
        <f t="shared" si="1"/>
        <v>39</v>
      </c>
      <c r="U9" s="132">
        <f t="shared" si="1"/>
        <v>36774592.75</v>
      </c>
      <c r="V9" s="133">
        <f t="shared" si="1"/>
        <v>4613965</v>
      </c>
      <c r="W9" s="129">
        <f t="shared" si="2"/>
        <v>942938.2756410256</v>
      </c>
      <c r="X9" s="130">
        <f t="shared" si="3"/>
        <v>118306.79487179487</v>
      </c>
    </row>
    <row r="10" spans="1:24" ht="15">
      <c r="A10" s="126" t="s">
        <v>481</v>
      </c>
      <c r="B10" s="126">
        <v>11</v>
      </c>
      <c r="C10" s="129">
        <v>1532050</v>
      </c>
      <c r="D10" s="130">
        <v>166980</v>
      </c>
      <c r="E10" s="126">
        <v>4</v>
      </c>
      <c r="F10" s="129">
        <v>22623688</v>
      </c>
      <c r="G10" s="130">
        <v>2918914</v>
      </c>
      <c r="H10" s="126">
        <v>10</v>
      </c>
      <c r="I10" s="129">
        <v>37562</v>
      </c>
      <c r="J10" s="130">
        <v>5911</v>
      </c>
      <c r="K10" s="126">
        <v>1</v>
      </c>
      <c r="L10" s="129">
        <v>445884.4</v>
      </c>
      <c r="M10" s="130">
        <v>51420</v>
      </c>
      <c r="N10" s="126">
        <f t="shared" si="0"/>
        <v>21</v>
      </c>
      <c r="O10" s="129">
        <f t="shared" si="0"/>
        <v>1569612</v>
      </c>
      <c r="P10" s="130">
        <f t="shared" si="0"/>
        <v>172891</v>
      </c>
      <c r="Q10" s="126">
        <f t="shared" si="0"/>
        <v>5</v>
      </c>
      <c r="R10" s="129">
        <f t="shared" si="0"/>
        <v>23069572.4</v>
      </c>
      <c r="S10" s="130">
        <f t="shared" si="0"/>
        <v>2970334</v>
      </c>
      <c r="T10" s="131">
        <f t="shared" si="1"/>
        <v>26</v>
      </c>
      <c r="U10" s="132">
        <f t="shared" si="1"/>
        <v>24639184.4</v>
      </c>
      <c r="V10" s="133">
        <f t="shared" si="1"/>
        <v>3143225</v>
      </c>
      <c r="W10" s="129">
        <f t="shared" si="2"/>
        <v>947660.9384615384</v>
      </c>
      <c r="X10" s="130">
        <f t="shared" si="3"/>
        <v>120893.26923076923</v>
      </c>
    </row>
    <row r="11" spans="1:24" ht="15">
      <c r="A11" s="126" t="s">
        <v>482</v>
      </c>
      <c r="B11" s="126">
        <v>1</v>
      </c>
      <c r="C11" s="129">
        <v>41728</v>
      </c>
      <c r="D11" s="130">
        <v>5737</v>
      </c>
      <c r="E11" s="126">
        <v>4</v>
      </c>
      <c r="F11" s="129">
        <v>12561949.65</v>
      </c>
      <c r="G11" s="130">
        <v>1458854</v>
      </c>
      <c r="H11" s="126">
        <v>0</v>
      </c>
      <c r="I11" s="129">
        <v>0</v>
      </c>
      <c r="J11" s="130">
        <v>0</v>
      </c>
      <c r="K11" s="126">
        <v>1</v>
      </c>
      <c r="L11" s="127">
        <v>5863880</v>
      </c>
      <c r="M11" s="128">
        <v>781115</v>
      </c>
      <c r="N11" s="126">
        <f t="shared" si="0"/>
        <v>1</v>
      </c>
      <c r="O11" s="129">
        <f t="shared" si="0"/>
        <v>41728</v>
      </c>
      <c r="P11" s="130">
        <f t="shared" si="0"/>
        <v>5737</v>
      </c>
      <c r="Q11" s="126">
        <f t="shared" si="0"/>
        <v>5</v>
      </c>
      <c r="R11" s="129">
        <f t="shared" si="0"/>
        <v>18425829.65</v>
      </c>
      <c r="S11" s="130">
        <f t="shared" si="0"/>
        <v>2239969</v>
      </c>
      <c r="T11" s="131">
        <f t="shared" si="1"/>
        <v>6</v>
      </c>
      <c r="U11" s="132">
        <f t="shared" si="1"/>
        <v>18467557.65</v>
      </c>
      <c r="V11" s="133">
        <f t="shared" si="1"/>
        <v>2245706</v>
      </c>
      <c r="W11" s="127">
        <f t="shared" si="2"/>
        <v>3077926.275</v>
      </c>
      <c r="X11" s="128">
        <f t="shared" si="3"/>
        <v>374284.3333333333</v>
      </c>
    </row>
    <row r="12" spans="1:24" ht="15">
      <c r="A12" s="126" t="s">
        <v>483</v>
      </c>
      <c r="B12" s="126">
        <v>0</v>
      </c>
      <c r="C12" s="129">
        <v>0</v>
      </c>
      <c r="D12" s="130">
        <v>0</v>
      </c>
      <c r="E12" s="126">
        <v>5</v>
      </c>
      <c r="F12" s="129">
        <v>3478641</v>
      </c>
      <c r="G12" s="130">
        <v>419722</v>
      </c>
      <c r="H12" s="126">
        <v>0</v>
      </c>
      <c r="I12" s="129">
        <v>0</v>
      </c>
      <c r="J12" s="130">
        <v>0</v>
      </c>
      <c r="K12" s="126">
        <v>0</v>
      </c>
      <c r="L12" s="129">
        <v>0</v>
      </c>
      <c r="M12" s="130">
        <v>0</v>
      </c>
      <c r="N12" s="126">
        <f t="shared" si="0"/>
        <v>0</v>
      </c>
      <c r="O12" s="129">
        <f t="shared" si="0"/>
        <v>0</v>
      </c>
      <c r="P12" s="130">
        <f t="shared" si="0"/>
        <v>0</v>
      </c>
      <c r="Q12" s="126">
        <f t="shared" si="0"/>
        <v>5</v>
      </c>
      <c r="R12" s="129">
        <f t="shared" si="0"/>
        <v>3478641</v>
      </c>
      <c r="S12" s="130">
        <f t="shared" si="0"/>
        <v>419722</v>
      </c>
      <c r="T12" s="131">
        <f t="shared" si="1"/>
        <v>5</v>
      </c>
      <c r="U12" s="132">
        <f t="shared" si="1"/>
        <v>3478641</v>
      </c>
      <c r="V12" s="133">
        <f t="shared" si="1"/>
        <v>419722</v>
      </c>
      <c r="W12" s="129">
        <f t="shared" si="2"/>
        <v>695728.2</v>
      </c>
      <c r="X12" s="130">
        <f t="shared" si="3"/>
        <v>83944.4</v>
      </c>
    </row>
    <row r="13" spans="1:24" ht="15">
      <c r="A13" s="126" t="s">
        <v>294</v>
      </c>
      <c r="B13" s="126">
        <v>2</v>
      </c>
      <c r="C13" s="129">
        <v>3368470</v>
      </c>
      <c r="D13" s="130">
        <v>360353</v>
      </c>
      <c r="E13" s="126">
        <v>0</v>
      </c>
      <c r="F13" s="129">
        <v>0</v>
      </c>
      <c r="G13" s="130">
        <v>0</v>
      </c>
      <c r="H13" s="126">
        <v>5</v>
      </c>
      <c r="I13" s="129">
        <v>7503</v>
      </c>
      <c r="J13" s="130">
        <v>1550</v>
      </c>
      <c r="K13" s="126">
        <v>2</v>
      </c>
      <c r="L13" s="129">
        <v>42241.5</v>
      </c>
      <c r="M13" s="130">
        <v>7476</v>
      </c>
      <c r="N13" s="126">
        <f t="shared" si="0"/>
        <v>7</v>
      </c>
      <c r="O13" s="129">
        <f t="shared" si="0"/>
        <v>3375973</v>
      </c>
      <c r="P13" s="130">
        <f t="shared" si="0"/>
        <v>361903</v>
      </c>
      <c r="Q13" s="126">
        <f t="shared" si="0"/>
        <v>2</v>
      </c>
      <c r="R13" s="129">
        <f t="shared" si="0"/>
        <v>42241.5</v>
      </c>
      <c r="S13" s="130">
        <f t="shared" si="0"/>
        <v>7476</v>
      </c>
      <c r="T13" s="131">
        <f t="shared" si="1"/>
        <v>9</v>
      </c>
      <c r="U13" s="132">
        <f t="shared" si="1"/>
        <v>3418214.5</v>
      </c>
      <c r="V13" s="133">
        <f t="shared" si="1"/>
        <v>369379</v>
      </c>
      <c r="W13" s="129">
        <f t="shared" si="2"/>
        <v>379801.6111111111</v>
      </c>
      <c r="X13" s="130">
        <f t="shared" si="3"/>
        <v>41042.11111111111</v>
      </c>
    </row>
    <row r="14" spans="1:24" ht="15">
      <c r="A14" s="126" t="s">
        <v>484</v>
      </c>
      <c r="B14" s="126">
        <v>3</v>
      </c>
      <c r="C14" s="129">
        <v>449861</v>
      </c>
      <c r="D14" s="130">
        <v>55244</v>
      </c>
      <c r="E14" s="126">
        <v>0</v>
      </c>
      <c r="F14" s="129">
        <v>0</v>
      </c>
      <c r="G14" s="130">
        <v>0</v>
      </c>
      <c r="H14" s="126">
        <v>0</v>
      </c>
      <c r="I14" s="129">
        <v>0</v>
      </c>
      <c r="J14" s="130">
        <v>0</v>
      </c>
      <c r="K14" s="126">
        <v>0</v>
      </c>
      <c r="L14" s="129">
        <v>0</v>
      </c>
      <c r="M14" s="130">
        <v>0</v>
      </c>
      <c r="N14" s="126">
        <f t="shared" si="0"/>
        <v>3</v>
      </c>
      <c r="O14" s="129">
        <f t="shared" si="0"/>
        <v>449861</v>
      </c>
      <c r="P14" s="130">
        <f t="shared" si="0"/>
        <v>55244</v>
      </c>
      <c r="Q14" s="126">
        <f t="shared" si="0"/>
        <v>0</v>
      </c>
      <c r="R14" s="129">
        <f t="shared" si="0"/>
        <v>0</v>
      </c>
      <c r="S14" s="130">
        <f t="shared" si="0"/>
        <v>0</v>
      </c>
      <c r="T14" s="131">
        <f t="shared" si="1"/>
        <v>3</v>
      </c>
      <c r="U14" s="132">
        <f t="shared" si="1"/>
        <v>449861</v>
      </c>
      <c r="V14" s="133">
        <f t="shared" si="1"/>
        <v>55244</v>
      </c>
      <c r="W14" s="129">
        <f t="shared" si="2"/>
        <v>149953.66666666666</v>
      </c>
      <c r="X14" s="130">
        <f t="shared" si="3"/>
        <v>18414.666666666668</v>
      </c>
    </row>
    <row r="15" spans="1:24" ht="15">
      <c r="A15" s="126" t="s">
        <v>485</v>
      </c>
      <c r="B15" s="126">
        <v>2</v>
      </c>
      <c r="C15" s="129">
        <v>354907.5</v>
      </c>
      <c r="D15" s="130">
        <v>45197</v>
      </c>
      <c r="E15" s="126">
        <v>0</v>
      </c>
      <c r="F15" s="129">
        <v>0</v>
      </c>
      <c r="G15" s="130">
        <v>0</v>
      </c>
      <c r="H15" s="126">
        <v>0</v>
      </c>
      <c r="I15" s="129">
        <v>0</v>
      </c>
      <c r="J15" s="130">
        <v>0</v>
      </c>
      <c r="K15" s="126">
        <v>0</v>
      </c>
      <c r="L15" s="129">
        <v>0</v>
      </c>
      <c r="M15" s="130">
        <v>0</v>
      </c>
      <c r="N15" s="126">
        <f t="shared" si="0"/>
        <v>2</v>
      </c>
      <c r="O15" s="129">
        <f t="shared" si="0"/>
        <v>354907.5</v>
      </c>
      <c r="P15" s="130">
        <f t="shared" si="0"/>
        <v>45197</v>
      </c>
      <c r="Q15" s="126">
        <f t="shared" si="0"/>
        <v>0</v>
      </c>
      <c r="R15" s="129">
        <f t="shared" si="0"/>
        <v>0</v>
      </c>
      <c r="S15" s="130">
        <f t="shared" si="0"/>
        <v>0</v>
      </c>
      <c r="T15" s="131">
        <f t="shared" si="1"/>
        <v>2</v>
      </c>
      <c r="U15" s="132">
        <f t="shared" si="1"/>
        <v>354907.5</v>
      </c>
      <c r="V15" s="133">
        <f t="shared" si="1"/>
        <v>45197</v>
      </c>
      <c r="W15" s="129">
        <f t="shared" si="2"/>
        <v>177453.75</v>
      </c>
      <c r="X15" s="130">
        <f t="shared" si="3"/>
        <v>22598.5</v>
      </c>
    </row>
    <row r="16" spans="1:24" ht="15">
      <c r="A16" s="126" t="s">
        <v>486</v>
      </c>
      <c r="B16" s="126">
        <v>2</v>
      </c>
      <c r="C16" s="129">
        <v>57847.5</v>
      </c>
      <c r="D16" s="130">
        <v>5735</v>
      </c>
      <c r="E16" s="126">
        <v>0</v>
      </c>
      <c r="F16" s="129">
        <v>0</v>
      </c>
      <c r="G16" s="130">
        <v>0</v>
      </c>
      <c r="H16" s="126">
        <v>1</v>
      </c>
      <c r="I16" s="129">
        <v>2106</v>
      </c>
      <c r="J16" s="130">
        <v>235</v>
      </c>
      <c r="K16" s="126">
        <v>0</v>
      </c>
      <c r="L16" s="129">
        <v>0</v>
      </c>
      <c r="M16" s="130">
        <v>0</v>
      </c>
      <c r="N16" s="126">
        <f t="shared" si="0"/>
        <v>3</v>
      </c>
      <c r="O16" s="129">
        <f t="shared" si="0"/>
        <v>59953.5</v>
      </c>
      <c r="P16" s="130">
        <f t="shared" si="0"/>
        <v>5970</v>
      </c>
      <c r="Q16" s="126">
        <f t="shared" si="0"/>
        <v>0</v>
      </c>
      <c r="R16" s="129">
        <f t="shared" si="0"/>
        <v>0</v>
      </c>
      <c r="S16" s="130">
        <f t="shared" si="0"/>
        <v>0</v>
      </c>
      <c r="T16" s="131">
        <f t="shared" si="1"/>
        <v>3</v>
      </c>
      <c r="U16" s="132">
        <f t="shared" si="1"/>
        <v>59953.5</v>
      </c>
      <c r="V16" s="133">
        <f t="shared" si="1"/>
        <v>5970</v>
      </c>
      <c r="W16" s="129">
        <f t="shared" si="2"/>
        <v>19984.5</v>
      </c>
      <c r="X16" s="130">
        <f t="shared" si="3"/>
        <v>1990</v>
      </c>
    </row>
    <row r="17" spans="1:24" ht="15">
      <c r="A17" s="126" t="s">
        <v>267</v>
      </c>
      <c r="B17" s="126">
        <v>0</v>
      </c>
      <c r="C17" s="129">
        <v>0</v>
      </c>
      <c r="D17" s="130">
        <v>0</v>
      </c>
      <c r="E17" s="126">
        <v>1</v>
      </c>
      <c r="F17" s="129">
        <v>25847.5</v>
      </c>
      <c r="G17" s="130">
        <v>2706</v>
      </c>
      <c r="H17" s="126">
        <v>7</v>
      </c>
      <c r="I17" s="129">
        <v>15868</v>
      </c>
      <c r="J17" s="130">
        <v>3908</v>
      </c>
      <c r="K17" s="126">
        <v>1</v>
      </c>
      <c r="L17" s="129">
        <v>12</v>
      </c>
      <c r="M17" s="130">
        <v>2</v>
      </c>
      <c r="N17" s="126">
        <f t="shared" si="0"/>
        <v>7</v>
      </c>
      <c r="O17" s="129">
        <f t="shared" si="0"/>
        <v>15868</v>
      </c>
      <c r="P17" s="130">
        <f t="shared" si="0"/>
        <v>3908</v>
      </c>
      <c r="Q17" s="126">
        <f t="shared" si="0"/>
        <v>2</v>
      </c>
      <c r="R17" s="129">
        <f t="shared" si="0"/>
        <v>25859.5</v>
      </c>
      <c r="S17" s="130">
        <f t="shared" si="0"/>
        <v>2708</v>
      </c>
      <c r="T17" s="131">
        <f t="shared" si="1"/>
        <v>9</v>
      </c>
      <c r="U17" s="132">
        <f t="shared" si="1"/>
        <v>41727.5</v>
      </c>
      <c r="V17" s="133">
        <f t="shared" si="1"/>
        <v>6616</v>
      </c>
      <c r="W17" s="129">
        <f t="shared" si="2"/>
        <v>4636.388888888889</v>
      </c>
      <c r="X17" s="130">
        <f t="shared" si="3"/>
        <v>735.1111111111111</v>
      </c>
    </row>
    <row r="18" spans="1:24" ht="15">
      <c r="A18" s="126" t="s">
        <v>487</v>
      </c>
      <c r="B18" s="126">
        <v>1</v>
      </c>
      <c r="C18" s="129">
        <v>27633</v>
      </c>
      <c r="D18" s="130">
        <v>2786</v>
      </c>
      <c r="E18" s="126">
        <v>0</v>
      </c>
      <c r="F18" s="129">
        <v>0</v>
      </c>
      <c r="G18" s="130">
        <v>0</v>
      </c>
      <c r="H18" s="126">
        <v>0</v>
      </c>
      <c r="I18" s="129">
        <v>0</v>
      </c>
      <c r="J18" s="130">
        <v>0</v>
      </c>
      <c r="K18" s="126">
        <v>0</v>
      </c>
      <c r="L18" s="129">
        <v>0</v>
      </c>
      <c r="M18" s="130">
        <v>0</v>
      </c>
      <c r="N18" s="126">
        <f t="shared" si="0"/>
        <v>1</v>
      </c>
      <c r="O18" s="129">
        <f t="shared" si="0"/>
        <v>27633</v>
      </c>
      <c r="P18" s="130">
        <f t="shared" si="0"/>
        <v>2786</v>
      </c>
      <c r="Q18" s="126">
        <f t="shared" si="0"/>
        <v>0</v>
      </c>
      <c r="R18" s="129">
        <f t="shared" si="0"/>
        <v>0</v>
      </c>
      <c r="S18" s="130">
        <f t="shared" si="0"/>
        <v>0</v>
      </c>
      <c r="T18" s="131">
        <f t="shared" si="1"/>
        <v>1</v>
      </c>
      <c r="U18" s="132">
        <f t="shared" si="1"/>
        <v>27633</v>
      </c>
      <c r="V18" s="133">
        <f t="shared" si="1"/>
        <v>2786</v>
      </c>
      <c r="W18" s="129">
        <f t="shared" si="2"/>
        <v>27633</v>
      </c>
      <c r="X18" s="130">
        <f t="shared" si="3"/>
        <v>2786</v>
      </c>
    </row>
    <row r="19" spans="1:24" ht="15">
      <c r="A19" s="126" t="s">
        <v>488</v>
      </c>
      <c r="B19" s="126">
        <v>1</v>
      </c>
      <c r="C19" s="129">
        <v>5177</v>
      </c>
      <c r="D19" s="130">
        <v>759</v>
      </c>
      <c r="E19" s="126">
        <v>0</v>
      </c>
      <c r="F19" s="129">
        <v>0</v>
      </c>
      <c r="G19" s="130">
        <v>0</v>
      </c>
      <c r="H19" s="126">
        <v>0</v>
      </c>
      <c r="I19" s="129">
        <v>0</v>
      </c>
      <c r="J19" s="130">
        <v>0</v>
      </c>
      <c r="K19" s="126">
        <v>0</v>
      </c>
      <c r="L19" s="129">
        <v>0</v>
      </c>
      <c r="M19" s="130">
        <v>0</v>
      </c>
      <c r="N19" s="126">
        <f t="shared" si="0"/>
        <v>1</v>
      </c>
      <c r="O19" s="129">
        <f t="shared" si="0"/>
        <v>5177</v>
      </c>
      <c r="P19" s="130">
        <f t="shared" si="0"/>
        <v>759</v>
      </c>
      <c r="Q19" s="126">
        <f t="shared" si="0"/>
        <v>0</v>
      </c>
      <c r="R19" s="129">
        <f t="shared" si="0"/>
        <v>0</v>
      </c>
      <c r="S19" s="130">
        <f t="shared" si="0"/>
        <v>0</v>
      </c>
      <c r="T19" s="131">
        <f t="shared" si="1"/>
        <v>1</v>
      </c>
      <c r="U19" s="132">
        <f t="shared" si="1"/>
        <v>5177</v>
      </c>
      <c r="V19" s="133">
        <f t="shared" si="1"/>
        <v>759</v>
      </c>
      <c r="W19" s="129">
        <f t="shared" si="2"/>
        <v>5177</v>
      </c>
      <c r="X19" s="130">
        <f t="shared" si="3"/>
        <v>759</v>
      </c>
    </row>
    <row r="20" spans="1:24" ht="15">
      <c r="A20" s="126" t="s">
        <v>523</v>
      </c>
      <c r="B20" s="126">
        <v>0</v>
      </c>
      <c r="C20" s="129">
        <v>0</v>
      </c>
      <c r="D20" s="130">
        <v>0</v>
      </c>
      <c r="E20" s="126">
        <v>1</v>
      </c>
      <c r="F20" s="129">
        <v>5001</v>
      </c>
      <c r="G20" s="130">
        <v>554</v>
      </c>
      <c r="H20" s="126">
        <v>0</v>
      </c>
      <c r="I20" s="129">
        <v>0</v>
      </c>
      <c r="J20" s="130">
        <v>0</v>
      </c>
      <c r="K20" s="126">
        <v>0</v>
      </c>
      <c r="L20" s="129">
        <v>0</v>
      </c>
      <c r="M20" s="130">
        <v>0</v>
      </c>
      <c r="N20" s="126">
        <f t="shared" si="0"/>
        <v>0</v>
      </c>
      <c r="O20" s="129">
        <f t="shared" si="0"/>
        <v>0</v>
      </c>
      <c r="P20" s="130">
        <f t="shared" si="0"/>
        <v>0</v>
      </c>
      <c r="Q20" s="126">
        <f t="shared" si="0"/>
        <v>1</v>
      </c>
      <c r="R20" s="129">
        <f t="shared" si="0"/>
        <v>5001</v>
      </c>
      <c r="S20" s="130">
        <f t="shared" si="0"/>
        <v>554</v>
      </c>
      <c r="T20" s="131">
        <f t="shared" si="1"/>
        <v>1</v>
      </c>
      <c r="U20" s="132">
        <f t="shared" si="1"/>
        <v>5001</v>
      </c>
      <c r="V20" s="133">
        <f t="shared" si="1"/>
        <v>554</v>
      </c>
      <c r="W20" s="129">
        <f t="shared" si="2"/>
        <v>5001</v>
      </c>
      <c r="X20" s="130">
        <f t="shared" si="3"/>
        <v>554</v>
      </c>
    </row>
    <row r="21" spans="1:24" ht="15">
      <c r="A21" s="126" t="s">
        <v>489</v>
      </c>
      <c r="B21" s="126">
        <v>0</v>
      </c>
      <c r="C21" s="129">
        <v>0</v>
      </c>
      <c r="D21" s="130">
        <v>0</v>
      </c>
      <c r="E21" s="126">
        <v>0</v>
      </c>
      <c r="F21" s="129">
        <v>0</v>
      </c>
      <c r="G21" s="130">
        <v>0</v>
      </c>
      <c r="H21" s="126">
        <v>1</v>
      </c>
      <c r="I21" s="129">
        <v>4527</v>
      </c>
      <c r="J21" s="130">
        <v>697</v>
      </c>
      <c r="K21" s="126">
        <v>0</v>
      </c>
      <c r="L21" s="129">
        <v>0</v>
      </c>
      <c r="M21" s="130">
        <v>0</v>
      </c>
      <c r="N21" s="126">
        <f t="shared" si="0"/>
        <v>1</v>
      </c>
      <c r="O21" s="129">
        <f t="shared" si="0"/>
        <v>4527</v>
      </c>
      <c r="P21" s="130">
        <f t="shared" si="0"/>
        <v>697</v>
      </c>
      <c r="Q21" s="126">
        <f t="shared" si="0"/>
        <v>0</v>
      </c>
      <c r="R21" s="129">
        <f t="shared" si="0"/>
        <v>0</v>
      </c>
      <c r="S21" s="130">
        <f t="shared" si="0"/>
        <v>0</v>
      </c>
      <c r="T21" s="131">
        <f t="shared" si="1"/>
        <v>1</v>
      </c>
      <c r="U21" s="132">
        <f t="shared" si="1"/>
        <v>4527</v>
      </c>
      <c r="V21" s="133">
        <f t="shared" si="1"/>
        <v>697</v>
      </c>
      <c r="W21" s="129">
        <f t="shared" si="2"/>
        <v>4527</v>
      </c>
      <c r="X21" s="130">
        <f t="shared" si="3"/>
        <v>697</v>
      </c>
    </row>
    <row r="22" spans="1:24" ht="15">
      <c r="A22" s="126" t="s">
        <v>102</v>
      </c>
      <c r="B22" s="126">
        <v>1</v>
      </c>
      <c r="C22" s="129">
        <v>3500</v>
      </c>
      <c r="D22" s="130">
        <v>500</v>
      </c>
      <c r="E22" s="126">
        <v>0</v>
      </c>
      <c r="F22" s="129">
        <v>0</v>
      </c>
      <c r="G22" s="130">
        <v>0</v>
      </c>
      <c r="H22" s="126">
        <v>0</v>
      </c>
      <c r="I22" s="129">
        <v>0</v>
      </c>
      <c r="J22" s="130">
        <v>0</v>
      </c>
      <c r="K22" s="126">
        <v>0</v>
      </c>
      <c r="L22" s="129">
        <v>0</v>
      </c>
      <c r="M22" s="130">
        <v>0</v>
      </c>
      <c r="N22" s="126">
        <f t="shared" si="0"/>
        <v>1</v>
      </c>
      <c r="O22" s="129">
        <f t="shared" si="0"/>
        <v>3500</v>
      </c>
      <c r="P22" s="130">
        <f t="shared" si="0"/>
        <v>500</v>
      </c>
      <c r="Q22" s="126">
        <f t="shared" si="0"/>
        <v>0</v>
      </c>
      <c r="R22" s="129">
        <f t="shared" si="0"/>
        <v>0</v>
      </c>
      <c r="S22" s="130">
        <f t="shared" si="0"/>
        <v>0</v>
      </c>
      <c r="T22" s="131">
        <f t="shared" si="1"/>
        <v>1</v>
      </c>
      <c r="U22" s="132">
        <f t="shared" si="1"/>
        <v>3500</v>
      </c>
      <c r="V22" s="133">
        <f t="shared" si="1"/>
        <v>500</v>
      </c>
      <c r="W22" s="129">
        <f t="shared" si="2"/>
        <v>3500</v>
      </c>
      <c r="X22" s="130">
        <f t="shared" si="3"/>
        <v>500</v>
      </c>
    </row>
    <row r="23" spans="1:24" ht="14.25">
      <c r="A23" s="200" t="s">
        <v>490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</row>
  </sheetData>
  <sheetProtection/>
  <mergeCells count="25">
    <mergeCell ref="A23:X23"/>
    <mergeCell ref="B2:D2"/>
    <mergeCell ref="E2:G2"/>
    <mergeCell ref="H2:J2"/>
    <mergeCell ref="K2:M2"/>
    <mergeCell ref="N2:P2"/>
    <mergeCell ref="Q2:S2"/>
    <mergeCell ref="T2:V2"/>
    <mergeCell ref="W2:X2"/>
    <mergeCell ref="N3:P3"/>
    <mergeCell ref="T1:V1"/>
    <mergeCell ref="W1:X1"/>
    <mergeCell ref="Q3:S3"/>
    <mergeCell ref="T3:V3"/>
    <mergeCell ref="W3:X3"/>
    <mergeCell ref="B3:D3"/>
    <mergeCell ref="E3:G3"/>
    <mergeCell ref="H3:J3"/>
    <mergeCell ref="K3:M3"/>
    <mergeCell ref="B1:D1"/>
    <mergeCell ref="E1:G1"/>
    <mergeCell ref="H1:J1"/>
    <mergeCell ref="K1:M1"/>
    <mergeCell ref="N1:P1"/>
    <mergeCell ref="Q1:S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7"/>
  <sheetViews>
    <sheetView zoomScale="110" zoomScaleNormal="110" zoomScalePageLayoutView="0" workbookViewId="0" topLeftCell="A1">
      <selection activeCell="A1" sqref="A1"/>
    </sheetView>
  </sheetViews>
  <sheetFormatPr defaultColWidth="15.00390625" defaultRowHeight="12.75"/>
  <cols>
    <col min="1" max="1" width="3.50390625" style="79" bestFit="1" customWidth="1"/>
    <col min="2" max="2" width="42.625" style="33" bestFit="1" customWidth="1"/>
    <col min="3" max="3" width="10.375" style="2" bestFit="1" customWidth="1"/>
    <col min="4" max="4" width="16.375" style="1" bestFit="1" customWidth="1"/>
    <col min="5" max="5" width="19.625" style="1" bestFit="1" customWidth="1"/>
    <col min="6" max="7" width="5.25390625" style="4" bestFit="1" customWidth="1"/>
    <col min="8" max="8" width="13.25390625" style="35" bestFit="1" customWidth="1"/>
    <col min="9" max="9" width="9.50390625" style="36" bestFit="1" customWidth="1"/>
    <col min="10" max="10" width="5.625" style="32" bestFit="1" customWidth="1"/>
    <col min="11" max="11" width="1.75390625" style="71" bestFit="1" customWidth="1"/>
    <col min="12" max="12" width="15.00390625" style="27" customWidth="1"/>
    <col min="13" max="13" width="15.00390625" style="28" customWidth="1"/>
    <col min="14" max="14" width="15.00390625" style="27" customWidth="1"/>
    <col min="15" max="16" width="15.00390625" style="29" customWidth="1"/>
    <col min="17" max="16384" width="15.00390625" style="3" customWidth="1"/>
  </cols>
  <sheetData>
    <row r="1" spans="1:16" s="40" customFormat="1" ht="15">
      <c r="A1" s="77"/>
      <c r="B1" s="41" t="s">
        <v>372</v>
      </c>
      <c r="C1" s="42" t="s">
        <v>370</v>
      </c>
      <c r="D1" s="41" t="s">
        <v>369</v>
      </c>
      <c r="E1" s="41" t="s">
        <v>358</v>
      </c>
      <c r="F1" s="41" t="s">
        <v>359</v>
      </c>
      <c r="G1" s="41" t="s">
        <v>367</v>
      </c>
      <c r="H1" s="43" t="s">
        <v>362</v>
      </c>
      <c r="I1" s="44" t="s">
        <v>363</v>
      </c>
      <c r="J1" s="45" t="s">
        <v>365</v>
      </c>
      <c r="K1" s="69"/>
      <c r="L1" s="46"/>
      <c r="M1" s="47"/>
      <c r="N1" s="46"/>
      <c r="O1" s="48"/>
      <c r="P1" s="48"/>
    </row>
    <row r="2" spans="1:16" s="40" customFormat="1" ht="15.75" thickBot="1">
      <c r="A2" s="78"/>
      <c r="B2" s="72" t="s">
        <v>373</v>
      </c>
      <c r="C2" s="73" t="s">
        <v>371</v>
      </c>
      <c r="D2" s="72" t="s">
        <v>368</v>
      </c>
      <c r="E2" s="72" t="s">
        <v>357</v>
      </c>
      <c r="F2" s="72" t="s">
        <v>360</v>
      </c>
      <c r="G2" s="72" t="s">
        <v>366</v>
      </c>
      <c r="H2" s="74" t="s">
        <v>361</v>
      </c>
      <c r="I2" s="75" t="s">
        <v>356</v>
      </c>
      <c r="J2" s="76" t="s">
        <v>364</v>
      </c>
      <c r="K2" s="69"/>
      <c r="L2" s="46"/>
      <c r="M2" s="47"/>
      <c r="N2" s="46"/>
      <c r="O2" s="48"/>
      <c r="P2" s="48"/>
    </row>
    <row r="3" spans="1:14" s="4" customFormat="1" ht="15">
      <c r="A3" s="79">
        <v>1</v>
      </c>
      <c r="B3" s="33" t="s">
        <v>309</v>
      </c>
      <c r="C3" s="2">
        <v>38396</v>
      </c>
      <c r="D3" s="1" t="s">
        <v>105</v>
      </c>
      <c r="E3" s="1" t="s">
        <v>310</v>
      </c>
      <c r="F3" s="4">
        <v>372</v>
      </c>
      <c r="G3" s="4">
        <v>24</v>
      </c>
      <c r="H3" s="58">
        <f>17329163.5+9384321+4035301-111+1596787.5-52+594784+289448.5+142806.5+57257.5+10859.5+1656+13165+452+3902+124+16239+3704+0.5+78+78+442+474+277+19+12010</f>
        <v>33493186.5</v>
      </c>
      <c r="I3" s="59">
        <f>2236432+1203711+519916+206906+76573+36964+29367+10451+1641+205+2816+174+976+16+3753+578+12+13+73+79+55+3+2402</f>
        <v>4333116</v>
      </c>
      <c r="J3" s="9">
        <f>IF(H3&lt;&gt;0,H3/I3,"")</f>
        <v>7.7295845530098894</v>
      </c>
      <c r="K3" s="70">
        <v>1</v>
      </c>
      <c r="L3" s="30"/>
      <c r="M3" s="31"/>
      <c r="N3" s="30"/>
    </row>
    <row r="4" spans="1:14" s="4" customFormat="1" ht="15">
      <c r="A4" s="79">
        <v>2</v>
      </c>
      <c r="B4" s="49" t="s">
        <v>88</v>
      </c>
      <c r="C4" s="7">
        <v>38641</v>
      </c>
      <c r="D4" s="6" t="s">
        <v>89</v>
      </c>
      <c r="E4" s="6" t="s">
        <v>90</v>
      </c>
      <c r="F4" s="8">
        <v>319</v>
      </c>
      <c r="G4" s="8">
        <v>11</v>
      </c>
      <c r="H4" s="60">
        <v>19720380.25</v>
      </c>
      <c r="I4" s="36">
        <v>2419136</v>
      </c>
      <c r="J4" s="9">
        <f>IF(H4&lt;&gt;0,H4/I4,"")</f>
        <v>8.151827863336331</v>
      </c>
      <c r="K4" s="70">
        <v>1</v>
      </c>
      <c r="L4" s="30"/>
      <c r="M4" s="31"/>
      <c r="N4" s="30"/>
    </row>
    <row r="5" spans="1:14" s="4" customFormat="1" ht="15">
      <c r="A5" s="79">
        <v>3</v>
      </c>
      <c r="B5" s="50" t="s">
        <v>91</v>
      </c>
      <c r="C5" s="7">
        <v>38423</v>
      </c>
      <c r="D5" s="10" t="s">
        <v>92</v>
      </c>
      <c r="E5" s="10" t="s">
        <v>93</v>
      </c>
      <c r="F5" s="11">
        <v>355</v>
      </c>
      <c r="G5" s="11">
        <v>30</v>
      </c>
      <c r="H5" s="35">
        <v>19043725</v>
      </c>
      <c r="I5" s="36">
        <v>2491454</v>
      </c>
      <c r="J5" s="12">
        <f>+H5/I5</f>
        <v>7.643618947008454</v>
      </c>
      <c r="K5" s="70">
        <v>1</v>
      </c>
      <c r="L5" s="30"/>
      <c r="M5" s="31"/>
      <c r="N5" s="30"/>
    </row>
    <row r="6" spans="1:14" s="4" customFormat="1" ht="15">
      <c r="A6" s="79">
        <v>4</v>
      </c>
      <c r="B6" s="49">
        <v>2012</v>
      </c>
      <c r="C6" s="7">
        <v>38669</v>
      </c>
      <c r="D6" s="13" t="s">
        <v>317</v>
      </c>
      <c r="E6" s="6" t="s">
        <v>94</v>
      </c>
      <c r="F6" s="8">
        <v>178</v>
      </c>
      <c r="G6" s="8">
        <v>7</v>
      </c>
      <c r="H6" s="58">
        <f>5048445+2623186+2875787+1594+1313720-1385+706675+20+397625-870+142806</f>
        <v>13107603</v>
      </c>
      <c r="I6" s="59">
        <f>548198+290908+318522+370+152245-188+85226+51433-166+22307</f>
        <v>1468855</v>
      </c>
      <c r="J6" s="5">
        <f>+H6/I6</f>
        <v>8.923687498085243</v>
      </c>
      <c r="K6" s="70"/>
      <c r="L6" s="30"/>
      <c r="M6" s="31"/>
      <c r="N6" s="30"/>
    </row>
    <row r="7" spans="1:14" s="4" customFormat="1" ht="15">
      <c r="A7" s="79">
        <v>5</v>
      </c>
      <c r="B7" s="33" t="s">
        <v>95</v>
      </c>
      <c r="C7" s="2">
        <v>38534</v>
      </c>
      <c r="D7" s="1" t="s">
        <v>96</v>
      </c>
      <c r="E7" s="1" t="s">
        <v>97</v>
      </c>
      <c r="F7" s="4">
        <v>209</v>
      </c>
      <c r="G7" s="4">
        <v>26</v>
      </c>
      <c r="H7" s="58">
        <f>872160.5+3062686.25+2016658.5+1330226.25+943221.5+742732+516667.5+450351.5+331944.75+238834+191406+133484.5+252388.75+88483.5+54821.5+50455.5+10393.5+13219.5+4551+15537+5404+869+4082+1834+3805+1635+750</f>
        <v>11338602.5</v>
      </c>
      <c r="I7" s="59">
        <f>115039+364710+241056+162109+115810+90639+66180+59650+44695+33272+25508+18324+32600+11489+6695+7353+1723+3013+920+3530+1123+138+968+454+919+396+210</f>
        <v>1408523</v>
      </c>
      <c r="J7" s="5">
        <f>H7/I7</f>
        <v>8.049994568778784</v>
      </c>
      <c r="K7" s="70"/>
      <c r="L7" s="30"/>
      <c r="M7" s="31"/>
      <c r="N7" s="30"/>
    </row>
    <row r="8" spans="1:14" s="4" customFormat="1" ht="15">
      <c r="A8" s="79">
        <v>6</v>
      </c>
      <c r="B8" s="33" t="s">
        <v>98</v>
      </c>
      <c r="C8" s="2">
        <v>38676</v>
      </c>
      <c r="D8" s="1" t="s">
        <v>96</v>
      </c>
      <c r="E8" s="1" t="s">
        <v>99</v>
      </c>
      <c r="F8" s="4">
        <v>147</v>
      </c>
      <c r="G8" s="4">
        <v>6</v>
      </c>
      <c r="H8" s="58">
        <f>4499732.5+3362984.5+1262292.25+664013.75+490740.5+244990</f>
        <v>10524753.5</v>
      </c>
      <c r="I8" s="59">
        <f>493806+365411+142937+78728+74756+40294</f>
        <v>1195932</v>
      </c>
      <c r="J8" s="5">
        <f>H8/I8</f>
        <v>8.800461481087554</v>
      </c>
      <c r="K8" s="70"/>
      <c r="L8" s="30"/>
      <c r="M8" s="31"/>
      <c r="N8" s="30"/>
    </row>
    <row r="9" spans="1:14" s="4" customFormat="1" ht="15">
      <c r="A9" s="79">
        <v>7</v>
      </c>
      <c r="B9" s="51" t="s">
        <v>100</v>
      </c>
      <c r="C9" s="7">
        <v>38683</v>
      </c>
      <c r="D9" s="14" t="s">
        <v>101</v>
      </c>
      <c r="E9" s="14" t="s">
        <v>102</v>
      </c>
      <c r="F9" s="15">
        <v>258</v>
      </c>
      <c r="G9" s="15">
        <v>5</v>
      </c>
      <c r="H9" s="61">
        <v>9325920.75</v>
      </c>
      <c r="I9" s="62">
        <v>1071580</v>
      </c>
      <c r="J9" s="16">
        <f>+H9/I9</f>
        <v>8.70296268127438</v>
      </c>
      <c r="K9" s="70">
        <v>1</v>
      </c>
      <c r="L9" s="30"/>
      <c r="M9" s="31"/>
      <c r="N9" s="30"/>
    </row>
    <row r="10" spans="1:14" s="4" customFormat="1" ht="15">
      <c r="A10" s="79">
        <v>8</v>
      </c>
      <c r="B10" s="33" t="s">
        <v>103</v>
      </c>
      <c r="C10" s="2">
        <v>38704</v>
      </c>
      <c r="D10" s="1" t="s">
        <v>96</v>
      </c>
      <c r="E10" s="1" t="s">
        <v>97</v>
      </c>
      <c r="F10" s="4">
        <v>125</v>
      </c>
      <c r="G10" s="4">
        <v>2</v>
      </c>
      <c r="H10" s="58">
        <f>4033069.5+3582182.5</f>
        <v>7615252</v>
      </c>
      <c r="I10" s="59">
        <f>383242+338340</f>
        <v>721582</v>
      </c>
      <c r="J10" s="5">
        <f>H10/I10</f>
        <v>10.553550393441078</v>
      </c>
      <c r="K10" s="70"/>
      <c r="L10" s="30"/>
      <c r="M10" s="31"/>
      <c r="N10" s="30"/>
    </row>
    <row r="11" spans="1:14" s="4" customFormat="1" ht="15">
      <c r="A11" s="79">
        <v>9</v>
      </c>
      <c r="B11" s="33" t="s">
        <v>104</v>
      </c>
      <c r="C11" s="2">
        <v>38676</v>
      </c>
      <c r="D11" s="1" t="s">
        <v>105</v>
      </c>
      <c r="E11" s="1" t="s">
        <v>106</v>
      </c>
      <c r="F11" s="4">
        <v>311</v>
      </c>
      <c r="G11" s="4">
        <v>5</v>
      </c>
      <c r="H11" s="35">
        <f>3304754.25+2499078+631694+23+231806.5+262+75092-166+83827.5</f>
        <v>6826371.25</v>
      </c>
      <c r="I11" s="36">
        <f>413699+312050+80320+31253+42+12537-15+13061</f>
        <v>862947</v>
      </c>
      <c r="J11" s="9">
        <f aca="true" t="shared" si="0" ref="J11:J17">+H11/I11</f>
        <v>7.910533613304177</v>
      </c>
      <c r="K11" s="70">
        <v>1</v>
      </c>
      <c r="L11" s="30"/>
      <c r="M11" s="31"/>
      <c r="N11" s="30"/>
    </row>
    <row r="12" spans="1:14" s="4" customFormat="1" ht="15">
      <c r="A12" s="79">
        <v>10</v>
      </c>
      <c r="B12" s="50" t="s">
        <v>107</v>
      </c>
      <c r="C12" s="7">
        <v>38487</v>
      </c>
      <c r="D12" s="13" t="s">
        <v>317</v>
      </c>
      <c r="E12" s="10" t="s">
        <v>94</v>
      </c>
      <c r="F12" s="11">
        <v>187</v>
      </c>
      <c r="G12" s="11">
        <v>21</v>
      </c>
      <c r="H12" s="35">
        <v>5976194</v>
      </c>
      <c r="I12" s="36">
        <v>705709</v>
      </c>
      <c r="J12" s="12">
        <f t="shared" si="0"/>
        <v>8.468354520064219</v>
      </c>
      <c r="K12" s="70"/>
      <c r="L12" s="30"/>
      <c r="M12" s="31"/>
      <c r="N12" s="30"/>
    </row>
    <row r="13" spans="1:14" s="4" customFormat="1" ht="15">
      <c r="A13" s="79">
        <v>11</v>
      </c>
      <c r="B13" s="51" t="s">
        <v>108</v>
      </c>
      <c r="C13" s="7">
        <v>38548</v>
      </c>
      <c r="D13" s="13" t="s">
        <v>317</v>
      </c>
      <c r="E13" s="14" t="s">
        <v>109</v>
      </c>
      <c r="F13" s="15">
        <v>190</v>
      </c>
      <c r="G13" s="15">
        <v>15</v>
      </c>
      <c r="H13" s="60">
        <v>5052407</v>
      </c>
      <c r="I13" s="36">
        <v>640098</v>
      </c>
      <c r="J13" s="9">
        <f t="shared" si="0"/>
        <v>7.893177294726745</v>
      </c>
      <c r="K13" s="70"/>
      <c r="L13" s="30"/>
      <c r="M13" s="31"/>
      <c r="N13" s="30"/>
    </row>
    <row r="14" spans="1:14" s="4" customFormat="1" ht="15">
      <c r="A14" s="79">
        <v>12</v>
      </c>
      <c r="B14" s="50" t="s">
        <v>110</v>
      </c>
      <c r="C14" s="7">
        <v>38375</v>
      </c>
      <c r="D14" s="1" t="s">
        <v>105</v>
      </c>
      <c r="E14" s="10" t="s">
        <v>111</v>
      </c>
      <c r="F14" s="11">
        <v>180</v>
      </c>
      <c r="G14" s="11">
        <v>21</v>
      </c>
      <c r="H14" s="35">
        <f>1758644.5+1323710+941534+309534.5+197920+55019+28515+10481.5+9376+0.5+7127+5202+0.5+4667+2669+85+805+2472+228+108+1372+272+347</f>
        <v>4660089.5</v>
      </c>
      <c r="I14" s="36">
        <f>205635+158652+117576+43365+28181+9066+4843+2243+2345+1225+998+716+401+17+161+412+38+18+343+46+58</f>
        <v>576339</v>
      </c>
      <c r="J14" s="12">
        <f t="shared" si="0"/>
        <v>8.085674403432701</v>
      </c>
      <c r="K14" s="70">
        <v>1</v>
      </c>
      <c r="L14" s="30"/>
      <c r="M14" s="31"/>
      <c r="N14" s="30"/>
    </row>
    <row r="15" spans="1:14" s="4" customFormat="1" ht="15">
      <c r="A15" s="79">
        <v>13</v>
      </c>
      <c r="B15" s="50" t="s">
        <v>112</v>
      </c>
      <c r="C15" s="7">
        <v>38389</v>
      </c>
      <c r="D15" s="13" t="s">
        <v>317</v>
      </c>
      <c r="E15" s="10" t="s">
        <v>109</v>
      </c>
      <c r="F15" s="11">
        <v>71</v>
      </c>
      <c r="G15" s="11">
        <v>21</v>
      </c>
      <c r="H15" s="35">
        <v>4212868</v>
      </c>
      <c r="I15" s="36">
        <v>465319</v>
      </c>
      <c r="J15" s="12">
        <f t="shared" si="0"/>
        <v>9.05372013607869</v>
      </c>
      <c r="K15" s="70"/>
      <c r="L15" s="30"/>
      <c r="M15" s="31"/>
      <c r="N15" s="30"/>
    </row>
    <row r="16" spans="1:14" s="4" customFormat="1" ht="15">
      <c r="A16" s="79">
        <v>14</v>
      </c>
      <c r="B16" s="50" t="s">
        <v>113</v>
      </c>
      <c r="C16" s="7">
        <v>38368</v>
      </c>
      <c r="D16" s="10" t="s">
        <v>89</v>
      </c>
      <c r="E16" s="10" t="s">
        <v>114</v>
      </c>
      <c r="F16" s="11">
        <v>169</v>
      </c>
      <c r="G16" s="11">
        <v>23</v>
      </c>
      <c r="H16" s="35">
        <v>3760707.25</v>
      </c>
      <c r="I16" s="36">
        <v>516018</v>
      </c>
      <c r="J16" s="12">
        <f t="shared" si="0"/>
        <v>7.2879381145618956</v>
      </c>
      <c r="K16" s="70">
        <v>1</v>
      </c>
      <c r="L16" s="30"/>
      <c r="M16" s="31"/>
      <c r="N16" s="30"/>
    </row>
    <row r="17" spans="1:14" s="4" customFormat="1" ht="15">
      <c r="A17" s="79">
        <v>15</v>
      </c>
      <c r="B17" s="33" t="s">
        <v>115</v>
      </c>
      <c r="C17" s="2">
        <v>38655</v>
      </c>
      <c r="D17" s="1" t="s">
        <v>105</v>
      </c>
      <c r="E17" s="1" t="s">
        <v>116</v>
      </c>
      <c r="F17" s="4">
        <v>252</v>
      </c>
      <c r="G17" s="4">
        <v>9</v>
      </c>
      <c r="H17" s="35">
        <f>1669127.75+948082.25+584112.75-1430.5+253635+167357+9936+0.5+7987+1963+4065</f>
        <v>3644835.75</v>
      </c>
      <c r="I17" s="36">
        <f>200044+117374+72700-112+36636+25117+1706+1163+472+1036</f>
        <v>456136</v>
      </c>
      <c r="J17" s="9">
        <f t="shared" si="0"/>
        <v>7.990677670694705</v>
      </c>
      <c r="K17" s="70">
        <v>1</v>
      </c>
      <c r="L17" s="30"/>
      <c r="M17" s="31"/>
      <c r="N17" s="30"/>
    </row>
    <row r="18" spans="1:14" s="4" customFormat="1" ht="15">
      <c r="A18" s="79">
        <v>16</v>
      </c>
      <c r="B18" s="49" t="s">
        <v>162</v>
      </c>
      <c r="C18" s="7">
        <v>38361</v>
      </c>
      <c r="D18" s="6" t="s">
        <v>89</v>
      </c>
      <c r="E18" s="6" t="s">
        <v>163</v>
      </c>
      <c r="F18" s="8">
        <v>175</v>
      </c>
      <c r="G18" s="8">
        <v>24</v>
      </c>
      <c r="H18" s="60">
        <f>3513711+5034+713</f>
        <v>3519458</v>
      </c>
      <c r="I18" s="36">
        <f>479658+1007+143</f>
        <v>480808</v>
      </c>
      <c r="J18" s="5">
        <f>H18/I18</f>
        <v>7.319882364686111</v>
      </c>
      <c r="K18" s="70">
        <v>1</v>
      </c>
      <c r="L18" s="30"/>
      <c r="M18" s="31"/>
      <c r="N18" s="30"/>
    </row>
    <row r="19" spans="1:14" s="4" customFormat="1" ht="15">
      <c r="A19" s="79">
        <v>17</v>
      </c>
      <c r="B19" s="50" t="s">
        <v>164</v>
      </c>
      <c r="C19" s="7">
        <v>38445</v>
      </c>
      <c r="D19" s="10" t="s">
        <v>318</v>
      </c>
      <c r="E19" s="10" t="s">
        <v>165</v>
      </c>
      <c r="F19" s="11">
        <v>96</v>
      </c>
      <c r="G19" s="11">
        <v>25</v>
      </c>
      <c r="H19" s="35">
        <v>3172155</v>
      </c>
      <c r="I19" s="36">
        <v>379827</v>
      </c>
      <c r="J19" s="12">
        <f aca="true" t="shared" si="1" ref="J19:J32">+H19/I19</f>
        <v>8.351578481782497</v>
      </c>
      <c r="K19" s="70"/>
      <c r="L19" s="30"/>
      <c r="M19" s="31"/>
      <c r="N19" s="30"/>
    </row>
    <row r="20" spans="1:14" s="4" customFormat="1" ht="15">
      <c r="A20" s="79">
        <v>18</v>
      </c>
      <c r="B20" s="50" t="s">
        <v>166</v>
      </c>
      <c r="C20" s="7">
        <v>38410</v>
      </c>
      <c r="D20" s="10" t="s">
        <v>167</v>
      </c>
      <c r="E20" s="10" t="s">
        <v>168</v>
      </c>
      <c r="F20" s="11">
        <v>57</v>
      </c>
      <c r="G20" s="11">
        <v>17</v>
      </c>
      <c r="H20" s="35">
        <v>3097866</v>
      </c>
      <c r="I20" s="36">
        <v>338209</v>
      </c>
      <c r="J20" s="12">
        <f t="shared" si="1"/>
        <v>9.159620234825212</v>
      </c>
      <c r="K20" s="70"/>
      <c r="L20" s="30"/>
      <c r="M20" s="31"/>
      <c r="N20" s="30"/>
    </row>
    <row r="21" spans="1:11" ht="15">
      <c r="A21" s="79">
        <v>19</v>
      </c>
      <c r="B21" s="33" t="s">
        <v>315</v>
      </c>
      <c r="C21" s="7">
        <v>38675</v>
      </c>
      <c r="D21" s="1" t="s">
        <v>245</v>
      </c>
      <c r="E21" s="1" t="s">
        <v>316</v>
      </c>
      <c r="F21" s="4">
        <v>149</v>
      </c>
      <c r="G21" s="4">
        <v>6</v>
      </c>
      <c r="H21" s="35">
        <v>3076291.5</v>
      </c>
      <c r="I21" s="36">
        <v>356456</v>
      </c>
      <c r="J21" s="12">
        <f t="shared" si="1"/>
        <v>8.630213827232534</v>
      </c>
      <c r="K21" s="71">
        <v>1</v>
      </c>
    </row>
    <row r="22" spans="1:14" s="4" customFormat="1" ht="15">
      <c r="A22" s="79">
        <v>20</v>
      </c>
      <c r="B22" s="50" t="s">
        <v>169</v>
      </c>
      <c r="C22" s="7">
        <v>38548</v>
      </c>
      <c r="D22" s="13" t="s">
        <v>317</v>
      </c>
      <c r="E22" s="10" t="s">
        <v>109</v>
      </c>
      <c r="F22" s="11">
        <v>19</v>
      </c>
      <c r="G22" s="11">
        <v>8</v>
      </c>
      <c r="H22" s="35">
        <v>3025375</v>
      </c>
      <c r="I22" s="36">
        <v>263174</v>
      </c>
      <c r="J22" s="12">
        <f t="shared" si="1"/>
        <v>11.495721461846536</v>
      </c>
      <c r="K22" s="70"/>
      <c r="L22" s="30"/>
      <c r="M22" s="31"/>
      <c r="N22" s="30"/>
    </row>
    <row r="23" spans="1:14" s="4" customFormat="1" ht="15">
      <c r="A23" s="79">
        <v>21</v>
      </c>
      <c r="B23" s="50" t="s">
        <v>170</v>
      </c>
      <c r="C23" s="7">
        <v>38368</v>
      </c>
      <c r="D23" s="13" t="s">
        <v>317</v>
      </c>
      <c r="E23" s="10" t="s">
        <v>109</v>
      </c>
      <c r="F23" s="11">
        <v>91</v>
      </c>
      <c r="G23" s="11">
        <v>11</v>
      </c>
      <c r="H23" s="35">
        <f>1185400+899041+1833+634887+222568+15075+17069-23+10895+8360+1979+2149+1799</f>
        <v>3001032</v>
      </c>
      <c r="I23" s="36">
        <f>128777+93782-9+68090+25354+2533+3131-2+2509+1525+960+396+302</f>
        <v>327348</v>
      </c>
      <c r="J23" s="12">
        <f t="shared" si="1"/>
        <v>9.167711426371934</v>
      </c>
      <c r="K23" s="70"/>
      <c r="L23" s="30"/>
      <c r="M23" s="31"/>
      <c r="N23" s="30"/>
    </row>
    <row r="24" spans="1:14" s="4" customFormat="1" ht="15">
      <c r="A24" s="79">
        <v>22</v>
      </c>
      <c r="B24" s="52" t="s">
        <v>171</v>
      </c>
      <c r="C24" s="2">
        <v>38585</v>
      </c>
      <c r="D24" s="10" t="s">
        <v>318</v>
      </c>
      <c r="E24" s="20" t="s">
        <v>165</v>
      </c>
      <c r="F24" s="4">
        <v>55</v>
      </c>
      <c r="G24" s="4">
        <v>18</v>
      </c>
      <c r="H24" s="35">
        <v>2894716</v>
      </c>
      <c r="I24" s="36">
        <v>288894</v>
      </c>
      <c r="J24" s="17">
        <f t="shared" si="1"/>
        <v>10.019993492422826</v>
      </c>
      <c r="K24" s="70"/>
      <c r="L24" s="30"/>
      <c r="M24" s="31"/>
      <c r="N24" s="30"/>
    </row>
    <row r="25" spans="1:14" s="4" customFormat="1" ht="15">
      <c r="A25" s="79">
        <v>23</v>
      </c>
      <c r="B25" s="50" t="s">
        <v>172</v>
      </c>
      <c r="C25" s="7">
        <v>38527</v>
      </c>
      <c r="D25" s="10" t="s">
        <v>318</v>
      </c>
      <c r="E25" s="10" t="s">
        <v>173</v>
      </c>
      <c r="F25" s="11">
        <v>137</v>
      </c>
      <c r="G25" s="11">
        <v>17</v>
      </c>
      <c r="H25" s="35">
        <v>2845560</v>
      </c>
      <c r="I25" s="36">
        <v>347065</v>
      </c>
      <c r="J25" s="12">
        <f t="shared" si="1"/>
        <v>8.198925273363779</v>
      </c>
      <c r="K25" s="70"/>
      <c r="L25" s="30"/>
      <c r="M25" s="31"/>
      <c r="N25" s="30"/>
    </row>
    <row r="26" spans="1:14" s="4" customFormat="1" ht="15">
      <c r="A26" s="79">
        <v>24</v>
      </c>
      <c r="B26" s="50" t="s">
        <v>174</v>
      </c>
      <c r="C26" s="7">
        <v>38452</v>
      </c>
      <c r="D26" s="13" t="s">
        <v>317</v>
      </c>
      <c r="E26" s="10" t="s">
        <v>99</v>
      </c>
      <c r="F26" s="11">
        <v>102</v>
      </c>
      <c r="G26" s="11">
        <v>17</v>
      </c>
      <c r="H26" s="35">
        <v>2800861</v>
      </c>
      <c r="I26" s="36">
        <v>327899</v>
      </c>
      <c r="J26" s="12">
        <f t="shared" si="1"/>
        <v>8.541840627754278</v>
      </c>
      <c r="K26" s="70"/>
      <c r="L26" s="30"/>
      <c r="M26" s="31"/>
      <c r="N26" s="30"/>
    </row>
    <row r="27" spans="1:14" s="4" customFormat="1" ht="15">
      <c r="A27" s="79">
        <v>25</v>
      </c>
      <c r="B27" s="49" t="s">
        <v>175</v>
      </c>
      <c r="C27" s="7">
        <v>38368</v>
      </c>
      <c r="D27" s="6" t="s">
        <v>96</v>
      </c>
      <c r="E27" s="10" t="s">
        <v>99</v>
      </c>
      <c r="F27" s="8">
        <v>80</v>
      </c>
      <c r="G27" s="8">
        <v>38</v>
      </c>
      <c r="H27" s="60">
        <f>783409.5+672566+392418+168504+54411+64946+58601+64120+20152+13919+28038+18395+13488+12795+8277+3206+3326.5+2899+422+2494+2511+191208.5+52491.25+20983+9705.5+4052+4553+3287+2148+4646.5+4535.5+5023+5448+1873+1975.25+1426+176+100</f>
        <v>2702529.5</v>
      </c>
      <c r="I27" s="36">
        <f>86363+71043+43171+22546+8141+10573+9585+10952+3417+2596+4707+3339+2364+2380+1458+540+671+701+80+511+492+23153+7937+3484+2007+768+830+670+362+791+720+747+935+313+335+201+22+25</f>
        <v>328930</v>
      </c>
      <c r="J27" s="18">
        <f t="shared" si="1"/>
        <v>8.216123491320342</v>
      </c>
      <c r="K27" s="70"/>
      <c r="L27" s="30"/>
      <c r="M27" s="31"/>
      <c r="N27" s="30"/>
    </row>
    <row r="28" spans="1:14" s="4" customFormat="1" ht="15">
      <c r="A28" s="79">
        <v>26</v>
      </c>
      <c r="B28" s="51" t="s">
        <v>176</v>
      </c>
      <c r="C28" s="7">
        <v>38697</v>
      </c>
      <c r="D28" s="19" t="s">
        <v>92</v>
      </c>
      <c r="E28" s="14" t="s">
        <v>93</v>
      </c>
      <c r="F28" s="15">
        <v>148</v>
      </c>
      <c r="G28" s="15">
        <v>3</v>
      </c>
      <c r="H28" s="63">
        <v>2637536</v>
      </c>
      <c r="I28" s="64">
        <v>306661</v>
      </c>
      <c r="J28" s="9">
        <f t="shared" si="1"/>
        <v>8.600819797757133</v>
      </c>
      <c r="K28" s="70">
        <v>1</v>
      </c>
      <c r="L28" s="30"/>
      <c r="M28" s="31"/>
      <c r="N28" s="30"/>
    </row>
    <row r="29" spans="1:14" s="4" customFormat="1" ht="15">
      <c r="A29" s="79">
        <v>27</v>
      </c>
      <c r="B29" s="52" t="s">
        <v>177</v>
      </c>
      <c r="C29" s="2">
        <v>38641</v>
      </c>
      <c r="D29" s="10" t="s">
        <v>318</v>
      </c>
      <c r="E29" s="20" t="s">
        <v>178</v>
      </c>
      <c r="F29" s="4">
        <v>99</v>
      </c>
      <c r="G29" s="4">
        <v>11</v>
      </c>
      <c r="H29" s="35">
        <v>2573371</v>
      </c>
      <c r="I29" s="36">
        <v>271651</v>
      </c>
      <c r="J29" s="17">
        <f t="shared" si="1"/>
        <v>9.47307758852351</v>
      </c>
      <c r="K29" s="70"/>
      <c r="L29" s="30"/>
      <c r="M29" s="31"/>
      <c r="N29" s="30"/>
    </row>
    <row r="30" spans="1:14" s="4" customFormat="1" ht="15">
      <c r="A30" s="79">
        <v>28</v>
      </c>
      <c r="B30" s="52" t="s">
        <v>179</v>
      </c>
      <c r="C30" s="2">
        <v>38683</v>
      </c>
      <c r="D30" s="10" t="s">
        <v>318</v>
      </c>
      <c r="E30" s="20" t="s">
        <v>180</v>
      </c>
      <c r="F30" s="4">
        <v>128</v>
      </c>
      <c r="G30" s="4">
        <v>5</v>
      </c>
      <c r="H30" s="35">
        <v>2568056</v>
      </c>
      <c r="I30" s="36">
        <v>307225</v>
      </c>
      <c r="J30" s="17">
        <f t="shared" si="1"/>
        <v>8.358877044511352</v>
      </c>
      <c r="K30" s="70">
        <v>1</v>
      </c>
      <c r="L30" s="30"/>
      <c r="M30" s="31"/>
      <c r="N30" s="30"/>
    </row>
    <row r="31" spans="1:14" s="4" customFormat="1" ht="15">
      <c r="A31" s="79">
        <v>29</v>
      </c>
      <c r="B31" s="50" t="s">
        <v>181</v>
      </c>
      <c r="C31" s="7">
        <v>38508</v>
      </c>
      <c r="D31" s="13" t="s">
        <v>317</v>
      </c>
      <c r="E31" s="10" t="s">
        <v>94</v>
      </c>
      <c r="F31" s="11">
        <v>152</v>
      </c>
      <c r="G31" s="11">
        <v>15</v>
      </c>
      <c r="H31" s="35">
        <v>2358248</v>
      </c>
      <c r="I31" s="36">
        <v>276007</v>
      </c>
      <c r="J31" s="12">
        <f t="shared" si="1"/>
        <v>8.54416011188122</v>
      </c>
      <c r="K31" s="70"/>
      <c r="L31" s="30"/>
      <c r="M31" s="31"/>
      <c r="N31" s="30"/>
    </row>
    <row r="32" spans="1:14" s="4" customFormat="1" ht="15">
      <c r="A32" s="79">
        <v>30</v>
      </c>
      <c r="B32" s="50" t="s">
        <v>182</v>
      </c>
      <c r="C32" s="7">
        <v>38375</v>
      </c>
      <c r="D32" s="10" t="s">
        <v>318</v>
      </c>
      <c r="E32" s="10" t="s">
        <v>165</v>
      </c>
      <c r="F32" s="11">
        <v>108</v>
      </c>
      <c r="G32" s="11">
        <v>39</v>
      </c>
      <c r="H32" s="35">
        <v>2305005</v>
      </c>
      <c r="I32" s="36">
        <v>277891</v>
      </c>
      <c r="J32" s="12">
        <f t="shared" si="1"/>
        <v>8.294637105915628</v>
      </c>
      <c r="K32" s="70"/>
      <c r="L32" s="30"/>
      <c r="M32" s="31"/>
      <c r="N32" s="30"/>
    </row>
    <row r="33" spans="1:14" s="4" customFormat="1" ht="15">
      <c r="A33" s="79">
        <v>31</v>
      </c>
      <c r="B33" s="33" t="s">
        <v>183</v>
      </c>
      <c r="C33" s="2">
        <v>38648</v>
      </c>
      <c r="D33" s="1" t="s">
        <v>96</v>
      </c>
      <c r="E33" s="1" t="s">
        <v>184</v>
      </c>
      <c r="F33" s="4">
        <v>179</v>
      </c>
      <c r="G33" s="4">
        <v>10</v>
      </c>
      <c r="H33" s="58">
        <f>1128559+561773+266735+93447+7005+1818+273+24520+599+3199</f>
        <v>2087928</v>
      </c>
      <c r="I33" s="59">
        <f>129422+68620+41591+19064+1291+300+35+6130+81+717</f>
        <v>267251</v>
      </c>
      <c r="J33" s="5">
        <f>H33/I33</f>
        <v>7.8126106169855305</v>
      </c>
      <c r="K33" s="70">
        <v>1</v>
      </c>
      <c r="L33" s="30"/>
      <c r="M33" s="31"/>
      <c r="N33" s="30"/>
    </row>
    <row r="34" spans="1:14" s="4" customFormat="1" ht="15">
      <c r="A34" s="79">
        <v>32</v>
      </c>
      <c r="B34" s="33" t="s">
        <v>185</v>
      </c>
      <c r="C34" s="2">
        <v>38662</v>
      </c>
      <c r="D34" s="1" t="s">
        <v>96</v>
      </c>
      <c r="E34" s="1" t="s">
        <v>186</v>
      </c>
      <c r="F34" s="4">
        <v>144</v>
      </c>
      <c r="G34" s="4">
        <v>8</v>
      </c>
      <c r="H34" s="58">
        <f>909778+593215.5+203934.5+91391+32233.5+29451.5+14597.5+12123.5</f>
        <v>1886725</v>
      </c>
      <c r="I34" s="59">
        <f>103944+67300+25860+13426+5611+5689+2739+1975</f>
        <v>226544</v>
      </c>
      <c r="J34" s="5">
        <f>H34/I34</f>
        <v>8.328293841372979</v>
      </c>
      <c r="K34" s="70">
        <v>1</v>
      </c>
      <c r="L34" s="30"/>
      <c r="M34" s="31"/>
      <c r="N34" s="30"/>
    </row>
    <row r="35" spans="1:14" s="4" customFormat="1" ht="15">
      <c r="A35" s="79">
        <v>33</v>
      </c>
      <c r="B35" s="50" t="s">
        <v>187</v>
      </c>
      <c r="C35" s="7">
        <v>38368</v>
      </c>
      <c r="D35" s="10" t="s">
        <v>318</v>
      </c>
      <c r="E35" s="10" t="s">
        <v>323</v>
      </c>
      <c r="F35" s="11">
        <v>177</v>
      </c>
      <c r="G35" s="11">
        <v>15</v>
      </c>
      <c r="H35" s="35">
        <v>1818482</v>
      </c>
      <c r="I35" s="36">
        <v>248596</v>
      </c>
      <c r="J35" s="12">
        <f aca="true" t="shared" si="2" ref="J35:J43">+H35/I35</f>
        <v>7.315009091055367</v>
      </c>
      <c r="K35" s="70">
        <v>1</v>
      </c>
      <c r="L35" s="30"/>
      <c r="M35" s="31"/>
      <c r="N35" s="30"/>
    </row>
    <row r="36" spans="1:14" s="4" customFormat="1" ht="15">
      <c r="A36" s="79">
        <v>34</v>
      </c>
      <c r="B36" s="49" t="s">
        <v>188</v>
      </c>
      <c r="C36" s="7">
        <v>38620</v>
      </c>
      <c r="D36" s="10" t="s">
        <v>318</v>
      </c>
      <c r="E36" s="6" t="s">
        <v>178</v>
      </c>
      <c r="F36" s="8">
        <v>61</v>
      </c>
      <c r="G36" s="8">
        <v>9</v>
      </c>
      <c r="H36" s="60">
        <v>1773463</v>
      </c>
      <c r="I36" s="36">
        <v>177958</v>
      </c>
      <c r="J36" s="18">
        <f t="shared" si="2"/>
        <v>9.965626720911676</v>
      </c>
      <c r="K36" s="70"/>
      <c r="L36" s="30"/>
      <c r="M36" s="31"/>
      <c r="N36" s="30"/>
    </row>
    <row r="37" spans="1:14" s="4" customFormat="1" ht="15">
      <c r="A37" s="79">
        <v>35</v>
      </c>
      <c r="B37" s="50" t="s">
        <v>189</v>
      </c>
      <c r="C37" s="7">
        <v>38452</v>
      </c>
      <c r="D37" s="10" t="s">
        <v>318</v>
      </c>
      <c r="E37" s="10" t="s">
        <v>173</v>
      </c>
      <c r="F37" s="11">
        <v>95</v>
      </c>
      <c r="G37" s="11">
        <v>26</v>
      </c>
      <c r="H37" s="35">
        <v>1701090</v>
      </c>
      <c r="I37" s="36">
        <v>158671</v>
      </c>
      <c r="J37" s="12">
        <f t="shared" si="2"/>
        <v>10.720862665515437</v>
      </c>
      <c r="K37" s="70"/>
      <c r="L37" s="30"/>
      <c r="M37" s="31"/>
      <c r="N37" s="30"/>
    </row>
    <row r="38" spans="1:14" s="4" customFormat="1" ht="15">
      <c r="A38" s="79">
        <v>36</v>
      </c>
      <c r="B38" s="49" t="s">
        <v>190</v>
      </c>
      <c r="C38" s="7">
        <v>38697</v>
      </c>
      <c r="D38" s="13" t="s">
        <v>317</v>
      </c>
      <c r="E38" s="6" t="s">
        <v>99</v>
      </c>
      <c r="F38" s="8">
        <v>141</v>
      </c>
      <c r="G38" s="8">
        <v>3</v>
      </c>
      <c r="H38" s="58">
        <f>930776+464533-446+213051</f>
        <v>1607914</v>
      </c>
      <c r="I38" s="59">
        <f>104948+53915-106+25211</f>
        <v>183968</v>
      </c>
      <c r="J38" s="5">
        <f t="shared" si="2"/>
        <v>8.740183075317447</v>
      </c>
      <c r="K38" s="70"/>
      <c r="L38" s="30"/>
      <c r="M38" s="31"/>
      <c r="N38" s="30"/>
    </row>
    <row r="39" spans="1:14" s="4" customFormat="1" ht="15">
      <c r="A39" s="79">
        <v>37</v>
      </c>
      <c r="B39" s="51" t="s">
        <v>191</v>
      </c>
      <c r="C39" s="7">
        <v>38690</v>
      </c>
      <c r="D39" s="14" t="s">
        <v>101</v>
      </c>
      <c r="E39" s="14" t="s">
        <v>192</v>
      </c>
      <c r="F39" s="15">
        <v>128</v>
      </c>
      <c r="G39" s="15">
        <v>4</v>
      </c>
      <c r="H39" s="61">
        <v>1589600</v>
      </c>
      <c r="I39" s="62">
        <v>183015</v>
      </c>
      <c r="J39" s="16">
        <f t="shared" si="2"/>
        <v>8.685626861186241</v>
      </c>
      <c r="K39" s="70">
        <v>1</v>
      </c>
      <c r="L39" s="30"/>
      <c r="M39" s="31"/>
      <c r="N39" s="30"/>
    </row>
    <row r="40" spans="1:14" s="4" customFormat="1" ht="15">
      <c r="A40" s="79">
        <v>38</v>
      </c>
      <c r="B40" s="33" t="s">
        <v>193</v>
      </c>
      <c r="C40" s="2">
        <v>38410</v>
      </c>
      <c r="D40" s="1" t="s">
        <v>105</v>
      </c>
      <c r="E40" s="1" t="s">
        <v>194</v>
      </c>
      <c r="F40" s="4">
        <v>192</v>
      </c>
      <c r="G40" s="4">
        <v>21</v>
      </c>
      <c r="H40" s="58">
        <f>568084.5+439199.5+199559+109980+164256.5-20+26773.5+13463+1383+6404+0.5+715+335+85+378+1008+757+6618+713+0.75+243+1525+380+105+2395</f>
        <v>1544341.25</v>
      </c>
      <c r="I40" s="59">
        <f>79686+62524+31158+18444+26844-3+5195+2619+207+1137+130+77+14+84+252+149+1160+124+32+241+76+21+342</f>
        <v>230513</v>
      </c>
      <c r="J40" s="5">
        <f t="shared" si="2"/>
        <v>6.69958418831042</v>
      </c>
      <c r="K40" s="70">
        <v>1</v>
      </c>
      <c r="L40" s="30"/>
      <c r="M40" s="31"/>
      <c r="N40" s="30"/>
    </row>
    <row r="41" spans="1:14" s="4" customFormat="1" ht="15">
      <c r="A41" s="79">
        <v>39</v>
      </c>
      <c r="B41" s="50" t="s">
        <v>11</v>
      </c>
      <c r="C41" s="7">
        <v>38361</v>
      </c>
      <c r="D41" s="10" t="s">
        <v>96</v>
      </c>
      <c r="E41" s="10" t="s">
        <v>12</v>
      </c>
      <c r="F41" s="11">
        <v>37</v>
      </c>
      <c r="G41" s="11">
        <v>28</v>
      </c>
      <c r="H41" s="35">
        <f>659650+421734+197166+56066+26078+17427+25433+18144+27821+1811+493.5+7565+4181.5+3162+140+1484+1484+728+280+504+1793+1407+646+512+440+510+1664+1188</f>
        <v>1479512</v>
      </c>
      <c r="I41" s="36">
        <f>60096+38612+18194+5957+3377+2817+3965+3389+4264+427+74+1077+688+516+28+371+371+204+56+126+279+169+61+112+44+72+416+297</f>
        <v>146059</v>
      </c>
      <c r="J41" s="12">
        <f t="shared" si="2"/>
        <v>10.129550387172307</v>
      </c>
      <c r="K41" s="70"/>
      <c r="L41" s="30"/>
      <c r="M41" s="31"/>
      <c r="N41" s="30"/>
    </row>
    <row r="42" spans="1:14" s="4" customFormat="1" ht="15">
      <c r="A42" s="79">
        <v>40</v>
      </c>
      <c r="B42" s="51" t="s">
        <v>13</v>
      </c>
      <c r="C42" s="7">
        <v>38466</v>
      </c>
      <c r="D42" s="13" t="s">
        <v>317</v>
      </c>
      <c r="E42" s="14" t="s">
        <v>99</v>
      </c>
      <c r="F42" s="15">
        <v>65</v>
      </c>
      <c r="G42" s="15">
        <v>19</v>
      </c>
      <c r="H42" s="58">
        <v>1473556</v>
      </c>
      <c r="I42" s="59">
        <v>155256</v>
      </c>
      <c r="J42" s="21">
        <f t="shared" si="2"/>
        <v>9.491137218529397</v>
      </c>
      <c r="K42" s="70"/>
      <c r="L42" s="30"/>
      <c r="M42" s="31"/>
      <c r="N42" s="30"/>
    </row>
    <row r="43" spans="1:14" s="4" customFormat="1" ht="15">
      <c r="A43" s="79">
        <v>41</v>
      </c>
      <c r="B43" s="51" t="s">
        <v>14</v>
      </c>
      <c r="C43" s="7">
        <v>38571</v>
      </c>
      <c r="D43" s="10" t="s">
        <v>318</v>
      </c>
      <c r="E43" s="14" t="s">
        <v>173</v>
      </c>
      <c r="F43" s="15">
        <v>96</v>
      </c>
      <c r="G43" s="15">
        <v>13</v>
      </c>
      <c r="H43" s="60">
        <v>1449217</v>
      </c>
      <c r="I43" s="36">
        <v>175085</v>
      </c>
      <c r="J43" s="9">
        <f t="shared" si="2"/>
        <v>8.277219636176714</v>
      </c>
      <c r="K43" s="70"/>
      <c r="L43" s="30"/>
      <c r="M43" s="31"/>
      <c r="N43" s="30"/>
    </row>
    <row r="44" spans="1:14" s="4" customFormat="1" ht="15">
      <c r="A44" s="79">
        <v>42</v>
      </c>
      <c r="B44" s="49" t="s">
        <v>15</v>
      </c>
      <c r="C44" s="7">
        <v>38375</v>
      </c>
      <c r="D44" s="6" t="s">
        <v>89</v>
      </c>
      <c r="E44" s="6" t="s">
        <v>16</v>
      </c>
      <c r="F44" s="8">
        <v>86</v>
      </c>
      <c r="G44" s="8">
        <v>19</v>
      </c>
      <c r="H44" s="60">
        <v>1447650.5</v>
      </c>
      <c r="I44" s="36">
        <v>167006</v>
      </c>
      <c r="J44" s="9">
        <f>IF(H44&lt;&gt;0,H44/I44,"")</f>
        <v>8.668254433972432</v>
      </c>
      <c r="K44" s="70"/>
      <c r="L44" s="30"/>
      <c r="M44" s="31"/>
      <c r="N44" s="30"/>
    </row>
    <row r="45" spans="1:14" s="4" customFormat="1" ht="15">
      <c r="A45" s="79">
        <v>43</v>
      </c>
      <c r="B45" s="50" t="s">
        <v>17</v>
      </c>
      <c r="C45" s="7">
        <v>38473</v>
      </c>
      <c r="D45" s="10" t="s">
        <v>96</v>
      </c>
      <c r="E45" s="10" t="s">
        <v>97</v>
      </c>
      <c r="F45" s="11">
        <v>110</v>
      </c>
      <c r="G45" s="11">
        <v>20</v>
      </c>
      <c r="H45" s="35">
        <f>827831.75+302940.25+148808.75+55079+41974+18468.5+20758+2655+3963+983+1539+209+895+461+2514+30+215+1138.5+28+1424</f>
        <v>1431914.75</v>
      </c>
      <c r="I45" s="36">
        <f>84699+31917+18690+9450+7367+3640+4667+407+823+153+305+74+193+75+537+2+19+175+2+356</f>
        <v>163551</v>
      </c>
      <c r="J45" s="12">
        <f>+H45/I45</f>
        <v>8.7551574126725</v>
      </c>
      <c r="K45" s="70"/>
      <c r="L45" s="30"/>
      <c r="M45" s="31"/>
      <c r="N45" s="30"/>
    </row>
    <row r="46" spans="1:14" s="4" customFormat="1" ht="15">
      <c r="A46" s="79">
        <v>44</v>
      </c>
      <c r="B46" s="50" t="s">
        <v>18</v>
      </c>
      <c r="C46" s="7">
        <v>38396</v>
      </c>
      <c r="D46" s="13" t="s">
        <v>317</v>
      </c>
      <c r="E46" s="10" t="s">
        <v>99</v>
      </c>
      <c r="F46" s="11">
        <v>25</v>
      </c>
      <c r="G46" s="11">
        <v>8</v>
      </c>
      <c r="H46" s="35">
        <f>431037+376139+288602-245+148454+40928+50436+44428+33934</f>
        <v>1413713</v>
      </c>
      <c r="I46" s="36">
        <f>37016+33054+25810+12999+4602+6239+5423+4113</f>
        <v>129256</v>
      </c>
      <c r="J46" s="12">
        <f>+H46/I46</f>
        <v>10.93731045367333</v>
      </c>
      <c r="K46" s="70"/>
      <c r="L46" s="30"/>
      <c r="M46" s="31"/>
      <c r="N46" s="30"/>
    </row>
    <row r="47" spans="1:14" s="4" customFormat="1" ht="15">
      <c r="A47" s="79">
        <v>45</v>
      </c>
      <c r="B47" s="49" t="s">
        <v>19</v>
      </c>
      <c r="C47" s="7">
        <v>38620</v>
      </c>
      <c r="D47" s="13" t="s">
        <v>317</v>
      </c>
      <c r="E47" s="6" t="s">
        <v>94</v>
      </c>
      <c r="F47" s="8">
        <v>70</v>
      </c>
      <c r="G47" s="8">
        <v>11</v>
      </c>
      <c r="H47" s="58">
        <v>1392975</v>
      </c>
      <c r="I47" s="59">
        <v>137156</v>
      </c>
      <c r="J47" s="5">
        <f>+H47/I47</f>
        <v>10.156136078625797</v>
      </c>
      <c r="K47" s="70"/>
      <c r="L47" s="30"/>
      <c r="M47" s="31"/>
      <c r="N47" s="30"/>
    </row>
    <row r="48" spans="1:14" s="4" customFormat="1" ht="15">
      <c r="A48" s="79">
        <v>46</v>
      </c>
      <c r="B48" s="50" t="s">
        <v>20</v>
      </c>
      <c r="C48" s="7">
        <v>38382</v>
      </c>
      <c r="D48" s="10" t="s">
        <v>96</v>
      </c>
      <c r="E48" s="10" t="s">
        <v>97</v>
      </c>
      <c r="F48" s="11">
        <v>80</v>
      </c>
      <c r="G48" s="11">
        <v>18</v>
      </c>
      <c r="H48" s="35">
        <f>667928.5+422494.5+139288+71324.5+23049.5+32432+3540.5+7287+4043+3439+1920+354+1623+2298+1780+163+2200+1276.5</f>
        <v>1386441</v>
      </c>
      <c r="I48" s="36">
        <f>67031+44640+16046+10311+3717+6651+677+1565+893+611+318+68+399+572+445+33+509+98</f>
        <v>154584</v>
      </c>
      <c r="J48" s="12">
        <f>H48/I48</f>
        <v>8.96885188635305</v>
      </c>
      <c r="K48" s="70"/>
      <c r="L48" s="30"/>
      <c r="M48" s="31"/>
      <c r="N48" s="30"/>
    </row>
    <row r="49" spans="1:14" s="4" customFormat="1" ht="15">
      <c r="A49" s="79">
        <v>47</v>
      </c>
      <c r="B49" s="50" t="s">
        <v>21</v>
      </c>
      <c r="C49" s="7">
        <v>38361</v>
      </c>
      <c r="D49" s="10" t="s">
        <v>318</v>
      </c>
      <c r="E49" s="10" t="s">
        <v>165</v>
      </c>
      <c r="F49" s="11">
        <v>56</v>
      </c>
      <c r="G49" s="11">
        <v>35</v>
      </c>
      <c r="H49" s="35">
        <v>1260782</v>
      </c>
      <c r="I49" s="36">
        <v>143588</v>
      </c>
      <c r="J49" s="12">
        <f>+H49/I49</f>
        <v>8.780552692425552</v>
      </c>
      <c r="K49" s="70"/>
      <c r="L49" s="30"/>
      <c r="M49" s="31"/>
      <c r="N49" s="30"/>
    </row>
    <row r="50" spans="1:14" s="4" customFormat="1" ht="15">
      <c r="A50" s="79">
        <v>48</v>
      </c>
      <c r="B50" s="50" t="s">
        <v>22</v>
      </c>
      <c r="C50" s="7">
        <v>38543</v>
      </c>
      <c r="D50" s="10" t="s">
        <v>318</v>
      </c>
      <c r="E50" s="10" t="s">
        <v>165</v>
      </c>
      <c r="F50" s="11">
        <v>68</v>
      </c>
      <c r="G50" s="11">
        <v>15</v>
      </c>
      <c r="H50" s="35">
        <v>1216410</v>
      </c>
      <c r="I50" s="36">
        <v>131486</v>
      </c>
      <c r="J50" s="12">
        <f>+H50/I50</f>
        <v>9.251251083765572</v>
      </c>
      <c r="K50" s="70"/>
      <c r="L50" s="30"/>
      <c r="M50" s="31"/>
      <c r="N50" s="30"/>
    </row>
    <row r="51" spans="1:14" s="4" customFormat="1" ht="15">
      <c r="A51" s="79">
        <v>49</v>
      </c>
      <c r="B51" s="50" t="s">
        <v>23</v>
      </c>
      <c r="C51" s="7">
        <v>38522</v>
      </c>
      <c r="D51" s="10" t="s">
        <v>318</v>
      </c>
      <c r="E51" s="10" t="s">
        <v>178</v>
      </c>
      <c r="F51" s="11">
        <v>47</v>
      </c>
      <c r="G51" s="11">
        <v>17</v>
      </c>
      <c r="H51" s="35">
        <v>1117590</v>
      </c>
      <c r="I51" s="36">
        <v>120969</v>
      </c>
      <c r="J51" s="12">
        <f>+H51/I51</f>
        <v>9.238647918061652</v>
      </c>
      <c r="K51" s="70"/>
      <c r="L51" s="30"/>
      <c r="M51" s="31"/>
      <c r="N51" s="30"/>
    </row>
    <row r="52" spans="1:14" s="4" customFormat="1" ht="15">
      <c r="A52" s="79">
        <v>50</v>
      </c>
      <c r="B52" s="33" t="s">
        <v>24</v>
      </c>
      <c r="C52" s="2">
        <v>38494</v>
      </c>
      <c r="D52" s="1" t="s">
        <v>96</v>
      </c>
      <c r="E52" s="1" t="s">
        <v>97</v>
      </c>
      <c r="F52" s="4">
        <v>88</v>
      </c>
      <c r="G52" s="4">
        <v>24</v>
      </c>
      <c r="H52" s="58">
        <f>253985.25+197941+176827+129137.25+73306.5+36496.5+20735+12653+3137+3974+3108+6704.75+3312+1885+643+108556.75+31027+8660.5+1196.5+2137+5262+2140+4040+1780</f>
        <v>1088645</v>
      </c>
      <c r="I52" s="59">
        <f>26929+21325+23241+17550+10624+6388+4049+2644+577+882+663+1354+764+460+116+14641+4967+986+117+181+1185+535+1010+445</f>
        <v>141633</v>
      </c>
      <c r="J52" s="5">
        <f>H52/I52</f>
        <v>7.686379586678246</v>
      </c>
      <c r="K52" s="70"/>
      <c r="L52" s="30"/>
      <c r="M52" s="31"/>
      <c r="N52" s="30"/>
    </row>
    <row r="53" spans="1:14" s="4" customFormat="1" ht="15">
      <c r="A53" s="79">
        <v>51</v>
      </c>
      <c r="B53" s="50" t="s">
        <v>25</v>
      </c>
      <c r="C53" s="7">
        <v>38557</v>
      </c>
      <c r="D53" s="13" t="s">
        <v>317</v>
      </c>
      <c r="E53" s="10" t="s">
        <v>99</v>
      </c>
      <c r="F53" s="11">
        <v>70</v>
      </c>
      <c r="G53" s="11">
        <v>12</v>
      </c>
      <c r="H53" s="35">
        <v>1065354</v>
      </c>
      <c r="I53" s="36">
        <v>120946</v>
      </c>
      <c r="J53" s="12">
        <f>+H53/I53</f>
        <v>8.808509582789013</v>
      </c>
      <c r="K53" s="70"/>
      <c r="L53" s="30"/>
      <c r="M53" s="31"/>
      <c r="N53" s="30"/>
    </row>
    <row r="54" spans="1:14" s="4" customFormat="1" ht="15">
      <c r="A54" s="79">
        <v>52</v>
      </c>
      <c r="B54" s="49" t="s">
        <v>26</v>
      </c>
      <c r="C54" s="7">
        <v>38564</v>
      </c>
      <c r="D54" s="13" t="s">
        <v>317</v>
      </c>
      <c r="E54" s="6" t="s">
        <v>94</v>
      </c>
      <c r="F54" s="8">
        <v>66</v>
      </c>
      <c r="G54" s="8">
        <v>12</v>
      </c>
      <c r="H54" s="58">
        <v>1056756</v>
      </c>
      <c r="I54" s="59">
        <v>114748</v>
      </c>
      <c r="J54" s="5">
        <f>H54/I54</f>
        <v>9.209363126154704</v>
      </c>
      <c r="K54" s="70"/>
      <c r="L54" s="30"/>
      <c r="M54" s="31"/>
      <c r="N54" s="30"/>
    </row>
    <row r="55" spans="1:14" s="4" customFormat="1" ht="15">
      <c r="A55" s="79">
        <v>53</v>
      </c>
      <c r="B55" s="51" t="s">
        <v>27</v>
      </c>
      <c r="C55" s="7">
        <v>38627</v>
      </c>
      <c r="D55" s="14" t="s">
        <v>101</v>
      </c>
      <c r="E55" s="14" t="s">
        <v>28</v>
      </c>
      <c r="F55" s="15">
        <v>149</v>
      </c>
      <c r="G55" s="15">
        <v>7</v>
      </c>
      <c r="H55" s="60">
        <v>1055947.1</v>
      </c>
      <c r="I55" s="36">
        <v>123709</v>
      </c>
      <c r="J55" s="18">
        <f>+H55/I55</f>
        <v>8.535733859298839</v>
      </c>
      <c r="K55" s="70">
        <v>1</v>
      </c>
      <c r="L55" s="30"/>
      <c r="M55" s="31"/>
      <c r="N55" s="30"/>
    </row>
    <row r="56" spans="1:14" s="4" customFormat="1" ht="15">
      <c r="A56" s="79">
        <v>54</v>
      </c>
      <c r="B56" s="50" t="s">
        <v>29</v>
      </c>
      <c r="C56" s="2">
        <v>38459</v>
      </c>
      <c r="D56" s="10" t="s">
        <v>96</v>
      </c>
      <c r="E56" s="10" t="s">
        <v>99</v>
      </c>
      <c r="F56" s="11">
        <v>133</v>
      </c>
      <c r="G56" s="11">
        <v>19</v>
      </c>
      <c r="H56" s="63">
        <f>814797.5+158602+44526+7105.5+1443+731+330+3273+1356+388+2317+2290.5+138+112.5+37+1136+51+98+1424</f>
        <v>1040156</v>
      </c>
      <c r="I56" s="64">
        <f>100614+19257+6285+1176+234+205+67+783+301+48+521+500+23+18+9+170+23+30+356</f>
        <v>130620</v>
      </c>
      <c r="J56" s="22">
        <f>H56/I56</f>
        <v>7.963221558719951</v>
      </c>
      <c r="K56" s="70"/>
      <c r="L56" s="30"/>
      <c r="M56" s="31"/>
      <c r="N56" s="30"/>
    </row>
    <row r="57" spans="1:14" s="4" customFormat="1" ht="15">
      <c r="A57" s="79">
        <v>55</v>
      </c>
      <c r="B57" s="52" t="s">
        <v>30</v>
      </c>
      <c r="C57" s="2">
        <v>38704</v>
      </c>
      <c r="D57" s="10" t="s">
        <v>318</v>
      </c>
      <c r="E57" s="20" t="s">
        <v>31</v>
      </c>
      <c r="F57" s="4">
        <v>109</v>
      </c>
      <c r="G57" s="4">
        <v>2</v>
      </c>
      <c r="H57" s="35">
        <v>1032207</v>
      </c>
      <c r="I57" s="36">
        <v>104112</v>
      </c>
      <c r="J57" s="17">
        <f>+H57/I57</f>
        <v>9.914390272014753</v>
      </c>
      <c r="K57" s="70">
        <v>1</v>
      </c>
      <c r="L57" s="30"/>
      <c r="M57" s="31"/>
      <c r="N57" s="30"/>
    </row>
    <row r="58" spans="1:14" s="4" customFormat="1" ht="15">
      <c r="A58" s="79">
        <v>56</v>
      </c>
      <c r="B58" s="51" t="s">
        <v>32</v>
      </c>
      <c r="C58" s="7">
        <v>38613</v>
      </c>
      <c r="D58" s="10" t="s">
        <v>318</v>
      </c>
      <c r="E58" s="14" t="s">
        <v>178</v>
      </c>
      <c r="F58" s="15">
        <v>61</v>
      </c>
      <c r="G58" s="15">
        <v>9</v>
      </c>
      <c r="H58" s="60">
        <v>1024635</v>
      </c>
      <c r="I58" s="36">
        <v>102419</v>
      </c>
      <c r="J58" s="18">
        <f>+H58/I58</f>
        <v>10.00434489694295</v>
      </c>
      <c r="K58" s="70"/>
      <c r="L58" s="30"/>
      <c r="M58" s="31"/>
      <c r="N58" s="30"/>
    </row>
    <row r="59" spans="1:14" s="4" customFormat="1" ht="15">
      <c r="A59" s="79">
        <v>57</v>
      </c>
      <c r="B59" s="49" t="s">
        <v>33</v>
      </c>
      <c r="C59" s="7">
        <v>38690</v>
      </c>
      <c r="D59" s="6" t="s">
        <v>89</v>
      </c>
      <c r="E59" s="6" t="s">
        <v>34</v>
      </c>
      <c r="F59" s="8">
        <v>140</v>
      </c>
      <c r="G59" s="8">
        <v>4</v>
      </c>
      <c r="H59" s="60">
        <v>1003040</v>
      </c>
      <c r="I59" s="36">
        <v>126450</v>
      </c>
      <c r="J59" s="9">
        <f>IF(H59&lt;&gt;0,H59/I59,"")</f>
        <v>7.93230525899565</v>
      </c>
      <c r="K59" s="70">
        <v>1</v>
      </c>
      <c r="L59" s="30"/>
      <c r="M59" s="31"/>
      <c r="N59" s="30"/>
    </row>
    <row r="60" spans="1:14" s="4" customFormat="1" ht="15">
      <c r="A60" s="79">
        <v>58</v>
      </c>
      <c r="B60" s="49" t="s">
        <v>35</v>
      </c>
      <c r="C60" s="7">
        <v>38676</v>
      </c>
      <c r="D60" s="13" t="s">
        <v>317</v>
      </c>
      <c r="E60" s="6" t="s">
        <v>94</v>
      </c>
      <c r="F60" s="8">
        <v>20</v>
      </c>
      <c r="G60" s="8">
        <v>6</v>
      </c>
      <c r="H60" s="58">
        <f>335920+376545+97+181840+81712+12244+9502</f>
        <v>997860</v>
      </c>
      <c r="I60" s="59">
        <f>27565+30191+14999+6718+1030+1041</f>
        <v>81544</v>
      </c>
      <c r="J60" s="5">
        <f aca="true" t="shared" si="3" ref="J60:J65">+H60/I60</f>
        <v>12.237074462866673</v>
      </c>
      <c r="K60" s="70"/>
      <c r="L60" s="30"/>
      <c r="M60" s="31"/>
      <c r="N60" s="30"/>
    </row>
    <row r="61" spans="1:14" s="4" customFormat="1" ht="15">
      <c r="A61" s="79">
        <v>59</v>
      </c>
      <c r="B61" s="50" t="s">
        <v>36</v>
      </c>
      <c r="C61" s="7">
        <v>38431</v>
      </c>
      <c r="D61" s="10" t="s">
        <v>318</v>
      </c>
      <c r="E61" s="10" t="s">
        <v>165</v>
      </c>
      <c r="F61" s="11">
        <v>60</v>
      </c>
      <c r="G61" s="11">
        <v>25</v>
      </c>
      <c r="H61" s="35">
        <v>956007</v>
      </c>
      <c r="I61" s="36">
        <v>100527</v>
      </c>
      <c r="J61" s="12">
        <f t="shared" si="3"/>
        <v>9.509952550061177</v>
      </c>
      <c r="K61" s="70"/>
      <c r="L61" s="30"/>
      <c r="M61" s="31"/>
      <c r="N61" s="30"/>
    </row>
    <row r="62" spans="1:14" s="4" customFormat="1" ht="15">
      <c r="A62" s="79">
        <v>60</v>
      </c>
      <c r="B62" s="50" t="s">
        <v>37</v>
      </c>
      <c r="C62" s="7">
        <v>38417</v>
      </c>
      <c r="D62" s="10" t="s">
        <v>318</v>
      </c>
      <c r="E62" s="10" t="s">
        <v>173</v>
      </c>
      <c r="F62" s="11">
        <v>90</v>
      </c>
      <c r="G62" s="11">
        <v>27</v>
      </c>
      <c r="H62" s="35">
        <v>924265</v>
      </c>
      <c r="I62" s="36">
        <v>102496</v>
      </c>
      <c r="J62" s="12">
        <f t="shared" si="3"/>
        <v>9.017571417421168</v>
      </c>
      <c r="K62" s="70"/>
      <c r="L62" s="30"/>
      <c r="M62" s="31"/>
      <c r="N62" s="30"/>
    </row>
    <row r="63" spans="1:14" s="4" customFormat="1" ht="15">
      <c r="A63" s="79">
        <v>61</v>
      </c>
      <c r="B63" s="50" t="s">
        <v>431</v>
      </c>
      <c r="C63" s="7">
        <v>38459</v>
      </c>
      <c r="D63" s="10" t="s">
        <v>92</v>
      </c>
      <c r="E63" s="10" t="s">
        <v>195</v>
      </c>
      <c r="F63" s="11">
        <v>132</v>
      </c>
      <c r="G63" s="11">
        <v>22</v>
      </c>
      <c r="H63" s="35">
        <v>912055</v>
      </c>
      <c r="I63" s="36">
        <v>116551</v>
      </c>
      <c r="J63" s="12">
        <f t="shared" si="3"/>
        <v>7.825372583675816</v>
      </c>
      <c r="K63" s="70">
        <v>1</v>
      </c>
      <c r="L63" s="30"/>
      <c r="M63" s="31"/>
      <c r="N63" s="30"/>
    </row>
    <row r="64" spans="1:14" s="4" customFormat="1" ht="15">
      <c r="A64" s="79">
        <v>62</v>
      </c>
      <c r="B64" s="50" t="s">
        <v>196</v>
      </c>
      <c r="C64" s="7">
        <v>38389</v>
      </c>
      <c r="D64" s="10" t="s">
        <v>318</v>
      </c>
      <c r="E64" s="10" t="s">
        <v>178</v>
      </c>
      <c r="F64" s="11">
        <v>78</v>
      </c>
      <c r="G64" s="11">
        <v>25</v>
      </c>
      <c r="H64" s="35">
        <v>904187</v>
      </c>
      <c r="I64" s="36">
        <v>98519</v>
      </c>
      <c r="J64" s="12">
        <f t="shared" si="3"/>
        <v>9.177793116048681</v>
      </c>
      <c r="K64" s="70"/>
      <c r="L64" s="30"/>
      <c r="M64" s="31"/>
      <c r="N64" s="30"/>
    </row>
    <row r="65" spans="1:14" s="4" customFormat="1" ht="15">
      <c r="A65" s="79">
        <v>63</v>
      </c>
      <c r="B65" s="50" t="s">
        <v>197</v>
      </c>
      <c r="C65" s="7">
        <v>38543</v>
      </c>
      <c r="D65" s="13" t="s">
        <v>317</v>
      </c>
      <c r="E65" s="10" t="s">
        <v>109</v>
      </c>
      <c r="F65" s="11">
        <v>60</v>
      </c>
      <c r="G65" s="11">
        <v>15</v>
      </c>
      <c r="H65" s="35">
        <v>855940</v>
      </c>
      <c r="I65" s="36">
        <v>93628</v>
      </c>
      <c r="J65" s="12">
        <f t="shared" si="3"/>
        <v>9.141923356260948</v>
      </c>
      <c r="K65" s="70"/>
      <c r="L65" s="30"/>
      <c r="M65" s="31"/>
      <c r="N65" s="30"/>
    </row>
    <row r="66" spans="1:14" s="4" customFormat="1" ht="15">
      <c r="A66" s="79">
        <v>64</v>
      </c>
      <c r="B66" s="33" t="s">
        <v>198</v>
      </c>
      <c r="C66" s="2">
        <v>38704</v>
      </c>
      <c r="D66" s="1" t="s">
        <v>96</v>
      </c>
      <c r="E66" s="1" t="s">
        <v>199</v>
      </c>
      <c r="F66" s="4">
        <v>74</v>
      </c>
      <c r="G66" s="4">
        <v>2</v>
      </c>
      <c r="H66" s="58">
        <f>507128.25+345268.5</f>
        <v>852396.75</v>
      </c>
      <c r="I66" s="59">
        <f>53408+37346</f>
        <v>90754</v>
      </c>
      <c r="J66" s="5">
        <f>H66/I66</f>
        <v>9.39238766335368</v>
      </c>
      <c r="K66" s="70">
        <v>1</v>
      </c>
      <c r="L66" s="30"/>
      <c r="M66" s="31"/>
      <c r="N66" s="30"/>
    </row>
    <row r="67" spans="1:14" s="4" customFormat="1" ht="15">
      <c r="A67" s="79">
        <v>65</v>
      </c>
      <c r="B67" s="51" t="s">
        <v>200</v>
      </c>
      <c r="C67" s="7">
        <v>38368</v>
      </c>
      <c r="D67" s="14" t="s">
        <v>96</v>
      </c>
      <c r="E67" s="14" t="s">
        <v>201</v>
      </c>
      <c r="F67" s="15">
        <v>65</v>
      </c>
      <c r="G67" s="15">
        <v>33</v>
      </c>
      <c r="H67" s="60">
        <f>237023+244842+160469+47021+21536+18820+18020.5+26440+10695+9162.5+9870+6322+1787+2032+757+348+420.5+158+4053+339.5+3161.5+1729.5+752+1417+1780+64+1208+952+552+139.5+544+40+8072</f>
        <v>840527.5</v>
      </c>
      <c r="I67" s="36">
        <f>25678+28966+21290+6590+4890+3520+3479+4786+1907+1716+2388+1533+368+541+126+70+67+48+991+81+743+414+155+169+445+16+302+238+117+23+48+12+2018</f>
        <v>113735</v>
      </c>
      <c r="J67" s="9">
        <f>H67/I67</f>
        <v>7.3902272827186</v>
      </c>
      <c r="K67" s="70"/>
      <c r="L67" s="30"/>
      <c r="M67" s="31"/>
      <c r="N67" s="30"/>
    </row>
    <row r="68" spans="1:14" s="4" customFormat="1" ht="15">
      <c r="A68" s="79">
        <v>66</v>
      </c>
      <c r="B68" s="50" t="s">
        <v>202</v>
      </c>
      <c r="C68" s="7">
        <v>38515</v>
      </c>
      <c r="D68" s="13" t="s">
        <v>317</v>
      </c>
      <c r="E68" s="10" t="s">
        <v>99</v>
      </c>
      <c r="F68" s="11">
        <v>95</v>
      </c>
      <c r="G68" s="11">
        <v>18</v>
      </c>
      <c r="H68" s="35">
        <v>835868</v>
      </c>
      <c r="I68" s="36">
        <v>112388</v>
      </c>
      <c r="J68" s="12">
        <f>+H68/I68</f>
        <v>7.437342064989145</v>
      </c>
      <c r="K68" s="70"/>
      <c r="L68" s="30"/>
      <c r="M68" s="31"/>
      <c r="N68" s="30"/>
    </row>
    <row r="69" spans="1:14" s="4" customFormat="1" ht="15">
      <c r="A69" s="79">
        <v>67</v>
      </c>
      <c r="B69" s="50" t="s">
        <v>203</v>
      </c>
      <c r="C69" s="7">
        <v>38424</v>
      </c>
      <c r="D69" s="13" t="s">
        <v>317</v>
      </c>
      <c r="E69" s="10" t="s">
        <v>94</v>
      </c>
      <c r="F69" s="11">
        <v>58</v>
      </c>
      <c r="G69" s="11">
        <v>8</v>
      </c>
      <c r="H69" s="35">
        <f>356870+122+266596+123347+43097+20154+3952+3861+6872</f>
        <v>824871</v>
      </c>
      <c r="I69" s="36">
        <f>36991-2+28153+13916+6862+3245+1115+822+1918</f>
        <v>93020</v>
      </c>
      <c r="J69" s="12">
        <f>+H69/I69</f>
        <v>8.86767361857665</v>
      </c>
      <c r="K69" s="70"/>
      <c r="L69" s="30"/>
      <c r="M69" s="31"/>
      <c r="N69" s="30"/>
    </row>
    <row r="70" spans="1:14" s="4" customFormat="1" ht="15">
      <c r="A70" s="79">
        <v>68</v>
      </c>
      <c r="B70" s="33" t="s">
        <v>204</v>
      </c>
      <c r="C70" s="2">
        <v>38711</v>
      </c>
      <c r="D70" s="1" t="s">
        <v>105</v>
      </c>
      <c r="E70" s="1" t="s">
        <v>205</v>
      </c>
      <c r="F70" s="4">
        <v>196</v>
      </c>
      <c r="G70" s="4">
        <v>1</v>
      </c>
      <c r="H70" s="35">
        <f>821982.75</f>
        <v>821982.75</v>
      </c>
      <c r="I70" s="36">
        <f>109740</f>
        <v>109740</v>
      </c>
      <c r="J70" s="9">
        <f>+H70/I70</f>
        <v>7.490274740295243</v>
      </c>
      <c r="K70" s="70">
        <v>1</v>
      </c>
      <c r="L70" s="30"/>
      <c r="M70" s="31"/>
      <c r="N70" s="30"/>
    </row>
    <row r="71" spans="1:14" s="4" customFormat="1" ht="15">
      <c r="A71" s="79">
        <v>69</v>
      </c>
      <c r="B71" s="50" t="s">
        <v>206</v>
      </c>
      <c r="C71" s="7">
        <v>38382</v>
      </c>
      <c r="D71" s="10" t="s">
        <v>318</v>
      </c>
      <c r="E71" s="10" t="s">
        <v>165</v>
      </c>
      <c r="F71" s="11">
        <v>53</v>
      </c>
      <c r="G71" s="11">
        <v>26</v>
      </c>
      <c r="H71" s="35">
        <v>810374</v>
      </c>
      <c r="I71" s="36">
        <v>82051</v>
      </c>
      <c r="J71" s="12">
        <f>+H71/I71</f>
        <v>9.876467075355572</v>
      </c>
      <c r="K71" s="70"/>
      <c r="L71" s="30"/>
      <c r="M71" s="31"/>
      <c r="N71" s="30"/>
    </row>
    <row r="72" spans="1:14" s="4" customFormat="1" ht="15">
      <c r="A72" s="79">
        <v>70</v>
      </c>
      <c r="B72" s="49" t="s">
        <v>207</v>
      </c>
      <c r="C72" s="7">
        <v>38613</v>
      </c>
      <c r="D72" s="6" t="s">
        <v>89</v>
      </c>
      <c r="E72" s="6" t="s">
        <v>208</v>
      </c>
      <c r="F72" s="8">
        <v>142</v>
      </c>
      <c r="G72" s="8">
        <v>9</v>
      </c>
      <c r="H72" s="60">
        <f>809170.5+713</f>
        <v>809883.5</v>
      </c>
      <c r="I72" s="36">
        <f>102073+143</f>
        <v>102216</v>
      </c>
      <c r="J72" s="5">
        <f>H72/I72</f>
        <v>7.923255654692024</v>
      </c>
      <c r="K72" s="70">
        <v>1</v>
      </c>
      <c r="L72" s="30"/>
      <c r="M72" s="31"/>
      <c r="N72" s="30"/>
    </row>
    <row r="73" spans="1:14" s="4" customFormat="1" ht="15">
      <c r="A73" s="79">
        <v>71</v>
      </c>
      <c r="B73" s="33" t="s">
        <v>209</v>
      </c>
      <c r="C73" s="2">
        <v>38613</v>
      </c>
      <c r="D73" s="1" t="s">
        <v>105</v>
      </c>
      <c r="E73" s="1" t="s">
        <v>210</v>
      </c>
      <c r="F73" s="4">
        <v>201</v>
      </c>
      <c r="G73" s="4">
        <v>10</v>
      </c>
      <c r="H73" s="35">
        <f>492395.5+172608.75+93279.75+41455.5+4013+0.5+709.5+90+170+100+2036</f>
        <v>806858.5</v>
      </c>
      <c r="I73" s="36">
        <f>60122+23227+13952+6612+619+91+9+17+10+407</f>
        <v>105066</v>
      </c>
      <c r="J73" s="17">
        <f>+H73/I73</f>
        <v>7.6795395275350735</v>
      </c>
      <c r="K73" s="70">
        <v>1</v>
      </c>
      <c r="L73" s="30"/>
      <c r="M73" s="31"/>
      <c r="N73" s="30"/>
    </row>
    <row r="74" spans="1:14" s="4" customFormat="1" ht="15">
      <c r="A74" s="79">
        <v>72</v>
      </c>
      <c r="B74" s="50" t="s">
        <v>211</v>
      </c>
      <c r="C74" s="7">
        <v>38480</v>
      </c>
      <c r="D74" s="10" t="s">
        <v>318</v>
      </c>
      <c r="E74" s="10" t="s">
        <v>173</v>
      </c>
      <c r="F74" s="11">
        <v>80</v>
      </c>
      <c r="G74" s="11">
        <v>9</v>
      </c>
      <c r="H74" s="35">
        <v>804608</v>
      </c>
      <c r="I74" s="36">
        <v>83961</v>
      </c>
      <c r="J74" s="12">
        <f>+H74/I74</f>
        <v>9.583115970510118</v>
      </c>
      <c r="K74" s="70"/>
      <c r="L74" s="30"/>
      <c r="M74" s="31"/>
      <c r="N74" s="30"/>
    </row>
    <row r="75" spans="1:14" s="4" customFormat="1" ht="15">
      <c r="A75" s="79">
        <v>73</v>
      </c>
      <c r="B75" s="50" t="s">
        <v>212</v>
      </c>
      <c r="C75" s="7">
        <v>38410</v>
      </c>
      <c r="D75" s="10" t="s">
        <v>318</v>
      </c>
      <c r="E75" s="10" t="s">
        <v>173</v>
      </c>
      <c r="F75" s="11">
        <v>40</v>
      </c>
      <c r="G75" s="11">
        <v>10</v>
      </c>
      <c r="H75" s="35">
        <v>781870</v>
      </c>
      <c r="I75" s="36">
        <v>83452</v>
      </c>
      <c r="J75" s="12">
        <f>+H75/I75</f>
        <v>9.369098403872885</v>
      </c>
      <c r="K75" s="70"/>
      <c r="L75" s="30"/>
      <c r="M75" s="31"/>
      <c r="N75" s="30"/>
    </row>
    <row r="76" spans="1:14" s="4" customFormat="1" ht="15">
      <c r="A76" s="79">
        <v>74</v>
      </c>
      <c r="B76" s="50" t="s">
        <v>213</v>
      </c>
      <c r="C76" s="7">
        <v>38487</v>
      </c>
      <c r="D76" s="10" t="s">
        <v>89</v>
      </c>
      <c r="E76" s="6" t="s">
        <v>299</v>
      </c>
      <c r="F76" s="11">
        <v>151</v>
      </c>
      <c r="G76" s="11">
        <v>19</v>
      </c>
      <c r="H76" s="35">
        <f>760517+188</f>
        <v>760705</v>
      </c>
      <c r="I76" s="36">
        <f>116888+26</f>
        <v>116914</v>
      </c>
      <c r="J76" s="12">
        <f>+H76/I76</f>
        <v>6.506534717826779</v>
      </c>
      <c r="K76" s="70">
        <v>1</v>
      </c>
      <c r="L76" s="30"/>
      <c r="M76" s="31"/>
      <c r="N76" s="30"/>
    </row>
    <row r="77" spans="1:14" s="4" customFormat="1" ht="15">
      <c r="A77" s="79">
        <v>75</v>
      </c>
      <c r="B77" s="49" t="s">
        <v>214</v>
      </c>
      <c r="C77" s="7">
        <v>38634</v>
      </c>
      <c r="D77" s="13" t="s">
        <v>317</v>
      </c>
      <c r="E77" s="6" t="s">
        <v>99</v>
      </c>
      <c r="F77" s="8">
        <v>75</v>
      </c>
      <c r="G77" s="8">
        <v>8</v>
      </c>
      <c r="H77" s="58">
        <v>711802</v>
      </c>
      <c r="I77" s="59">
        <v>71076</v>
      </c>
      <c r="J77" s="5">
        <f>H77/I77</f>
        <v>10.014660363554505</v>
      </c>
      <c r="K77" s="70"/>
      <c r="L77" s="30"/>
      <c r="M77" s="31"/>
      <c r="N77" s="30"/>
    </row>
    <row r="78" spans="1:14" s="4" customFormat="1" ht="15">
      <c r="A78" s="79">
        <v>76</v>
      </c>
      <c r="B78" s="50" t="s">
        <v>215</v>
      </c>
      <c r="C78" s="7">
        <v>38578</v>
      </c>
      <c r="D78" s="13" t="s">
        <v>317</v>
      </c>
      <c r="E78" s="10" t="s">
        <v>109</v>
      </c>
      <c r="F78" s="11">
        <v>68</v>
      </c>
      <c r="G78" s="11">
        <v>10</v>
      </c>
      <c r="H78" s="35">
        <v>704049</v>
      </c>
      <c r="I78" s="36">
        <v>78867</v>
      </c>
      <c r="J78" s="12">
        <f>+H78/I78</f>
        <v>8.927041728479592</v>
      </c>
      <c r="K78" s="70"/>
      <c r="L78" s="30"/>
      <c r="M78" s="31"/>
      <c r="N78" s="30"/>
    </row>
    <row r="79" spans="1:14" s="4" customFormat="1" ht="15">
      <c r="A79" s="79">
        <v>77</v>
      </c>
      <c r="B79" s="50" t="s">
        <v>216</v>
      </c>
      <c r="C79" s="7">
        <v>38459</v>
      </c>
      <c r="D79" s="10" t="s">
        <v>318</v>
      </c>
      <c r="E79" s="10" t="s">
        <v>165</v>
      </c>
      <c r="F79" s="11">
        <v>65</v>
      </c>
      <c r="G79" s="11">
        <v>15</v>
      </c>
      <c r="H79" s="35">
        <v>698923</v>
      </c>
      <c r="I79" s="36">
        <v>70161</v>
      </c>
      <c r="J79" s="12">
        <f>+H79/I79</f>
        <v>9.961702370262682</v>
      </c>
      <c r="K79" s="70"/>
      <c r="L79" s="30"/>
      <c r="M79" s="31"/>
      <c r="N79" s="30"/>
    </row>
    <row r="80" spans="1:14" s="4" customFormat="1" ht="15">
      <c r="A80" s="79">
        <v>78</v>
      </c>
      <c r="B80" s="50" t="s">
        <v>217</v>
      </c>
      <c r="C80" s="7">
        <v>38466</v>
      </c>
      <c r="D80" s="10" t="s">
        <v>318</v>
      </c>
      <c r="E80" s="10" t="s">
        <v>173</v>
      </c>
      <c r="F80" s="11">
        <v>80</v>
      </c>
      <c r="G80" s="11">
        <v>21</v>
      </c>
      <c r="H80" s="35">
        <v>667401</v>
      </c>
      <c r="I80" s="36">
        <v>83540</v>
      </c>
      <c r="J80" s="12">
        <f>+H80/I80</f>
        <v>7.988999281781183</v>
      </c>
      <c r="K80" s="70"/>
      <c r="L80" s="30"/>
      <c r="M80" s="31"/>
      <c r="N80" s="30"/>
    </row>
    <row r="81" spans="1:14" s="4" customFormat="1" ht="15">
      <c r="A81" s="79">
        <v>79</v>
      </c>
      <c r="B81" s="50" t="s">
        <v>218</v>
      </c>
      <c r="C81" s="7">
        <v>38599</v>
      </c>
      <c r="D81" s="13" t="s">
        <v>317</v>
      </c>
      <c r="E81" s="10" t="s">
        <v>109</v>
      </c>
      <c r="F81" s="11">
        <v>82</v>
      </c>
      <c r="G81" s="11">
        <v>7</v>
      </c>
      <c r="H81" s="35">
        <v>666103</v>
      </c>
      <c r="I81" s="36">
        <v>77523</v>
      </c>
      <c r="J81" s="12">
        <f>+H81/I81</f>
        <v>8.592327438308631</v>
      </c>
      <c r="K81" s="70"/>
      <c r="L81" s="30"/>
      <c r="M81" s="31"/>
      <c r="N81" s="30"/>
    </row>
    <row r="82" spans="1:14" s="4" customFormat="1" ht="15">
      <c r="A82" s="79">
        <v>80</v>
      </c>
      <c r="B82" s="50" t="s">
        <v>219</v>
      </c>
      <c r="C82" s="7">
        <v>38480</v>
      </c>
      <c r="D82" s="13" t="s">
        <v>317</v>
      </c>
      <c r="E82" s="10" t="s">
        <v>99</v>
      </c>
      <c r="F82" s="11">
        <v>79</v>
      </c>
      <c r="G82" s="11">
        <v>12</v>
      </c>
      <c r="H82" s="35">
        <f>660254+1290+551</f>
        <v>662095</v>
      </c>
      <c r="I82" s="36">
        <f>79927+253+99</f>
        <v>80279</v>
      </c>
      <c r="J82" s="12">
        <f>+H82/I82</f>
        <v>8.24742460668419</v>
      </c>
      <c r="K82" s="70"/>
      <c r="L82" s="30"/>
      <c r="M82" s="31"/>
      <c r="N82" s="30"/>
    </row>
    <row r="83" spans="1:14" s="4" customFormat="1" ht="15">
      <c r="A83" s="79">
        <v>81</v>
      </c>
      <c r="B83" s="49" t="s">
        <v>220</v>
      </c>
      <c r="C83" s="7">
        <v>38382</v>
      </c>
      <c r="D83" s="6" t="s">
        <v>89</v>
      </c>
      <c r="E83" s="6" t="s">
        <v>221</v>
      </c>
      <c r="F83" s="8">
        <v>92</v>
      </c>
      <c r="G83" s="8">
        <v>21</v>
      </c>
      <c r="H83" s="60">
        <v>648511.5</v>
      </c>
      <c r="I83" s="36">
        <v>77717</v>
      </c>
      <c r="J83" s="9">
        <f>IF(H83&lt;&gt;0,H83/I83,"")</f>
        <v>8.344525650758522</v>
      </c>
      <c r="K83" s="70">
        <v>1</v>
      </c>
      <c r="L83" s="30"/>
      <c r="M83" s="31"/>
      <c r="N83" s="30"/>
    </row>
    <row r="84" spans="1:14" s="4" customFormat="1" ht="15">
      <c r="A84" s="79">
        <v>82</v>
      </c>
      <c r="B84" s="49" t="s">
        <v>222</v>
      </c>
      <c r="C84" s="7">
        <v>38606</v>
      </c>
      <c r="D84" s="6" t="s">
        <v>89</v>
      </c>
      <c r="E84" s="6" t="s">
        <v>223</v>
      </c>
      <c r="F84" s="8">
        <v>105</v>
      </c>
      <c r="G84" s="8">
        <v>16</v>
      </c>
      <c r="H84" s="60">
        <v>609166.75</v>
      </c>
      <c r="I84" s="36">
        <v>71097</v>
      </c>
      <c r="J84" s="9">
        <f>IF(H84&lt;&gt;0,H84/I84,"")</f>
        <v>8.568107655737936</v>
      </c>
      <c r="K84" s="70"/>
      <c r="L84" s="30"/>
      <c r="M84" s="31"/>
      <c r="N84" s="30"/>
    </row>
    <row r="85" spans="1:14" s="4" customFormat="1" ht="15">
      <c r="A85" s="79">
        <v>83</v>
      </c>
      <c r="B85" s="50" t="s">
        <v>224</v>
      </c>
      <c r="C85" s="7">
        <v>38522</v>
      </c>
      <c r="D85" s="13" t="s">
        <v>317</v>
      </c>
      <c r="E85" s="10" t="s">
        <v>99</v>
      </c>
      <c r="F85" s="11">
        <v>69</v>
      </c>
      <c r="G85" s="11">
        <v>12</v>
      </c>
      <c r="H85" s="35">
        <v>607539</v>
      </c>
      <c r="I85" s="36">
        <v>73492</v>
      </c>
      <c r="J85" s="12">
        <f aca="true" t="shared" si="4" ref="J85:J90">+H85/I85</f>
        <v>8.266736515539106</v>
      </c>
      <c r="K85" s="70"/>
      <c r="L85" s="30"/>
      <c r="M85" s="31"/>
      <c r="N85" s="30"/>
    </row>
    <row r="86" spans="1:14" s="4" customFormat="1" ht="15">
      <c r="A86" s="79">
        <v>84</v>
      </c>
      <c r="B86" s="50" t="s">
        <v>225</v>
      </c>
      <c r="C86" s="7">
        <v>38501</v>
      </c>
      <c r="D86" s="10" t="s">
        <v>318</v>
      </c>
      <c r="E86" s="10" t="s">
        <v>173</v>
      </c>
      <c r="F86" s="11">
        <v>60</v>
      </c>
      <c r="G86" s="11">
        <v>18</v>
      </c>
      <c r="H86" s="35">
        <v>606045</v>
      </c>
      <c r="I86" s="36">
        <v>76184</v>
      </c>
      <c r="J86" s="12">
        <f t="shared" si="4"/>
        <v>7.955016801428122</v>
      </c>
      <c r="K86" s="70"/>
      <c r="L86" s="30"/>
      <c r="M86" s="31"/>
      <c r="N86" s="30"/>
    </row>
    <row r="87" spans="1:14" s="4" customFormat="1" ht="15">
      <c r="A87" s="79">
        <v>85</v>
      </c>
      <c r="B87" s="50" t="s">
        <v>226</v>
      </c>
      <c r="C87" s="7">
        <v>38354</v>
      </c>
      <c r="D87" s="13" t="s">
        <v>317</v>
      </c>
      <c r="E87" s="10" t="s">
        <v>99</v>
      </c>
      <c r="F87" s="11">
        <v>62</v>
      </c>
      <c r="G87" s="11">
        <v>16</v>
      </c>
      <c r="H87" s="35">
        <f>364878+189780+24392+5352+42+1552+1221+1432+5133+1444+196+795+345+2977+568+213+1190</f>
        <v>601510</v>
      </c>
      <c r="I87" s="36">
        <f>36690+19609+2909+1194-16+282+185+285+1591+285+28+129+56+579+94+37+119</f>
        <v>64056</v>
      </c>
      <c r="J87" s="12">
        <f t="shared" si="4"/>
        <v>9.39037716997627</v>
      </c>
      <c r="K87" s="70"/>
      <c r="L87" s="30"/>
      <c r="M87" s="31"/>
      <c r="N87" s="30"/>
    </row>
    <row r="88" spans="1:14" s="4" customFormat="1" ht="15">
      <c r="A88" s="79">
        <v>86</v>
      </c>
      <c r="B88" s="50" t="s">
        <v>38</v>
      </c>
      <c r="C88" s="7">
        <v>38438</v>
      </c>
      <c r="D88" s="13" t="s">
        <v>317</v>
      </c>
      <c r="E88" s="10" t="s">
        <v>94</v>
      </c>
      <c r="F88" s="11">
        <v>62</v>
      </c>
      <c r="G88" s="11">
        <v>10</v>
      </c>
      <c r="H88" s="35">
        <f>306193+165310+41433+47659+24591+8913+2417+1247+207+192</f>
        <v>598162</v>
      </c>
      <c r="I88" s="36">
        <f>34359+18326+5534+7820+4081+1577+467+322+69+39</f>
        <v>72594</v>
      </c>
      <c r="J88" s="12">
        <f t="shared" si="4"/>
        <v>8.23982698294625</v>
      </c>
      <c r="K88" s="70"/>
      <c r="L88" s="30"/>
      <c r="M88" s="31"/>
      <c r="N88" s="30"/>
    </row>
    <row r="89" spans="1:14" s="4" customFormat="1" ht="15">
      <c r="A89" s="79">
        <v>87</v>
      </c>
      <c r="B89" s="51" t="s">
        <v>39</v>
      </c>
      <c r="C89" s="7">
        <v>38480</v>
      </c>
      <c r="D89" s="14" t="s">
        <v>101</v>
      </c>
      <c r="E89" s="14" t="s">
        <v>40</v>
      </c>
      <c r="F89" s="15">
        <v>104</v>
      </c>
      <c r="G89" s="15">
        <v>24</v>
      </c>
      <c r="H89" s="61">
        <v>590481.8</v>
      </c>
      <c r="I89" s="62">
        <v>80550</v>
      </c>
      <c r="J89" s="12">
        <f t="shared" si="4"/>
        <v>7.330624456859094</v>
      </c>
      <c r="K89" s="70">
        <v>1</v>
      </c>
      <c r="L89" s="30"/>
      <c r="M89" s="31"/>
      <c r="N89" s="30"/>
    </row>
    <row r="90" spans="1:14" s="4" customFormat="1" ht="15">
      <c r="A90" s="79">
        <v>88</v>
      </c>
      <c r="B90" s="50" t="s">
        <v>41</v>
      </c>
      <c r="C90" s="7">
        <v>38522</v>
      </c>
      <c r="D90" s="10" t="s">
        <v>318</v>
      </c>
      <c r="E90" s="10" t="s">
        <v>165</v>
      </c>
      <c r="F90" s="11">
        <v>60</v>
      </c>
      <c r="G90" s="11">
        <v>17</v>
      </c>
      <c r="H90" s="35">
        <v>576028</v>
      </c>
      <c r="I90" s="36">
        <v>74996</v>
      </c>
      <c r="J90" s="12">
        <f t="shared" si="4"/>
        <v>7.680782975092005</v>
      </c>
      <c r="K90" s="70"/>
      <c r="L90" s="30"/>
      <c r="M90" s="31"/>
      <c r="N90" s="30"/>
    </row>
    <row r="91" spans="1:14" s="4" customFormat="1" ht="15">
      <c r="A91" s="79">
        <v>89</v>
      </c>
      <c r="B91" s="51" t="s">
        <v>42</v>
      </c>
      <c r="C91" s="7">
        <v>38613</v>
      </c>
      <c r="D91" s="14" t="s">
        <v>89</v>
      </c>
      <c r="E91" s="14" t="s">
        <v>223</v>
      </c>
      <c r="F91" s="15">
        <v>65</v>
      </c>
      <c r="G91" s="15">
        <v>8</v>
      </c>
      <c r="H91" s="60">
        <v>557948</v>
      </c>
      <c r="I91" s="36">
        <v>62109</v>
      </c>
      <c r="J91" s="18">
        <f>IF(H91&lt;&gt;0,H91/I91,"")</f>
        <v>8.983367949894541</v>
      </c>
      <c r="K91" s="70"/>
      <c r="L91" s="30"/>
      <c r="M91" s="31"/>
      <c r="N91" s="30"/>
    </row>
    <row r="92" spans="1:14" s="4" customFormat="1" ht="15">
      <c r="A92" s="79">
        <v>90</v>
      </c>
      <c r="B92" s="33" t="s">
        <v>43</v>
      </c>
      <c r="C92" s="2">
        <v>38648</v>
      </c>
      <c r="D92" s="1" t="s">
        <v>96</v>
      </c>
      <c r="E92" s="1" t="s">
        <v>44</v>
      </c>
      <c r="F92" s="4">
        <v>25</v>
      </c>
      <c r="G92" s="4">
        <v>10</v>
      </c>
      <c r="H92" s="58">
        <f>198009+121514.5+95148.5+66495+23091+12092+17648.5+7279+6352.5+7838.5</f>
        <v>555468.5</v>
      </c>
      <c r="I92" s="59">
        <f>27092+16078+14204+10980+3903+1664+3329+1236+1212+1399</f>
        <v>81097</v>
      </c>
      <c r="J92" s="5">
        <f>H92/I92</f>
        <v>6.849433394576865</v>
      </c>
      <c r="K92" s="70">
        <v>1</v>
      </c>
      <c r="L92" s="30"/>
      <c r="M92" s="31"/>
      <c r="N92" s="30"/>
    </row>
    <row r="93" spans="1:14" s="4" customFormat="1" ht="15">
      <c r="A93" s="79">
        <v>91</v>
      </c>
      <c r="B93" s="33" t="s">
        <v>45</v>
      </c>
      <c r="C93" s="2">
        <v>38403</v>
      </c>
      <c r="D93" s="19" t="s">
        <v>96</v>
      </c>
      <c r="E93" s="1" t="s">
        <v>46</v>
      </c>
      <c r="F93" s="4">
        <v>55</v>
      </c>
      <c r="G93" s="4">
        <v>25</v>
      </c>
      <c r="H93" s="58">
        <f>190777.5+154065+60826.5+20820+23589+29712+19396.5+16102+12940+11034+3005+981+1140+40+98.25+284+1000+300+220+1211.5+155+156+63+1780+5228</f>
        <v>554924.25</v>
      </c>
      <c r="I93" s="59">
        <f>20518+17650+7809+3283+4115+5826+3911+3770+2981+2505+653+199+194+8+18+60+100+75+44+292+22+22+19+445+1307</f>
        <v>75826</v>
      </c>
      <c r="J93" s="5">
        <f>H93/I93</f>
        <v>7.318390130034553</v>
      </c>
      <c r="K93" s="70"/>
      <c r="L93" s="30"/>
      <c r="M93" s="31"/>
      <c r="N93" s="30"/>
    </row>
    <row r="94" spans="1:14" s="4" customFormat="1" ht="15">
      <c r="A94" s="79">
        <v>92</v>
      </c>
      <c r="B94" s="51" t="s">
        <v>47</v>
      </c>
      <c r="C94" s="7">
        <v>38424</v>
      </c>
      <c r="D94" s="10" t="s">
        <v>318</v>
      </c>
      <c r="E94" s="14" t="s">
        <v>173</v>
      </c>
      <c r="F94" s="15">
        <v>51</v>
      </c>
      <c r="G94" s="15">
        <v>34</v>
      </c>
      <c r="H94" s="60">
        <v>551480</v>
      </c>
      <c r="I94" s="36">
        <v>64880</v>
      </c>
      <c r="J94" s="9">
        <f>+H94/I94</f>
        <v>8.5</v>
      </c>
      <c r="K94" s="70"/>
      <c r="L94" s="30"/>
      <c r="M94" s="31"/>
      <c r="N94" s="30"/>
    </row>
    <row r="95" spans="1:14" s="4" customFormat="1" ht="15">
      <c r="A95" s="79">
        <v>93</v>
      </c>
      <c r="B95" s="51" t="s">
        <v>48</v>
      </c>
      <c r="C95" s="7">
        <v>38445</v>
      </c>
      <c r="D95" s="14" t="s">
        <v>96</v>
      </c>
      <c r="E95" s="14" t="s">
        <v>97</v>
      </c>
      <c r="F95" s="15">
        <v>73</v>
      </c>
      <c r="G95" s="15">
        <v>24</v>
      </c>
      <c r="H95" s="60">
        <f>257998+146390.25+55495.5+19689+10921.5+8901+904+592.5+1480+1790+6279.5+1704+3035+2139+1141+219+349+326+1998+2076+551+780+179+1188</f>
        <v>526126.25</v>
      </c>
      <c r="I95" s="36">
        <f>25239+14756+6633+3240+1982+1982+145+108+201+287+827+315+486+404+115+81+104+76+482+500+77+56+19+297</f>
        <v>58412</v>
      </c>
      <c r="J95" s="9">
        <f>H95/I95</f>
        <v>9.00716034376498</v>
      </c>
      <c r="K95" s="70"/>
      <c r="L95" s="30"/>
      <c r="M95" s="31"/>
      <c r="N95" s="30"/>
    </row>
    <row r="96" spans="1:14" s="4" customFormat="1" ht="15">
      <c r="A96" s="79">
        <v>94</v>
      </c>
      <c r="B96" s="50" t="s">
        <v>49</v>
      </c>
      <c r="C96" s="7">
        <v>38452</v>
      </c>
      <c r="D96" s="10" t="s">
        <v>96</v>
      </c>
      <c r="E96" s="10" t="s">
        <v>50</v>
      </c>
      <c r="F96" s="11">
        <v>32</v>
      </c>
      <c r="G96" s="11">
        <v>24</v>
      </c>
      <c r="H96" s="35">
        <f>216816.75+148269.25+47895.5+34792+20121+4590+2793+2962+1708.5+13855.5+7284+1114+146+54+520+866+4394.5+5139+4750.5+2505+1089+272+154+1424</f>
        <v>523515.5</v>
      </c>
      <c r="I96" s="36">
        <f>19731+13368+5787+4814+2854+977+340+473+271+2160+1282+193+34+18+65+100+650+808+780+553+122+33+19+356</f>
        <v>55788</v>
      </c>
      <c r="J96" s="12">
        <f>+H96/I96</f>
        <v>9.384016275901628</v>
      </c>
      <c r="K96" s="70"/>
      <c r="L96" s="30"/>
      <c r="M96" s="31"/>
      <c r="N96" s="30"/>
    </row>
    <row r="97" spans="1:14" s="4" customFormat="1" ht="15">
      <c r="A97" s="79">
        <v>95</v>
      </c>
      <c r="B97" s="49" t="s">
        <v>51</v>
      </c>
      <c r="C97" s="7">
        <v>38704</v>
      </c>
      <c r="D97" s="6" t="s">
        <v>89</v>
      </c>
      <c r="E97" s="6" t="s">
        <v>52</v>
      </c>
      <c r="F97" s="8">
        <v>38</v>
      </c>
      <c r="G97" s="8">
        <v>2</v>
      </c>
      <c r="H97" s="60">
        <v>522269.25</v>
      </c>
      <c r="I97" s="36">
        <v>55475</v>
      </c>
      <c r="J97" s="9">
        <f>IF(H97&lt;&gt;0,H97/I97,"")</f>
        <v>9.41449752140604</v>
      </c>
      <c r="K97" s="70">
        <v>1</v>
      </c>
      <c r="L97" s="30"/>
      <c r="M97" s="31"/>
      <c r="N97" s="30"/>
    </row>
    <row r="98" spans="1:14" s="4" customFormat="1" ht="15">
      <c r="A98" s="79">
        <v>96</v>
      </c>
      <c r="B98" s="51" t="s">
        <v>53</v>
      </c>
      <c r="C98" s="7">
        <v>38627</v>
      </c>
      <c r="D98" s="19" t="s">
        <v>92</v>
      </c>
      <c r="E98" s="19" t="s">
        <v>54</v>
      </c>
      <c r="F98" s="15">
        <v>53</v>
      </c>
      <c r="G98" s="15">
        <v>12</v>
      </c>
      <c r="H98" s="63">
        <v>520295</v>
      </c>
      <c r="I98" s="64">
        <v>51285</v>
      </c>
      <c r="J98" s="9">
        <f aca="true" t="shared" si="5" ref="J98:J105">+H98/I98</f>
        <v>10.145169152773715</v>
      </c>
      <c r="K98" s="70"/>
      <c r="L98" s="30"/>
      <c r="M98" s="31"/>
      <c r="N98" s="30"/>
    </row>
    <row r="99" spans="1:14" s="4" customFormat="1" ht="15">
      <c r="A99" s="79">
        <v>97</v>
      </c>
      <c r="B99" s="52" t="s">
        <v>55</v>
      </c>
      <c r="C99" s="2">
        <v>38592</v>
      </c>
      <c r="D99" s="10" t="s">
        <v>318</v>
      </c>
      <c r="E99" s="20" t="s">
        <v>56</v>
      </c>
      <c r="F99" s="4">
        <v>82</v>
      </c>
      <c r="G99" s="4">
        <v>18</v>
      </c>
      <c r="H99" s="35">
        <v>517847</v>
      </c>
      <c r="I99" s="36">
        <v>62666</v>
      </c>
      <c r="J99" s="17">
        <f t="shared" si="5"/>
        <v>8.263603868126257</v>
      </c>
      <c r="K99" s="70"/>
      <c r="L99" s="30"/>
      <c r="M99" s="31"/>
      <c r="N99" s="30"/>
    </row>
    <row r="100" spans="1:14" s="4" customFormat="1" ht="15">
      <c r="A100" s="79">
        <v>98</v>
      </c>
      <c r="B100" s="50" t="s">
        <v>57</v>
      </c>
      <c r="C100" s="7">
        <v>38403</v>
      </c>
      <c r="D100" s="10" t="s">
        <v>318</v>
      </c>
      <c r="E100" s="10" t="s">
        <v>178</v>
      </c>
      <c r="F100" s="11">
        <v>45</v>
      </c>
      <c r="G100" s="11">
        <v>22</v>
      </c>
      <c r="H100" s="35">
        <v>514842</v>
      </c>
      <c r="I100" s="36">
        <v>51000</v>
      </c>
      <c r="J100" s="12">
        <f t="shared" si="5"/>
        <v>10.094941176470588</v>
      </c>
      <c r="K100" s="70"/>
      <c r="L100" s="30"/>
      <c r="M100" s="31"/>
      <c r="N100" s="30"/>
    </row>
    <row r="101" spans="1:14" s="4" customFormat="1" ht="15">
      <c r="A101" s="79">
        <v>99</v>
      </c>
      <c r="B101" s="50" t="s">
        <v>58</v>
      </c>
      <c r="C101" s="7">
        <v>38396</v>
      </c>
      <c r="D101" s="10" t="s">
        <v>96</v>
      </c>
      <c r="E101" s="10" t="s">
        <v>97</v>
      </c>
      <c r="F101" s="11">
        <v>41</v>
      </c>
      <c r="G101" s="11">
        <v>26</v>
      </c>
      <c r="H101" s="35">
        <f>237955+174160.5+33697.5+17295.5+3111+908+14803+5802.5+3727+1295+1110+1441+1172+3872+566+382+2610+464+500+1166+2988+448+1533+1286+188+476</f>
        <v>512957</v>
      </c>
      <c r="I101" s="36">
        <f>21828+16711+3926+2842+612+184+2267+940+496+230+202+304+208+948+71+57+590+58+50+248+747+78+191+91+22+119</f>
        <v>54020</v>
      </c>
      <c r="J101" s="12">
        <f t="shared" si="5"/>
        <v>9.495686782673085</v>
      </c>
      <c r="K101" s="70"/>
      <c r="L101" s="30"/>
      <c r="M101" s="31"/>
      <c r="N101" s="30"/>
    </row>
    <row r="102" spans="1:14" s="4" customFormat="1" ht="15">
      <c r="A102" s="79">
        <v>100</v>
      </c>
      <c r="B102" s="49" t="s">
        <v>59</v>
      </c>
      <c r="C102" s="7">
        <v>38653</v>
      </c>
      <c r="D102" s="13" t="s">
        <v>317</v>
      </c>
      <c r="E102" s="6" t="s">
        <v>94</v>
      </c>
      <c r="F102" s="8">
        <v>74</v>
      </c>
      <c r="G102" s="8">
        <v>4</v>
      </c>
      <c r="H102" s="60">
        <v>504193</v>
      </c>
      <c r="I102" s="36">
        <v>44443</v>
      </c>
      <c r="J102" s="18">
        <f t="shared" si="5"/>
        <v>11.344711203114102</v>
      </c>
      <c r="K102" s="70"/>
      <c r="L102" s="30"/>
      <c r="M102" s="31"/>
      <c r="N102" s="30"/>
    </row>
    <row r="103" spans="1:14" s="4" customFormat="1" ht="15">
      <c r="A103" s="79">
        <v>101</v>
      </c>
      <c r="B103" s="50" t="s">
        <v>60</v>
      </c>
      <c r="C103" s="7">
        <v>38431</v>
      </c>
      <c r="D103" s="13" t="s">
        <v>317</v>
      </c>
      <c r="E103" s="10" t="s">
        <v>99</v>
      </c>
      <c r="F103" s="11">
        <v>48</v>
      </c>
      <c r="G103" s="11">
        <v>10</v>
      </c>
      <c r="H103" s="35">
        <f>252820+139377+40931+35755-48+20488+7471+3573+579+177+1040</f>
        <v>502163</v>
      </c>
      <c r="I103" s="36">
        <f>29461+16712+6028+6061+3296+1203+511+193+59+538</f>
        <v>64062</v>
      </c>
      <c r="J103" s="12">
        <f t="shared" si="5"/>
        <v>7.8387031313415125</v>
      </c>
      <c r="K103" s="70"/>
      <c r="L103" s="30"/>
      <c r="M103" s="31"/>
      <c r="N103" s="30"/>
    </row>
    <row r="104" spans="1:14" s="4" customFormat="1" ht="15">
      <c r="A104" s="79">
        <v>102</v>
      </c>
      <c r="B104" s="50" t="s">
        <v>61</v>
      </c>
      <c r="C104" s="7">
        <v>38459</v>
      </c>
      <c r="D104" s="13" t="s">
        <v>317</v>
      </c>
      <c r="E104" s="10" t="s">
        <v>325</v>
      </c>
      <c r="F104" s="11">
        <v>67</v>
      </c>
      <c r="G104" s="11">
        <v>19</v>
      </c>
      <c r="H104" s="35">
        <v>492831</v>
      </c>
      <c r="I104" s="36">
        <v>53028</v>
      </c>
      <c r="J104" s="12">
        <f t="shared" si="5"/>
        <v>9.293788187372709</v>
      </c>
      <c r="K104" s="70"/>
      <c r="L104" s="30"/>
      <c r="M104" s="31"/>
      <c r="N104" s="30"/>
    </row>
    <row r="105" spans="1:14" s="4" customFormat="1" ht="15">
      <c r="A105" s="79">
        <v>103</v>
      </c>
      <c r="B105" s="49" t="s">
        <v>62</v>
      </c>
      <c r="C105" s="7">
        <v>38641</v>
      </c>
      <c r="D105" s="10" t="s">
        <v>318</v>
      </c>
      <c r="E105" s="6" t="s">
        <v>99</v>
      </c>
      <c r="F105" s="8">
        <v>62</v>
      </c>
      <c r="G105" s="8">
        <v>6</v>
      </c>
      <c r="H105" s="60">
        <v>488757</v>
      </c>
      <c r="I105" s="36">
        <v>55530</v>
      </c>
      <c r="J105" s="18">
        <f t="shared" si="5"/>
        <v>8.801674770394381</v>
      </c>
      <c r="K105" s="70"/>
      <c r="L105" s="30"/>
      <c r="M105" s="31"/>
      <c r="N105" s="30"/>
    </row>
    <row r="106" spans="1:14" s="4" customFormat="1" ht="15">
      <c r="A106" s="79">
        <v>104</v>
      </c>
      <c r="B106" s="33" t="s">
        <v>63</v>
      </c>
      <c r="C106" s="2">
        <v>38634</v>
      </c>
      <c r="D106" s="1" t="s">
        <v>96</v>
      </c>
      <c r="E106" s="1" t="s">
        <v>97</v>
      </c>
      <c r="F106" s="4">
        <v>22</v>
      </c>
      <c r="G106" s="4">
        <v>8</v>
      </c>
      <c r="H106" s="58">
        <f>158809.5+140713.25+103696.25+38523+19360+17458+1188+196</f>
        <v>479944</v>
      </c>
      <c r="I106" s="59">
        <f>14214+13110+10683+4685+3074+2645+297+16</f>
        <v>48724</v>
      </c>
      <c r="J106" s="5">
        <f>H106/I106</f>
        <v>9.850258599458172</v>
      </c>
      <c r="K106" s="70"/>
      <c r="L106" s="30"/>
      <c r="M106" s="31"/>
      <c r="N106" s="30"/>
    </row>
    <row r="107" spans="1:14" s="4" customFormat="1" ht="15">
      <c r="A107" s="79">
        <v>105</v>
      </c>
      <c r="B107" s="50" t="s">
        <v>64</v>
      </c>
      <c r="C107" s="7">
        <v>38487</v>
      </c>
      <c r="D107" s="10" t="s">
        <v>318</v>
      </c>
      <c r="E107" s="10" t="s">
        <v>165</v>
      </c>
      <c r="F107" s="11">
        <v>46</v>
      </c>
      <c r="G107" s="11">
        <v>10</v>
      </c>
      <c r="H107" s="35">
        <v>477131</v>
      </c>
      <c r="I107" s="36">
        <v>42145</v>
      </c>
      <c r="J107" s="12">
        <f>+H107/I107</f>
        <v>11.321176889310713</v>
      </c>
      <c r="K107" s="70"/>
      <c r="L107" s="30"/>
      <c r="M107" s="31"/>
      <c r="N107" s="30"/>
    </row>
    <row r="108" spans="1:14" s="4" customFormat="1" ht="15">
      <c r="A108" s="79">
        <v>106</v>
      </c>
      <c r="B108" s="50" t="s">
        <v>65</v>
      </c>
      <c r="C108" s="7">
        <v>38431</v>
      </c>
      <c r="D108" s="10" t="s">
        <v>318</v>
      </c>
      <c r="E108" s="10" t="s">
        <v>178</v>
      </c>
      <c r="F108" s="11">
        <v>70</v>
      </c>
      <c r="G108" s="11">
        <v>11</v>
      </c>
      <c r="H108" s="35">
        <v>471227</v>
      </c>
      <c r="I108" s="36">
        <v>57641</v>
      </c>
      <c r="J108" s="12">
        <f>+H108/I108</f>
        <v>8.17520514911261</v>
      </c>
      <c r="K108" s="70"/>
      <c r="L108" s="30"/>
      <c r="M108" s="31"/>
      <c r="N108" s="30"/>
    </row>
    <row r="109" spans="1:14" s="4" customFormat="1" ht="15">
      <c r="A109" s="79">
        <v>107</v>
      </c>
      <c r="B109" s="33" t="s">
        <v>66</v>
      </c>
      <c r="C109" s="2">
        <v>38606</v>
      </c>
      <c r="D109" s="1" t="s">
        <v>96</v>
      </c>
      <c r="E109" s="1" t="s">
        <v>97</v>
      </c>
      <c r="F109" s="4">
        <v>51</v>
      </c>
      <c r="G109" s="4">
        <v>15</v>
      </c>
      <c r="H109" s="58">
        <f>182949+180053+29827+20114+26140.5+10395.5+4671+3342+2340+5520+249.5+165+3602+91+952</f>
        <v>470411.5</v>
      </c>
      <c r="I109" s="59">
        <f>18625+17802+3355+2859+3903+1800+782+594+465+1366+90+60+905+15+238</f>
        <v>52859</v>
      </c>
      <c r="J109" s="5">
        <f>H109/I109</f>
        <v>8.899364346658091</v>
      </c>
      <c r="K109" s="70"/>
      <c r="L109" s="30"/>
      <c r="M109" s="31"/>
      <c r="N109" s="30"/>
    </row>
    <row r="110" spans="1:14" s="4" customFormat="1" ht="15">
      <c r="A110" s="79">
        <v>108</v>
      </c>
      <c r="B110" s="49" t="s">
        <v>67</v>
      </c>
      <c r="C110" s="7">
        <v>38662</v>
      </c>
      <c r="D110" s="6" t="s">
        <v>89</v>
      </c>
      <c r="E110" s="6" t="s">
        <v>223</v>
      </c>
      <c r="F110" s="8">
        <v>58</v>
      </c>
      <c r="G110" s="8">
        <v>7</v>
      </c>
      <c r="H110" s="60">
        <v>468099.75</v>
      </c>
      <c r="I110" s="36">
        <v>44667</v>
      </c>
      <c r="J110" s="9">
        <f>IF(H110&lt;&gt;0,H110/I110,"")</f>
        <v>10.479766942037745</v>
      </c>
      <c r="K110" s="70"/>
      <c r="L110" s="30"/>
      <c r="M110" s="31"/>
      <c r="N110" s="30"/>
    </row>
    <row r="111" spans="1:14" s="4" customFormat="1" ht="15">
      <c r="A111" s="79">
        <v>109</v>
      </c>
      <c r="B111" s="52" t="s">
        <v>68</v>
      </c>
      <c r="C111" s="2">
        <v>38676</v>
      </c>
      <c r="D111" s="10" t="s">
        <v>318</v>
      </c>
      <c r="E111" s="20" t="s">
        <v>178</v>
      </c>
      <c r="F111" s="4">
        <v>61</v>
      </c>
      <c r="G111" s="4">
        <v>6</v>
      </c>
      <c r="H111" s="35">
        <v>455485</v>
      </c>
      <c r="I111" s="36">
        <v>41776</v>
      </c>
      <c r="J111" s="17">
        <f>+H111/I111</f>
        <v>10.903030448104175</v>
      </c>
      <c r="K111" s="70"/>
      <c r="L111" s="30"/>
      <c r="M111" s="31"/>
      <c r="N111" s="30"/>
    </row>
    <row r="112" spans="1:14" s="4" customFormat="1" ht="15">
      <c r="A112" s="79">
        <v>110</v>
      </c>
      <c r="B112" s="49" t="s">
        <v>69</v>
      </c>
      <c r="C112" s="7">
        <v>38494</v>
      </c>
      <c r="D112" s="6" t="s">
        <v>96</v>
      </c>
      <c r="E112" s="6" t="s">
        <v>99</v>
      </c>
      <c r="F112" s="8">
        <v>49</v>
      </c>
      <c r="G112" s="8">
        <v>19</v>
      </c>
      <c r="H112" s="60">
        <f>156835.75+123241.75+64169.25+38530+14718+8349.5+5553+9905+6647+2168.5+2346+2372+3658.5+879+4291.5+2227+3697.5+1188+476</f>
        <v>451253.25</v>
      </c>
      <c r="I112" s="36">
        <f>15124+12366+7559+6566+2380+1342+923+1526+1461+575+437+426+642+167+566+379+627+297+119</f>
        <v>53482</v>
      </c>
      <c r="J112" s="18">
        <f>+H112/I112</f>
        <v>8.437478964885383</v>
      </c>
      <c r="K112" s="70"/>
      <c r="L112" s="30"/>
      <c r="M112" s="31"/>
      <c r="N112" s="30"/>
    </row>
    <row r="113" spans="1:14" s="4" customFormat="1" ht="15">
      <c r="A113" s="79">
        <v>111</v>
      </c>
      <c r="B113" s="33" t="s">
        <v>70</v>
      </c>
      <c r="C113" s="2">
        <v>38417</v>
      </c>
      <c r="D113" s="1" t="s">
        <v>96</v>
      </c>
      <c r="E113" s="1" t="s">
        <v>71</v>
      </c>
      <c r="F113" s="4">
        <v>39</v>
      </c>
      <c r="G113" s="4">
        <v>28</v>
      </c>
      <c r="H113" s="58">
        <f>143992.5+82756.5+42509+41229+27290.5+16668+27602+17675+4710+8504.5+2403+4164+2272+3469+1997+135+299+674+178+30+240+1413+1006+209+393+680+1780+4040</f>
        <v>438319</v>
      </c>
      <c r="I113" s="59">
        <f>15320+9228+5096+5970+4485+3115+5134+3946+1139+2307+509+879+411+637+472+29+62+165+32+6+48+348+139+43+54+68+445+1010</f>
        <v>61097</v>
      </c>
      <c r="J113" s="5">
        <f>H113/I113</f>
        <v>7.17414930356646</v>
      </c>
      <c r="K113" s="70"/>
      <c r="L113" s="30"/>
      <c r="M113" s="31"/>
      <c r="N113" s="30"/>
    </row>
    <row r="114" spans="1:14" s="4" customFormat="1" ht="15">
      <c r="A114" s="79">
        <v>112</v>
      </c>
      <c r="B114" s="33" t="s">
        <v>72</v>
      </c>
      <c r="C114" s="2">
        <v>40537</v>
      </c>
      <c r="D114" s="1" t="s">
        <v>96</v>
      </c>
      <c r="E114" s="1" t="s">
        <v>97</v>
      </c>
      <c r="F114" s="4">
        <v>60</v>
      </c>
      <c r="G114" s="4">
        <v>1</v>
      </c>
      <c r="H114" s="58">
        <f>421775.5</f>
        <v>421775.5</v>
      </c>
      <c r="I114" s="59">
        <f>43739</f>
        <v>43739</v>
      </c>
      <c r="J114" s="5">
        <f>H114/I114</f>
        <v>9.64300738471387</v>
      </c>
      <c r="K114" s="70"/>
      <c r="L114" s="30"/>
      <c r="M114" s="31"/>
      <c r="N114" s="30"/>
    </row>
    <row r="115" spans="1:14" s="4" customFormat="1" ht="15">
      <c r="A115" s="79">
        <v>113</v>
      </c>
      <c r="B115" s="50" t="s">
        <v>73</v>
      </c>
      <c r="C115" s="7">
        <v>38389</v>
      </c>
      <c r="D115" s="10" t="s">
        <v>318</v>
      </c>
      <c r="E115" s="10" t="s">
        <v>178</v>
      </c>
      <c r="F115" s="11">
        <v>26</v>
      </c>
      <c r="G115" s="11">
        <v>9</v>
      </c>
      <c r="H115" s="35">
        <v>404635</v>
      </c>
      <c r="I115" s="36">
        <v>39660</v>
      </c>
      <c r="J115" s="12">
        <f>+H115/I115</f>
        <v>10.202597075138678</v>
      </c>
      <c r="K115" s="70"/>
      <c r="L115" s="30"/>
      <c r="M115" s="31"/>
      <c r="N115" s="30"/>
    </row>
    <row r="116" spans="1:14" s="4" customFormat="1" ht="15">
      <c r="A116" s="79">
        <v>114</v>
      </c>
      <c r="B116" s="50" t="s">
        <v>74</v>
      </c>
      <c r="C116" s="7">
        <v>38438</v>
      </c>
      <c r="D116" s="10" t="s">
        <v>318</v>
      </c>
      <c r="E116" s="10" t="s">
        <v>99</v>
      </c>
      <c r="F116" s="11">
        <v>59</v>
      </c>
      <c r="G116" s="11">
        <v>16</v>
      </c>
      <c r="H116" s="35">
        <v>399246</v>
      </c>
      <c r="I116" s="36">
        <v>42086</v>
      </c>
      <c r="J116" s="12">
        <f>+H116/I116</f>
        <v>9.486432542888371</v>
      </c>
      <c r="K116" s="70"/>
      <c r="L116" s="30"/>
      <c r="M116" s="31"/>
      <c r="N116" s="30"/>
    </row>
    <row r="117" spans="1:14" s="4" customFormat="1" ht="15">
      <c r="A117" s="79">
        <v>115</v>
      </c>
      <c r="B117" s="50" t="s">
        <v>75</v>
      </c>
      <c r="C117" s="7">
        <v>38550</v>
      </c>
      <c r="D117" s="10" t="s">
        <v>89</v>
      </c>
      <c r="E117" s="10" t="s">
        <v>223</v>
      </c>
      <c r="F117" s="11">
        <v>20</v>
      </c>
      <c r="G117" s="11">
        <v>14</v>
      </c>
      <c r="H117" s="35">
        <v>389706.75</v>
      </c>
      <c r="I117" s="36">
        <v>42771</v>
      </c>
      <c r="J117" s="12">
        <f>+H117/I117</f>
        <v>9.11147155783124</v>
      </c>
      <c r="K117" s="70"/>
      <c r="L117" s="30"/>
      <c r="M117" s="31"/>
      <c r="N117" s="30"/>
    </row>
    <row r="118" spans="1:14" s="4" customFormat="1" ht="15">
      <c r="A118" s="79">
        <v>116</v>
      </c>
      <c r="B118" s="50" t="s">
        <v>76</v>
      </c>
      <c r="C118" s="7">
        <v>38368</v>
      </c>
      <c r="D118" s="1" t="s">
        <v>105</v>
      </c>
      <c r="E118" s="10" t="s">
        <v>210</v>
      </c>
      <c r="F118" s="11">
        <v>27</v>
      </c>
      <c r="G118" s="11">
        <v>26</v>
      </c>
      <c r="H118" s="35">
        <f>354992.5+968+417+405</f>
        <v>356782.5</v>
      </c>
      <c r="I118" s="36">
        <f>34663+92+49+815+174+99+126+262+271+160+77+81</f>
        <v>36869</v>
      </c>
      <c r="J118" s="12">
        <f>+H118/I118</f>
        <v>9.677032195069028</v>
      </c>
      <c r="K118" s="70"/>
      <c r="L118" s="30"/>
      <c r="M118" s="31"/>
      <c r="N118" s="30"/>
    </row>
    <row r="119" spans="1:14" s="4" customFormat="1" ht="15">
      <c r="A119" s="79">
        <v>117</v>
      </c>
      <c r="B119" s="50" t="s">
        <v>77</v>
      </c>
      <c r="C119" s="7">
        <v>38417</v>
      </c>
      <c r="D119" s="13" t="s">
        <v>317</v>
      </c>
      <c r="E119" s="10" t="s">
        <v>109</v>
      </c>
      <c r="F119" s="11">
        <v>39</v>
      </c>
      <c r="G119" s="11">
        <v>7</v>
      </c>
      <c r="H119" s="35">
        <f>208640+108142+308+143+11378+16244+5541+1125+1076</f>
        <v>352597</v>
      </c>
      <c r="I119" s="36">
        <f>19698+10352-1+1288+2400+1285+179+187</f>
        <v>35388</v>
      </c>
      <c r="J119" s="12">
        <f>+H119/I119</f>
        <v>9.963744772239178</v>
      </c>
      <c r="K119" s="70"/>
      <c r="L119" s="30"/>
      <c r="M119" s="31"/>
      <c r="N119" s="30"/>
    </row>
    <row r="120" spans="1:14" s="4" customFormat="1" ht="15">
      <c r="A120" s="79">
        <v>118</v>
      </c>
      <c r="B120" s="33" t="s">
        <v>78</v>
      </c>
      <c r="C120" s="2">
        <v>38641</v>
      </c>
      <c r="D120" s="1" t="s">
        <v>96</v>
      </c>
      <c r="E120" s="1" t="s">
        <v>79</v>
      </c>
      <c r="F120" s="4">
        <v>9</v>
      </c>
      <c r="G120" s="4">
        <v>7</v>
      </c>
      <c r="H120" s="58">
        <f>140093+133065.5+53545.5+8843.5+1143.5+938+558</f>
        <v>338187</v>
      </c>
      <c r="I120" s="59">
        <f>10984+10700+4415+806+91+134+57</f>
        <v>27187</v>
      </c>
      <c r="J120" s="5">
        <f>H120/I120</f>
        <v>12.439290837532644</v>
      </c>
      <c r="K120" s="70"/>
      <c r="L120" s="30"/>
      <c r="M120" s="31"/>
      <c r="N120" s="30"/>
    </row>
    <row r="121" spans="1:14" s="4" customFormat="1" ht="15">
      <c r="A121" s="79">
        <v>119</v>
      </c>
      <c r="B121" s="50" t="s">
        <v>80</v>
      </c>
      <c r="C121" s="7">
        <v>38382</v>
      </c>
      <c r="D121" s="13" t="s">
        <v>317</v>
      </c>
      <c r="E121" s="10" t="s">
        <v>99</v>
      </c>
      <c r="F121" s="11">
        <v>39</v>
      </c>
      <c r="G121" s="11">
        <v>12</v>
      </c>
      <c r="H121" s="35">
        <f>326764+1190</f>
        <v>327954</v>
      </c>
      <c r="I121" s="36">
        <f>33184+170</f>
        <v>33354</v>
      </c>
      <c r="J121" s="12">
        <f>+H121/I121</f>
        <v>9.832523835222162</v>
      </c>
      <c r="K121" s="70"/>
      <c r="L121" s="30"/>
      <c r="M121" s="31"/>
      <c r="N121" s="30"/>
    </row>
    <row r="122" spans="1:14" s="4" customFormat="1" ht="15">
      <c r="A122" s="79">
        <v>120</v>
      </c>
      <c r="B122" s="50" t="s">
        <v>81</v>
      </c>
      <c r="C122" s="7">
        <v>38410</v>
      </c>
      <c r="D122" s="10" t="s">
        <v>318</v>
      </c>
      <c r="E122" s="10" t="s">
        <v>82</v>
      </c>
      <c r="F122" s="11">
        <v>52</v>
      </c>
      <c r="G122" s="11">
        <v>26</v>
      </c>
      <c r="H122" s="35">
        <v>321747</v>
      </c>
      <c r="I122" s="36">
        <v>41835</v>
      </c>
      <c r="J122" s="12">
        <f>+H122/I122</f>
        <v>7.690856937970599</v>
      </c>
      <c r="K122" s="70">
        <v>1</v>
      </c>
      <c r="L122" s="30"/>
      <c r="M122" s="31"/>
      <c r="N122" s="30"/>
    </row>
    <row r="123" spans="1:14" s="4" customFormat="1" ht="15">
      <c r="A123" s="79">
        <v>121</v>
      </c>
      <c r="B123" s="50" t="s">
        <v>83</v>
      </c>
      <c r="C123" s="7">
        <v>38466</v>
      </c>
      <c r="D123" s="10" t="s">
        <v>89</v>
      </c>
      <c r="E123" s="10" t="s">
        <v>84</v>
      </c>
      <c r="F123" s="11">
        <v>62</v>
      </c>
      <c r="G123" s="11">
        <v>24</v>
      </c>
      <c r="H123" s="35">
        <v>319987.75</v>
      </c>
      <c r="I123" s="36">
        <v>44050</v>
      </c>
      <c r="J123" s="12">
        <f>+H123/I123</f>
        <v>7.264194097616345</v>
      </c>
      <c r="K123" s="70">
        <v>1</v>
      </c>
      <c r="L123" s="30"/>
      <c r="M123" s="31"/>
      <c r="N123" s="30"/>
    </row>
    <row r="124" spans="1:14" s="4" customFormat="1" ht="15">
      <c r="A124" s="79">
        <v>122</v>
      </c>
      <c r="B124" s="50" t="s">
        <v>276</v>
      </c>
      <c r="C124" s="7">
        <v>38564</v>
      </c>
      <c r="D124" s="10" t="s">
        <v>96</v>
      </c>
      <c r="E124" s="10" t="s">
        <v>277</v>
      </c>
      <c r="F124" s="11">
        <v>35</v>
      </c>
      <c r="G124" s="11">
        <v>12</v>
      </c>
      <c r="H124" s="35">
        <f>80686.75+57621.25+37449.5+30026.25+26289+20158.25+17545+22430+6060+3140+1070.5+2029.5</f>
        <v>304506</v>
      </c>
      <c r="I124" s="36">
        <f>8139+7376+5420+4820+4330+3598+3165+3639+1073+601+159+344</f>
        <v>42664</v>
      </c>
      <c r="J124" s="12">
        <f>+H124/I124</f>
        <v>7.1373054565910365</v>
      </c>
      <c r="K124" s="70"/>
      <c r="L124" s="30"/>
      <c r="M124" s="31"/>
      <c r="N124" s="30"/>
    </row>
    <row r="125" spans="1:14" s="4" customFormat="1" ht="15">
      <c r="A125" s="79">
        <v>123</v>
      </c>
      <c r="B125" s="50" t="s">
        <v>278</v>
      </c>
      <c r="C125" s="7">
        <v>38487</v>
      </c>
      <c r="D125" s="10" t="s">
        <v>318</v>
      </c>
      <c r="E125" s="10" t="s">
        <v>178</v>
      </c>
      <c r="F125" s="11">
        <v>33</v>
      </c>
      <c r="G125" s="11">
        <v>12</v>
      </c>
      <c r="H125" s="35">
        <v>301856</v>
      </c>
      <c r="I125" s="36">
        <v>32977</v>
      </c>
      <c r="J125" s="12">
        <f>+H125/I125</f>
        <v>9.153531249052369</v>
      </c>
      <c r="K125" s="70"/>
      <c r="L125" s="30"/>
      <c r="M125" s="31"/>
      <c r="N125" s="30"/>
    </row>
    <row r="126" spans="1:14" s="4" customFormat="1" ht="15">
      <c r="A126" s="79">
        <v>124</v>
      </c>
      <c r="B126" s="50" t="s">
        <v>279</v>
      </c>
      <c r="C126" s="7">
        <v>38403</v>
      </c>
      <c r="D126" s="10" t="s">
        <v>96</v>
      </c>
      <c r="E126" s="10" t="s">
        <v>280</v>
      </c>
      <c r="F126" s="11">
        <v>60</v>
      </c>
      <c r="G126" s="11">
        <v>13</v>
      </c>
      <c r="H126" s="35">
        <f>182826.5+79990+19672+797.5+3740.5+787+2671+676+391+870+504+321+118</f>
        <v>293364.5</v>
      </c>
      <c r="I126" s="36">
        <f>20237+9379+2724+124+668+137+441+114+58+108+72+68+24</f>
        <v>34154</v>
      </c>
      <c r="J126" s="12">
        <f>H126/I126</f>
        <v>8.589462434853898</v>
      </c>
      <c r="K126" s="70"/>
      <c r="L126" s="30"/>
      <c r="M126" s="31"/>
      <c r="N126" s="30"/>
    </row>
    <row r="127" spans="1:14" s="4" customFormat="1" ht="15">
      <c r="A127" s="79">
        <v>125</v>
      </c>
      <c r="B127" s="49" t="s">
        <v>281</v>
      </c>
      <c r="C127" s="7">
        <v>38578</v>
      </c>
      <c r="D127" s="6" t="s">
        <v>96</v>
      </c>
      <c r="E127" s="6" t="s">
        <v>168</v>
      </c>
      <c r="F127" s="8">
        <v>25</v>
      </c>
      <c r="G127" s="8">
        <v>14</v>
      </c>
      <c r="H127" s="60">
        <f>82054.5+35940.5+27703.5+25295+22550+51818+15256.5+8486.5+9528.5+2338+728+334+1149.5+1188</f>
        <v>284370.5</v>
      </c>
      <c r="I127" s="36">
        <f>7776+4353+3786+3658+3453+8330+2528+1464+1711+406+125+51+182+229</f>
        <v>38052</v>
      </c>
      <c r="J127" s="18">
        <f>+H127/I127</f>
        <v>7.473207715757384</v>
      </c>
      <c r="K127" s="70"/>
      <c r="L127" s="30"/>
      <c r="M127" s="31"/>
      <c r="N127" s="30"/>
    </row>
    <row r="128" spans="1:14" s="4" customFormat="1" ht="15">
      <c r="A128" s="79">
        <v>126</v>
      </c>
      <c r="B128" s="50" t="s">
        <v>282</v>
      </c>
      <c r="C128" s="7">
        <v>38571</v>
      </c>
      <c r="D128" s="10" t="s">
        <v>318</v>
      </c>
      <c r="E128" s="10" t="s">
        <v>56</v>
      </c>
      <c r="F128" s="11">
        <v>31</v>
      </c>
      <c r="G128" s="11">
        <v>3</v>
      </c>
      <c r="H128" s="35">
        <v>279094</v>
      </c>
      <c r="I128" s="36">
        <v>22819</v>
      </c>
      <c r="J128" s="12">
        <f>+H128/I128</f>
        <v>12.230772601779218</v>
      </c>
      <c r="K128" s="70"/>
      <c r="L128" s="30"/>
      <c r="M128" s="31"/>
      <c r="N128" s="30"/>
    </row>
    <row r="129" spans="1:14" s="4" customFormat="1" ht="15">
      <c r="A129" s="79">
        <v>127</v>
      </c>
      <c r="B129" s="49" t="s">
        <v>283</v>
      </c>
      <c r="C129" s="7">
        <v>38655</v>
      </c>
      <c r="D129" s="6" t="s">
        <v>89</v>
      </c>
      <c r="E129" s="6" t="s">
        <v>284</v>
      </c>
      <c r="F129" s="8">
        <v>88</v>
      </c>
      <c r="G129" s="8">
        <v>9</v>
      </c>
      <c r="H129" s="60">
        <v>277072</v>
      </c>
      <c r="I129" s="36">
        <v>37117</v>
      </c>
      <c r="J129" s="9">
        <f>IF(H129&lt;&gt;0,H129/I129,"")</f>
        <v>7.464827437562303</v>
      </c>
      <c r="K129" s="70">
        <v>1</v>
      </c>
      <c r="L129" s="30"/>
      <c r="M129" s="31"/>
      <c r="N129" s="30"/>
    </row>
    <row r="130" spans="1:14" s="4" customFormat="1" ht="15">
      <c r="A130" s="79">
        <v>128</v>
      </c>
      <c r="B130" s="51" t="s">
        <v>285</v>
      </c>
      <c r="C130" s="7">
        <v>38501</v>
      </c>
      <c r="D130" s="19" t="s">
        <v>92</v>
      </c>
      <c r="E130" s="19" t="s">
        <v>286</v>
      </c>
      <c r="F130" s="15">
        <v>72</v>
      </c>
      <c r="G130" s="15">
        <v>22</v>
      </c>
      <c r="H130" s="63">
        <v>276139</v>
      </c>
      <c r="I130" s="64">
        <v>37488</v>
      </c>
      <c r="J130" s="9">
        <f>+H130/I130</f>
        <v>7.366063807084934</v>
      </c>
      <c r="K130" s="70"/>
      <c r="L130" s="30"/>
      <c r="M130" s="31"/>
      <c r="N130" s="30"/>
    </row>
    <row r="131" spans="1:14" s="4" customFormat="1" ht="15">
      <c r="A131" s="79">
        <v>129</v>
      </c>
      <c r="B131" s="51" t="s">
        <v>287</v>
      </c>
      <c r="C131" s="7">
        <v>38627</v>
      </c>
      <c r="D131" s="10" t="s">
        <v>318</v>
      </c>
      <c r="E131" s="14" t="s">
        <v>165</v>
      </c>
      <c r="F131" s="15">
        <v>40</v>
      </c>
      <c r="G131" s="15">
        <v>5</v>
      </c>
      <c r="H131" s="60">
        <v>274400</v>
      </c>
      <c r="I131" s="36">
        <v>26385</v>
      </c>
      <c r="J131" s="9">
        <f>+H131/I131</f>
        <v>10.39984839871139</v>
      </c>
      <c r="K131" s="70"/>
      <c r="L131" s="30"/>
      <c r="M131" s="31"/>
      <c r="N131" s="30"/>
    </row>
    <row r="132" spans="1:14" s="4" customFormat="1" ht="15">
      <c r="A132" s="79">
        <v>130</v>
      </c>
      <c r="B132" s="33" t="s">
        <v>288</v>
      </c>
      <c r="C132" s="2">
        <v>38459</v>
      </c>
      <c r="D132" s="1" t="s">
        <v>96</v>
      </c>
      <c r="E132" s="1" t="s">
        <v>289</v>
      </c>
      <c r="F132" s="4">
        <v>43</v>
      </c>
      <c r="G132" s="4">
        <v>25</v>
      </c>
      <c r="H132" s="58">
        <f>71921.5+55489+28896+23842.5+13474.5+19552.5+14027+10409+7091.5+1088.5+1046+1608+982+3368+433+2156+3870+2362+588+3564+2376+1424+1780+1424+1512</f>
        <v>274285</v>
      </c>
      <c r="I132" s="59">
        <f>9131+7791+4520+4728+2735+3857+3026+2110+1463+203+226+324+239+809+81+469+941+537+95+891+594+356+445+356+378</f>
        <v>46305</v>
      </c>
      <c r="J132" s="5">
        <f>H132/I132</f>
        <v>5.923442392830148</v>
      </c>
      <c r="K132" s="70">
        <v>1</v>
      </c>
      <c r="L132" s="30"/>
      <c r="M132" s="31"/>
      <c r="N132" s="30"/>
    </row>
    <row r="133" spans="1:14" s="4" customFormat="1" ht="15">
      <c r="A133" s="79">
        <v>131</v>
      </c>
      <c r="B133" s="52" t="s">
        <v>290</v>
      </c>
      <c r="C133" s="2">
        <v>38711</v>
      </c>
      <c r="D133" s="10" t="s">
        <v>318</v>
      </c>
      <c r="E133" s="20" t="s">
        <v>165</v>
      </c>
      <c r="F133" s="4">
        <v>51</v>
      </c>
      <c r="G133" s="4">
        <v>1</v>
      </c>
      <c r="H133" s="35">
        <v>273580</v>
      </c>
      <c r="I133" s="36">
        <v>24801</v>
      </c>
      <c r="J133" s="17">
        <f>+H133/I133</f>
        <v>11.031006814241362</v>
      </c>
      <c r="K133" s="70"/>
      <c r="L133" s="30"/>
      <c r="M133" s="31"/>
      <c r="N133" s="30"/>
    </row>
    <row r="134" spans="1:14" s="4" customFormat="1" ht="15">
      <c r="A134" s="79">
        <v>132</v>
      </c>
      <c r="B134" s="50" t="s">
        <v>291</v>
      </c>
      <c r="C134" s="7">
        <v>38410</v>
      </c>
      <c r="D134" s="13" t="s">
        <v>317</v>
      </c>
      <c r="E134" s="10" t="s">
        <v>109</v>
      </c>
      <c r="F134" s="11">
        <v>50</v>
      </c>
      <c r="G134" s="11">
        <v>8</v>
      </c>
      <c r="H134" s="35">
        <f>170980+80213+4926+3955+3233+7199+1587+1046</f>
        <v>273139</v>
      </c>
      <c r="I134" s="36">
        <f>17959+8528+552+616+564+1409+280+158</f>
        <v>30066</v>
      </c>
      <c r="J134" s="12">
        <f>+H134/I134</f>
        <v>9.08464710969201</v>
      </c>
      <c r="K134" s="70"/>
      <c r="L134" s="30"/>
      <c r="M134" s="31"/>
      <c r="N134" s="30"/>
    </row>
    <row r="135" spans="1:14" s="4" customFormat="1" ht="15">
      <c r="A135" s="79">
        <v>133</v>
      </c>
      <c r="B135" s="50" t="s">
        <v>292</v>
      </c>
      <c r="C135" s="2">
        <v>38641</v>
      </c>
      <c r="D135" s="10" t="s">
        <v>96</v>
      </c>
      <c r="E135" s="10" t="s">
        <v>12</v>
      </c>
      <c r="F135" s="11">
        <v>22</v>
      </c>
      <c r="G135" s="11">
        <v>5</v>
      </c>
      <c r="H135" s="58">
        <f>129717.5+110957+18478+6527+6853.5</f>
        <v>272533</v>
      </c>
      <c r="I135" s="59">
        <f>10402+8975+1885+691+1109</f>
        <v>23062</v>
      </c>
      <c r="J135" s="21">
        <f>H135/I135</f>
        <v>11.81740525539849</v>
      </c>
      <c r="K135" s="70"/>
      <c r="L135" s="30"/>
      <c r="M135" s="31"/>
      <c r="N135" s="30"/>
    </row>
    <row r="136" spans="1:14" s="4" customFormat="1" ht="15">
      <c r="A136" s="79">
        <v>134</v>
      </c>
      <c r="B136" s="33" t="s">
        <v>293</v>
      </c>
      <c r="C136" s="2">
        <v>38662</v>
      </c>
      <c r="D136" s="1" t="s">
        <v>294</v>
      </c>
      <c r="E136" s="1" t="s">
        <v>295</v>
      </c>
      <c r="F136" s="4">
        <v>25</v>
      </c>
      <c r="G136" s="4">
        <v>6</v>
      </c>
      <c r="H136" s="65">
        <v>270604</v>
      </c>
      <c r="I136" s="66">
        <v>22144</v>
      </c>
      <c r="J136" s="17">
        <f>+H136/I136</f>
        <v>12.220195086705202</v>
      </c>
      <c r="K136" s="70"/>
      <c r="L136" s="30"/>
      <c r="M136" s="31"/>
      <c r="N136" s="30"/>
    </row>
    <row r="137" spans="1:14" s="4" customFormat="1" ht="15">
      <c r="A137" s="79">
        <v>135</v>
      </c>
      <c r="B137" s="50" t="s">
        <v>296</v>
      </c>
      <c r="C137" s="7">
        <v>38501</v>
      </c>
      <c r="D137" s="10" t="s">
        <v>96</v>
      </c>
      <c r="E137" s="10" t="s">
        <v>99</v>
      </c>
      <c r="F137" s="11">
        <v>62</v>
      </c>
      <c r="G137" s="11">
        <v>14</v>
      </c>
      <c r="H137" s="35">
        <f>119427+69056.25+26863.25+16010.5+8015+6275+6055+3079+2146+4052+1167+331+313+1139</f>
        <v>263929</v>
      </c>
      <c r="I137" s="36">
        <f>12586+8062+4099+2784+1411+1162+938+565+339+749+250+68+52+208</f>
        <v>33273</v>
      </c>
      <c r="J137" s="12">
        <f>+H137/I137</f>
        <v>7.932227331469961</v>
      </c>
      <c r="K137" s="70"/>
      <c r="L137" s="30"/>
      <c r="M137" s="31"/>
      <c r="N137" s="30"/>
    </row>
    <row r="138" spans="1:14" s="4" customFormat="1" ht="15">
      <c r="A138" s="79">
        <v>136</v>
      </c>
      <c r="B138" s="50" t="s">
        <v>297</v>
      </c>
      <c r="C138" s="2">
        <v>38382</v>
      </c>
      <c r="D138" s="10" t="s">
        <v>105</v>
      </c>
      <c r="E138" s="10" t="s">
        <v>210</v>
      </c>
      <c r="F138" s="11">
        <v>50</v>
      </c>
      <c r="G138" s="11">
        <v>25</v>
      </c>
      <c r="H138" s="35">
        <f>168651.5+46529+10620.5+4304+0.5+12367.5+5085+0.5+811+443+1089+406.5+312+389+3597+510+948+224.5+704+336+20+216+70+45+43+90+16</f>
        <v>257828.5</v>
      </c>
      <c r="I138" s="36">
        <f>20118+5529+1513+681+2223+920+189+100+201+77+55+67+600+195+369+85+176+67+2+42+14+7+7+16+2</f>
        <v>33255</v>
      </c>
      <c r="J138" s="18">
        <f>+H138/I138</f>
        <v>7.753074725605172</v>
      </c>
      <c r="K138" s="70"/>
      <c r="L138" s="30"/>
      <c r="M138" s="31"/>
      <c r="N138" s="30"/>
    </row>
    <row r="139" spans="1:14" s="4" customFormat="1" ht="15">
      <c r="A139" s="79">
        <v>137</v>
      </c>
      <c r="B139" s="49" t="s">
        <v>298</v>
      </c>
      <c r="C139" s="7">
        <v>38662</v>
      </c>
      <c r="D139" s="6" t="s">
        <v>89</v>
      </c>
      <c r="E139" s="6" t="s">
        <v>299</v>
      </c>
      <c r="F139" s="8">
        <v>40</v>
      </c>
      <c r="G139" s="8">
        <v>7</v>
      </c>
      <c r="H139" s="60">
        <v>257488.25</v>
      </c>
      <c r="I139" s="36">
        <v>25853</v>
      </c>
      <c r="J139" s="9">
        <f>IF(H139&lt;&gt;0,H139/I139,"")</f>
        <v>9.959704869841024</v>
      </c>
      <c r="K139" s="70">
        <v>1</v>
      </c>
      <c r="L139" s="30"/>
      <c r="M139" s="31"/>
      <c r="N139" s="30"/>
    </row>
    <row r="140" spans="1:14" s="4" customFormat="1" ht="15">
      <c r="A140" s="79">
        <v>138</v>
      </c>
      <c r="B140" s="33" t="s">
        <v>300</v>
      </c>
      <c r="C140" s="2">
        <v>38648</v>
      </c>
      <c r="D140" s="1" t="s">
        <v>96</v>
      </c>
      <c r="E140" s="1" t="s">
        <v>97</v>
      </c>
      <c r="F140" s="4">
        <v>35</v>
      </c>
      <c r="G140" s="4">
        <v>8</v>
      </c>
      <c r="H140" s="58">
        <f>138311.75+79345.25+13093+10041+3739+971+1340+254</f>
        <v>247095</v>
      </c>
      <c r="I140" s="59">
        <f>12918+7558+2061+1540+644+195+252+48</f>
        <v>25216</v>
      </c>
      <c r="J140" s="5">
        <f>H140/I140</f>
        <v>9.799135469543147</v>
      </c>
      <c r="K140" s="70"/>
      <c r="L140" s="30"/>
      <c r="M140" s="31"/>
      <c r="N140" s="30"/>
    </row>
    <row r="141" spans="1:14" s="4" customFormat="1" ht="15">
      <c r="A141" s="79">
        <v>139</v>
      </c>
      <c r="B141" s="50" t="s">
        <v>301</v>
      </c>
      <c r="C141" s="2">
        <v>38606</v>
      </c>
      <c r="D141" s="10" t="s">
        <v>105</v>
      </c>
      <c r="E141" s="10" t="s">
        <v>210</v>
      </c>
      <c r="F141" s="11">
        <v>34</v>
      </c>
      <c r="G141" s="11">
        <v>7</v>
      </c>
      <c r="H141" s="35">
        <f>104798.5+73267.5-54+19255+11088.5+15390.5+7828+6875</f>
        <v>238449</v>
      </c>
      <c r="I141" s="36">
        <f>10391+7949-1+2890+1731+2459+1297+1134</f>
        <v>27850</v>
      </c>
      <c r="J141" s="18">
        <f aca="true" t="shared" si="6" ref="J141:J146">+H141/I141</f>
        <v>8.561903052064633</v>
      </c>
      <c r="K141" s="70"/>
      <c r="L141" s="30"/>
      <c r="M141" s="31"/>
      <c r="N141" s="30"/>
    </row>
    <row r="142" spans="1:14" s="4" customFormat="1" ht="15">
      <c r="A142" s="79">
        <v>140</v>
      </c>
      <c r="B142" s="50" t="s">
        <v>302</v>
      </c>
      <c r="C142" s="7">
        <v>38466</v>
      </c>
      <c r="D142" s="10" t="s">
        <v>318</v>
      </c>
      <c r="E142" s="10" t="s">
        <v>303</v>
      </c>
      <c r="F142" s="11">
        <v>48</v>
      </c>
      <c r="G142" s="11">
        <v>26</v>
      </c>
      <c r="H142" s="35">
        <v>235981</v>
      </c>
      <c r="I142" s="36">
        <v>26923</v>
      </c>
      <c r="J142" s="12">
        <f t="shared" si="6"/>
        <v>8.765033614381755</v>
      </c>
      <c r="K142" s="70"/>
      <c r="L142" s="30"/>
      <c r="M142" s="31"/>
      <c r="N142" s="30"/>
    </row>
    <row r="143" spans="1:14" s="4" customFormat="1" ht="15">
      <c r="A143" s="79">
        <v>141</v>
      </c>
      <c r="B143" s="50" t="s">
        <v>304</v>
      </c>
      <c r="C143" s="7">
        <v>38445</v>
      </c>
      <c r="D143" s="13" t="s">
        <v>317</v>
      </c>
      <c r="E143" s="10" t="s">
        <v>180</v>
      </c>
      <c r="F143" s="11">
        <v>25</v>
      </c>
      <c r="G143" s="11">
        <v>20</v>
      </c>
      <c r="H143" s="35">
        <f>229282+450+284+419+695+140</f>
        <v>231270</v>
      </c>
      <c r="I143" s="36">
        <f>31940+75+43+65+139+28</f>
        <v>32290</v>
      </c>
      <c r="J143" s="12">
        <f t="shared" si="6"/>
        <v>7.162279343449985</v>
      </c>
      <c r="K143" s="70"/>
      <c r="L143" s="30"/>
      <c r="M143" s="31"/>
      <c r="N143" s="30"/>
    </row>
    <row r="144" spans="1:14" s="4" customFormat="1" ht="15">
      <c r="A144" s="79">
        <v>142</v>
      </c>
      <c r="B144" s="51" t="s">
        <v>305</v>
      </c>
      <c r="C144" s="7">
        <v>38613</v>
      </c>
      <c r="D144" s="13" t="s">
        <v>317</v>
      </c>
      <c r="E144" s="14" t="s">
        <v>306</v>
      </c>
      <c r="F144" s="15">
        <v>66</v>
      </c>
      <c r="G144" s="15">
        <v>9</v>
      </c>
      <c r="H144" s="60">
        <v>225757</v>
      </c>
      <c r="I144" s="36">
        <v>27993</v>
      </c>
      <c r="J144" s="18">
        <f t="shared" si="6"/>
        <v>8.064766191547887</v>
      </c>
      <c r="K144" s="70">
        <v>1</v>
      </c>
      <c r="L144" s="30"/>
      <c r="M144" s="31"/>
      <c r="N144" s="30"/>
    </row>
    <row r="145" spans="1:14" s="4" customFormat="1" ht="15">
      <c r="A145" s="79">
        <v>143</v>
      </c>
      <c r="B145" s="50" t="s">
        <v>307</v>
      </c>
      <c r="C145" s="7">
        <v>38445</v>
      </c>
      <c r="D145" s="10" t="s">
        <v>308</v>
      </c>
      <c r="E145" s="10" t="s">
        <v>326</v>
      </c>
      <c r="F145" s="11" t="s">
        <v>327</v>
      </c>
      <c r="G145" s="11" t="s">
        <v>328</v>
      </c>
      <c r="H145" s="35">
        <v>222148</v>
      </c>
      <c r="I145" s="36">
        <v>25726</v>
      </c>
      <c r="J145" s="12">
        <f t="shared" si="6"/>
        <v>8.635155096011816</v>
      </c>
      <c r="K145" s="70"/>
      <c r="L145" s="30"/>
      <c r="M145" s="31"/>
      <c r="N145" s="30"/>
    </row>
    <row r="146" spans="1:14" s="4" customFormat="1" ht="15">
      <c r="A146" s="79">
        <v>144</v>
      </c>
      <c r="B146" s="50" t="s">
        <v>329</v>
      </c>
      <c r="C146" s="7">
        <v>38473</v>
      </c>
      <c r="D146" s="1" t="s">
        <v>105</v>
      </c>
      <c r="E146" s="10" t="s">
        <v>330</v>
      </c>
      <c r="F146" s="11">
        <v>125</v>
      </c>
      <c r="G146" s="11">
        <v>10</v>
      </c>
      <c r="H146" s="35">
        <f>114460.75+42138+22420+8194+3259+329+823+25444.5+546+3853</f>
        <v>221467.25</v>
      </c>
      <c r="I146" s="36">
        <f>15343+6534+4108+1491+680+62+130+4241+100+770</f>
        <v>33459</v>
      </c>
      <c r="J146" s="12">
        <f t="shared" si="6"/>
        <v>6.619063630114469</v>
      </c>
      <c r="K146" s="70">
        <v>1</v>
      </c>
      <c r="L146" s="30"/>
      <c r="M146" s="31"/>
      <c r="N146" s="30"/>
    </row>
    <row r="147" spans="1:14" s="4" customFormat="1" ht="15">
      <c r="A147" s="79">
        <v>145</v>
      </c>
      <c r="B147" s="33" t="s">
        <v>331</v>
      </c>
      <c r="C147" s="2">
        <v>38465</v>
      </c>
      <c r="D147" s="19" t="s">
        <v>96</v>
      </c>
      <c r="E147" s="1" t="s">
        <v>332</v>
      </c>
      <c r="F147" s="4">
        <v>40</v>
      </c>
      <c r="G147" s="4">
        <v>29</v>
      </c>
      <c r="H147" s="58">
        <f>35864.5+53058.5+35303.5+15734.5+12778.5+9687.5+8045+13953.5+10307+6140.75+1296+667+231+755+1970+2246+752.5+591.5+130+445+2051+750+1477+2060+1816+47+72+84+378+2301</f>
        <v>220993.25</v>
      </c>
      <c r="I147" s="59">
        <f>3971+5771+3969+2398+2257+2131+1634+2509+1783+912+230+126+48+181+472+311+114+91+20+78+493+183+365+462+452+9+24+28+94+494</f>
        <v>31610</v>
      </c>
      <c r="J147" s="5">
        <f>H147/I147</f>
        <v>6.991244859221765</v>
      </c>
      <c r="K147" s="70"/>
      <c r="L147" s="30"/>
      <c r="M147" s="31"/>
      <c r="N147" s="30"/>
    </row>
    <row r="148" spans="1:14" s="4" customFormat="1" ht="15">
      <c r="A148" s="79">
        <v>146</v>
      </c>
      <c r="B148" s="50" t="s">
        <v>333</v>
      </c>
      <c r="C148" s="2">
        <v>38634</v>
      </c>
      <c r="D148" s="10" t="s">
        <v>96</v>
      </c>
      <c r="E148" s="10" t="s">
        <v>334</v>
      </c>
      <c r="F148" s="11">
        <v>52</v>
      </c>
      <c r="G148" s="11">
        <v>6</v>
      </c>
      <c r="H148" s="58">
        <f>108013.25+68864+27976+10214+2402+2209</f>
        <v>219678.25</v>
      </c>
      <c r="I148" s="59">
        <f>12202+8144+4339+1841+481+460</f>
        <v>27467</v>
      </c>
      <c r="J148" s="21">
        <f>H148/I148</f>
        <v>7.9978974769723665</v>
      </c>
      <c r="K148" s="70">
        <v>1</v>
      </c>
      <c r="L148" s="30"/>
      <c r="M148" s="31"/>
      <c r="N148" s="30"/>
    </row>
    <row r="149" spans="1:14" s="4" customFormat="1" ht="15">
      <c r="A149" s="79">
        <v>147</v>
      </c>
      <c r="B149" s="50" t="s">
        <v>335</v>
      </c>
      <c r="C149" s="7">
        <v>38452</v>
      </c>
      <c r="D149" s="10" t="s">
        <v>318</v>
      </c>
      <c r="E149" s="10" t="s">
        <v>173</v>
      </c>
      <c r="F149" s="11">
        <v>21</v>
      </c>
      <c r="G149" s="11">
        <v>17</v>
      </c>
      <c r="H149" s="35">
        <v>217880</v>
      </c>
      <c r="I149" s="36">
        <v>25001</v>
      </c>
      <c r="J149" s="12">
        <f>+H149/I149</f>
        <v>8.714851405943762</v>
      </c>
      <c r="K149" s="70"/>
      <c r="L149" s="30"/>
      <c r="M149" s="31"/>
      <c r="N149" s="30"/>
    </row>
    <row r="150" spans="1:14" s="4" customFormat="1" ht="15">
      <c r="A150" s="79">
        <v>148</v>
      </c>
      <c r="B150" s="50" t="s">
        <v>336</v>
      </c>
      <c r="C150" s="7">
        <v>38452</v>
      </c>
      <c r="D150" s="1" t="s">
        <v>105</v>
      </c>
      <c r="E150" s="10" t="s">
        <v>337</v>
      </c>
      <c r="F150" s="11">
        <v>58</v>
      </c>
      <c r="G150" s="11">
        <v>17</v>
      </c>
      <c r="H150" s="35">
        <f>98586+53030.5+26630.5+22794.25+6969+1410+2571+0.5+202+493+182+248+210+234+242+528+227.5+837</f>
        <v>215395.25</v>
      </c>
      <c r="I150" s="36">
        <f>10552+5817+4286+3997+1311+179+561+43+115+39+52+42+52+56+79+19+96</f>
        <v>27296</v>
      </c>
      <c r="J150" s="12">
        <f>+H150/I150</f>
        <v>7.8910921014068</v>
      </c>
      <c r="K150" s="70"/>
      <c r="L150" s="30"/>
      <c r="M150" s="31"/>
      <c r="N150" s="30"/>
    </row>
    <row r="151" spans="1:11" ht="15">
      <c r="A151" s="79">
        <v>149</v>
      </c>
      <c r="B151" s="50" t="s">
        <v>338</v>
      </c>
      <c r="C151" s="7">
        <v>38375</v>
      </c>
      <c r="D151" s="10" t="s">
        <v>96</v>
      </c>
      <c r="E151" s="10" t="s">
        <v>339</v>
      </c>
      <c r="F151" s="11">
        <v>13</v>
      </c>
      <c r="G151" s="11">
        <v>23</v>
      </c>
      <c r="H151" s="35">
        <f>57133.5+23554+18557+9186+29743.5+13631.5+13446+7072+7029+8018.5+7220.5+2856.5+1828+102+3517+635+324+30+2146+1842+376+154+799</f>
        <v>209201</v>
      </c>
      <c r="I151" s="36">
        <f>5405+2651+2356+1389+3583+1713+1661+1216+1174+1324+1425+542+453+16+757+96+108+10+508+436+35+14+67</f>
        <v>26939</v>
      </c>
      <c r="J151" s="12">
        <f>H151/I151</f>
        <v>7.765729982553176</v>
      </c>
      <c r="K151" s="70">
        <v>1</v>
      </c>
    </row>
    <row r="152" spans="1:11" ht="15">
      <c r="A152" s="79">
        <v>150</v>
      </c>
      <c r="B152" s="51" t="s">
        <v>340</v>
      </c>
      <c r="C152" s="7">
        <v>38557</v>
      </c>
      <c r="D152" s="14" t="s">
        <v>96</v>
      </c>
      <c r="E152" s="14" t="s">
        <v>12</v>
      </c>
      <c r="F152" s="15">
        <v>15</v>
      </c>
      <c r="G152" s="15">
        <v>14</v>
      </c>
      <c r="H152" s="60">
        <f>45223.5+15125.5+13165.5+20680+19677+12272.5+9852.5+20545+23906.5+7791.5+6178.5+7170.5+720+414</f>
        <v>202722.5</v>
      </c>
      <c r="I152" s="36">
        <f>4304+2235+2006+3396+3048+1969+1588+2705+3867+1425+1136+1250+135+69</f>
        <v>29133</v>
      </c>
      <c r="J152" s="9">
        <f>H152/I152</f>
        <v>6.9585178320118075</v>
      </c>
      <c r="K152" s="70"/>
    </row>
    <row r="153" spans="1:11" ht="15">
      <c r="A153" s="79">
        <v>151</v>
      </c>
      <c r="B153" s="50" t="s">
        <v>341</v>
      </c>
      <c r="C153" s="7">
        <v>38361</v>
      </c>
      <c r="D153" s="13" t="s">
        <v>317</v>
      </c>
      <c r="E153" s="10" t="s">
        <v>342</v>
      </c>
      <c r="F153" s="11">
        <v>59</v>
      </c>
      <c r="G153" s="11">
        <v>10</v>
      </c>
      <c r="H153" s="35">
        <f>104780+59149-180+16774+8520+1676+104+1077+1190+1780+175</f>
        <v>195045</v>
      </c>
      <c r="I153" s="36">
        <f>11200+7168-39+2888+1488+293+16+150+340+330+24</f>
        <v>23858</v>
      </c>
      <c r="J153" s="12">
        <f>+H153/I153</f>
        <v>8.17524520077123</v>
      </c>
      <c r="K153" s="70"/>
    </row>
    <row r="154" spans="1:11" ht="15">
      <c r="A154" s="79">
        <v>152</v>
      </c>
      <c r="B154" s="50" t="s">
        <v>343</v>
      </c>
      <c r="C154" s="7">
        <v>38473</v>
      </c>
      <c r="D154" s="10" t="s">
        <v>96</v>
      </c>
      <c r="E154" s="10" t="s">
        <v>344</v>
      </c>
      <c r="F154" s="11">
        <v>10</v>
      </c>
      <c r="G154" s="11">
        <v>26</v>
      </c>
      <c r="H154" s="35">
        <f>33364+9411.25+6223+5254.25+7040.75+9205+8456.5+5846+7384.5+11524.5+6072+6007.5+4296+10473.5+8837+17888.5+8391.5+8505+5475+4349+2200+1124+973+1394.5+759</f>
        <v>190455.25</v>
      </c>
      <c r="I154" s="36">
        <f>3034+1189+1068+919+1228+1672+993+1006+1340+1668+942+1195+830+1577+1486+2513+1292+1365+901+725+353+213+178+221+98</f>
        <v>28006</v>
      </c>
      <c r="J154" s="12">
        <f>+H154/I154</f>
        <v>6.800515960865529</v>
      </c>
      <c r="K154" s="70"/>
    </row>
    <row r="155" spans="1:11" ht="15">
      <c r="A155" s="79">
        <v>153</v>
      </c>
      <c r="B155" s="51" t="s">
        <v>345</v>
      </c>
      <c r="C155" s="7">
        <v>38613</v>
      </c>
      <c r="D155" s="14" t="s">
        <v>96</v>
      </c>
      <c r="E155" s="14" t="s">
        <v>346</v>
      </c>
      <c r="F155" s="15">
        <v>30</v>
      </c>
      <c r="G155" s="15">
        <v>8</v>
      </c>
      <c r="H155" s="60">
        <f>119088.25+23049.75+14932+24950.5+1775+2000+2751+467</f>
        <v>189013.5</v>
      </c>
      <c r="I155" s="36">
        <f>10957+2278+2442+3682+296+383+547+89</f>
        <v>20674</v>
      </c>
      <c r="J155" s="9">
        <f>H155/I155</f>
        <v>9.142570378252879</v>
      </c>
      <c r="K155" s="70"/>
    </row>
    <row r="156" spans="1:11" ht="15">
      <c r="A156" s="79">
        <v>154</v>
      </c>
      <c r="B156" s="52" t="s">
        <v>347</v>
      </c>
      <c r="C156" s="2">
        <v>38585</v>
      </c>
      <c r="D156" s="10" t="s">
        <v>318</v>
      </c>
      <c r="E156" s="20" t="s">
        <v>56</v>
      </c>
      <c r="F156" s="4">
        <v>55</v>
      </c>
      <c r="G156" s="4">
        <v>10</v>
      </c>
      <c r="H156" s="35">
        <v>186650</v>
      </c>
      <c r="I156" s="36">
        <v>18839</v>
      </c>
      <c r="J156" s="17">
        <f>+H156/I156</f>
        <v>9.907638409682043</v>
      </c>
      <c r="K156" s="70"/>
    </row>
    <row r="157" spans="1:11" ht="15">
      <c r="A157" s="79">
        <v>155</v>
      </c>
      <c r="B157" s="51" t="s">
        <v>348</v>
      </c>
      <c r="C157" s="7">
        <v>38536</v>
      </c>
      <c r="D157" s="14" t="s">
        <v>349</v>
      </c>
      <c r="E157" s="14" t="s">
        <v>349</v>
      </c>
      <c r="F157" s="15" t="s">
        <v>350</v>
      </c>
      <c r="G157" s="15" t="s">
        <v>351</v>
      </c>
      <c r="H157" s="60">
        <f>179422+816</f>
        <v>180238</v>
      </c>
      <c r="I157" s="36">
        <f>25406+27+181</f>
        <v>25614</v>
      </c>
      <c r="J157" s="18">
        <f>+H157/I157</f>
        <v>7.036698680409152</v>
      </c>
      <c r="K157" s="70"/>
    </row>
    <row r="158" spans="1:11" ht="15">
      <c r="A158" s="79">
        <v>156</v>
      </c>
      <c r="B158" s="53" t="s">
        <v>352</v>
      </c>
      <c r="C158" s="7">
        <v>38613</v>
      </c>
      <c r="D158" s="19" t="s">
        <v>349</v>
      </c>
      <c r="E158" s="19" t="s">
        <v>349</v>
      </c>
      <c r="F158" s="23" t="s">
        <v>353</v>
      </c>
      <c r="G158" s="23" t="s">
        <v>354</v>
      </c>
      <c r="H158" s="63">
        <v>175013</v>
      </c>
      <c r="I158" s="64">
        <v>21627</v>
      </c>
      <c r="J158" s="9">
        <f>IF(H158&lt;&gt;0,H158/I158,"")</f>
        <v>8.092338280852639</v>
      </c>
      <c r="K158" s="70"/>
    </row>
    <row r="159" spans="1:11" ht="15">
      <c r="A159" s="79">
        <v>157</v>
      </c>
      <c r="B159" s="50" t="s">
        <v>355</v>
      </c>
      <c r="C159" s="7">
        <v>38480</v>
      </c>
      <c r="D159" s="1" t="s">
        <v>105</v>
      </c>
      <c r="E159" s="10" t="s">
        <v>337</v>
      </c>
      <c r="F159" s="11">
        <v>48</v>
      </c>
      <c r="G159" s="11">
        <v>20</v>
      </c>
      <c r="H159" s="35">
        <f>68037+32977.75+19751.5+19095.5+11245.5+8291+0.5+5025+0.5+3009+0.5+2257+1189.5+200+137+191+193+101+980+708+90+569.5+125</f>
        <v>174174.75</v>
      </c>
      <c r="I159" s="36">
        <f>7390+3921+2868+3420+2036+1430+866+478+340+162+26+17+25+25+13+148+129+12+58+25</f>
        <v>23389</v>
      </c>
      <c r="J159" s="12">
        <f>+H159/I159</f>
        <v>7.446866048142289</v>
      </c>
      <c r="K159" s="70"/>
    </row>
    <row r="160" spans="1:11" ht="15">
      <c r="A160" s="79">
        <v>158</v>
      </c>
      <c r="B160" s="50" t="s">
        <v>117</v>
      </c>
      <c r="C160" s="7">
        <v>38438</v>
      </c>
      <c r="D160" s="10" t="s">
        <v>96</v>
      </c>
      <c r="E160" s="10" t="s">
        <v>118</v>
      </c>
      <c r="F160" s="11">
        <v>20</v>
      </c>
      <c r="G160" s="11">
        <v>22</v>
      </c>
      <c r="H160" s="35">
        <f>81492+22862.5+13205.5+6103+2111+12431+2530+1890+2753+2052+6502+4582+2920+1014+467+521+802+2002+1178+2445+1342+936</f>
        <v>172141</v>
      </c>
      <c r="I160" s="36">
        <f>7841+2336+2082+903+428+1668+456+491+508+401+912+904+611+193+73+61+149+348+238+522+206+187</f>
        <v>21518</v>
      </c>
      <c r="J160" s="12">
        <f>H160/I160</f>
        <v>7.999860581838461</v>
      </c>
      <c r="K160" s="70"/>
    </row>
    <row r="161" spans="1:11" ht="15">
      <c r="A161" s="79">
        <v>159</v>
      </c>
      <c r="B161" s="50" t="s">
        <v>119</v>
      </c>
      <c r="C161" s="7">
        <v>38445</v>
      </c>
      <c r="D161" s="10" t="s">
        <v>96</v>
      </c>
      <c r="E161" s="10" t="s">
        <v>120</v>
      </c>
      <c r="F161" s="11">
        <v>20</v>
      </c>
      <c r="G161" s="11">
        <v>26</v>
      </c>
      <c r="H161" s="35">
        <f>42804+21823.5+16872+15644+14339+9086.5+5699.5+3037.5+5806+4257+3266+4447.5+2452.5+998+765+676+1097+1109+2787+4789.5+3523+1400+1521+1730+648+157</f>
        <v>170735.5</v>
      </c>
      <c r="I161" s="36">
        <f>4512+2464+2783+2745+2518+1539+1111+600+1038+659+553+793+456+190+108+168+202+194+548+953+682+301+265+311+99+21</f>
        <v>25813</v>
      </c>
      <c r="J161" s="12">
        <f>H161/I161</f>
        <v>6.614322240731415</v>
      </c>
      <c r="K161" s="70"/>
    </row>
    <row r="162" spans="1:11" ht="15">
      <c r="A162" s="79">
        <v>160</v>
      </c>
      <c r="B162" s="49" t="s">
        <v>121</v>
      </c>
      <c r="C162" s="7">
        <v>38648</v>
      </c>
      <c r="D162" s="1" t="s">
        <v>105</v>
      </c>
      <c r="E162" s="6" t="s">
        <v>321</v>
      </c>
      <c r="F162" s="8">
        <v>62</v>
      </c>
      <c r="G162" s="8">
        <v>5</v>
      </c>
      <c r="H162" s="60">
        <f>97823.75+40249.75+18532+5997+2408+0.5</f>
        <v>165011</v>
      </c>
      <c r="I162" s="36">
        <f>11428+6079+3391+1466+602</f>
        <v>22966</v>
      </c>
      <c r="J162" s="18">
        <f>+H162/I162</f>
        <v>7.1850126273621875</v>
      </c>
      <c r="K162" s="70">
        <v>1</v>
      </c>
    </row>
    <row r="163" spans="1:11" ht="15">
      <c r="A163" s="79">
        <v>161</v>
      </c>
      <c r="B163" s="50" t="s">
        <v>122</v>
      </c>
      <c r="C163" s="7">
        <v>38522</v>
      </c>
      <c r="D163" s="10" t="s">
        <v>96</v>
      </c>
      <c r="E163" s="10" t="s">
        <v>97</v>
      </c>
      <c r="F163" s="11">
        <v>25</v>
      </c>
      <c r="G163" s="11">
        <v>15</v>
      </c>
      <c r="H163" s="35">
        <f>35988+25834.5+20452+10883+7816+8362.5+11315.5+10053.5+5536+2993.5+4533+1172.5+10976+1028+224</f>
        <v>157168</v>
      </c>
      <c r="I163" s="36">
        <f>3783+2659+2949+1845+1497+1509+2090+1925+901+531+811+180+1565+159+30</f>
        <v>22434</v>
      </c>
      <c r="J163" s="12">
        <f>H163/I163</f>
        <v>7.005794775786752</v>
      </c>
      <c r="K163" s="70"/>
    </row>
    <row r="164" spans="1:11" ht="15">
      <c r="A164" s="79">
        <v>162</v>
      </c>
      <c r="B164" s="50" t="s">
        <v>123</v>
      </c>
      <c r="C164" s="7">
        <v>38529</v>
      </c>
      <c r="D164" s="10" t="s">
        <v>92</v>
      </c>
      <c r="E164" s="10" t="s">
        <v>54</v>
      </c>
      <c r="F164" s="11">
        <v>20</v>
      </c>
      <c r="G164" s="11">
        <v>15</v>
      </c>
      <c r="H164" s="35">
        <v>155765</v>
      </c>
      <c r="I164" s="36">
        <v>17730</v>
      </c>
      <c r="J164" s="12">
        <f>+H164/I164</f>
        <v>8.785391990975747</v>
      </c>
      <c r="K164" s="70"/>
    </row>
    <row r="165" spans="1:11" ht="15">
      <c r="A165" s="79">
        <v>163</v>
      </c>
      <c r="B165" s="33" t="s">
        <v>124</v>
      </c>
      <c r="C165" s="2">
        <v>38508</v>
      </c>
      <c r="D165" s="1" t="s">
        <v>96</v>
      </c>
      <c r="E165" s="1" t="s">
        <v>125</v>
      </c>
      <c r="F165" s="4">
        <v>15</v>
      </c>
      <c r="G165" s="4">
        <v>19</v>
      </c>
      <c r="H165" s="58">
        <f>27361.5+18405.5+7012.5+8036+10603+16152+7756.5+7135+10765.5+6678+5822+5417.5+7809+7540.5+3431.5+523+842+1780+1780</f>
        <v>154851</v>
      </c>
      <c r="I165" s="59">
        <f>2528+1825+961+1326+1574+2229+1260+1363+1702+1118+909+720+1275+909+371+69+135+445+445</f>
        <v>21164</v>
      </c>
      <c r="J165" s="5">
        <f>H165/I165</f>
        <v>7.316717066717067</v>
      </c>
      <c r="K165" s="70"/>
    </row>
    <row r="166" spans="1:11" ht="15">
      <c r="A166" s="79">
        <v>164</v>
      </c>
      <c r="B166" s="33" t="s">
        <v>126</v>
      </c>
      <c r="C166" s="2">
        <v>38508</v>
      </c>
      <c r="D166" s="1" t="s">
        <v>96</v>
      </c>
      <c r="E166" s="1" t="s">
        <v>346</v>
      </c>
      <c r="F166" s="4">
        <v>20</v>
      </c>
      <c r="G166" s="4">
        <v>19</v>
      </c>
      <c r="H166" s="58">
        <f>63821.75+29583.75+16102.25+8771.25+5888+8492.5+1761+3162+5226+2267+1186.5+1122.5+1305+832+660+301+151+1780+1780</f>
        <v>154193.5</v>
      </c>
      <c r="I166" s="59">
        <f>6069+3045+2422+1546+1020+1313+402+594+954+378+185+151+256+78+122+64+34+445+445</f>
        <v>19523</v>
      </c>
      <c r="J166" s="5">
        <f>H166/I166</f>
        <v>7.898043333504072</v>
      </c>
      <c r="K166" s="70"/>
    </row>
    <row r="167" spans="1:11" ht="15">
      <c r="A167" s="79">
        <v>165</v>
      </c>
      <c r="B167" s="50" t="s">
        <v>127</v>
      </c>
      <c r="C167" s="7">
        <v>38417</v>
      </c>
      <c r="D167" s="10" t="s">
        <v>96</v>
      </c>
      <c r="E167" s="10" t="s">
        <v>128</v>
      </c>
      <c r="F167" s="11">
        <v>23</v>
      </c>
      <c r="G167" s="11">
        <v>23</v>
      </c>
      <c r="H167" s="35">
        <f>53374.5+21232.5+15713+17154+11858.5+7161+6552+3862+3628+1527+122+233.5+60+236+80+64+431+405+540+256+514+4296+117</f>
        <v>149417</v>
      </c>
      <c r="I167" s="36">
        <f>6646+2890+2666+3061+2083+1483+1285+676+775+318+20+74+20+45+16+15+90+66+87+42+72+1011+21</f>
        <v>23462</v>
      </c>
      <c r="J167" s="12">
        <f>H167/I167</f>
        <v>6.368468161282073</v>
      </c>
      <c r="K167" s="70">
        <v>1</v>
      </c>
    </row>
    <row r="168" spans="1:11" ht="15">
      <c r="A168" s="79">
        <v>166</v>
      </c>
      <c r="B168" s="50" t="s">
        <v>129</v>
      </c>
      <c r="C168" s="7">
        <v>38354</v>
      </c>
      <c r="D168" s="1" t="s">
        <v>105</v>
      </c>
      <c r="E168" s="10" t="s">
        <v>337</v>
      </c>
      <c r="F168" s="11">
        <v>26</v>
      </c>
      <c r="G168" s="11">
        <v>18</v>
      </c>
      <c r="H168" s="35">
        <f>73862+20664+15776+8085+9922+10832+112+464+968+2909+2298+0.5+104+234+234+288+720+972+834</f>
        <v>149278.5</v>
      </c>
      <c r="I168" s="36">
        <f>7639+2334+2407+1475+1749+1781+22+65+145+411+556+15+36+39+48+115+111+89</f>
        <v>19037</v>
      </c>
      <c r="J168" s="12">
        <f>+H168/I168</f>
        <v>7.841492882281872</v>
      </c>
      <c r="K168" s="70"/>
    </row>
    <row r="169" spans="1:11" ht="15">
      <c r="A169" s="79">
        <v>167</v>
      </c>
      <c r="B169" s="49" t="s">
        <v>130</v>
      </c>
      <c r="C169" s="7">
        <v>38627</v>
      </c>
      <c r="D169" s="6" t="s">
        <v>89</v>
      </c>
      <c r="E169" s="6" t="s">
        <v>131</v>
      </c>
      <c r="F169" s="8">
        <v>55</v>
      </c>
      <c r="G169" s="8">
        <v>9</v>
      </c>
      <c r="H169" s="60">
        <v>147251</v>
      </c>
      <c r="I169" s="36">
        <v>18159</v>
      </c>
      <c r="J169" s="9">
        <f>IF(H169&lt;&gt;0,H169/I169,"")</f>
        <v>8.108981772124016</v>
      </c>
      <c r="K169" s="70">
        <v>1</v>
      </c>
    </row>
    <row r="170" spans="1:11" ht="15">
      <c r="A170" s="79">
        <v>168</v>
      </c>
      <c r="B170" s="33" t="s">
        <v>132</v>
      </c>
      <c r="C170" s="2">
        <v>38529</v>
      </c>
      <c r="D170" s="1" t="s">
        <v>96</v>
      </c>
      <c r="E170" s="1" t="s">
        <v>12</v>
      </c>
      <c r="F170" s="4">
        <v>10</v>
      </c>
      <c r="G170" s="4">
        <v>21</v>
      </c>
      <c r="H170" s="58">
        <f>14867.25+9246+13679+8343+8450+11513+8265+6491+6221+11071.5+10480.5+14750.5+9437.5+5098.5+3425+3198+1045+679+256+416+200</f>
        <v>147132.75</v>
      </c>
      <c r="I170" s="59">
        <f>1843+1186+1532+1421+1482+1875+1461+1056+1040+1599+1597+2111+1730+929+727+554+167+97+35+52+25</f>
        <v>22519</v>
      </c>
      <c r="J170" s="5">
        <f>H170/I170</f>
        <v>6.533715973178205</v>
      </c>
      <c r="K170" s="70"/>
    </row>
    <row r="171" spans="1:11" ht="15">
      <c r="A171" s="79">
        <v>169</v>
      </c>
      <c r="B171" s="50" t="s">
        <v>133</v>
      </c>
      <c r="C171" s="7">
        <v>38501</v>
      </c>
      <c r="D171" s="10" t="s">
        <v>89</v>
      </c>
      <c r="E171" s="10" t="s">
        <v>223</v>
      </c>
      <c r="F171" s="11">
        <v>10</v>
      </c>
      <c r="G171" s="11">
        <v>16</v>
      </c>
      <c r="H171" s="35">
        <v>144825.25</v>
      </c>
      <c r="I171" s="36">
        <v>16024</v>
      </c>
      <c r="J171" s="12">
        <f>+H171/I171</f>
        <v>9.03802109335996</v>
      </c>
      <c r="K171" s="70"/>
    </row>
    <row r="172" spans="1:11" ht="15">
      <c r="A172" s="79">
        <v>170</v>
      </c>
      <c r="B172" s="33" t="s">
        <v>134</v>
      </c>
      <c r="C172" s="2">
        <v>38655</v>
      </c>
      <c r="D172" s="1" t="s">
        <v>337</v>
      </c>
      <c r="E172" s="1" t="s">
        <v>337</v>
      </c>
      <c r="F172" s="4">
        <v>24</v>
      </c>
      <c r="G172" s="4">
        <v>7</v>
      </c>
      <c r="H172" s="35">
        <f>87403.25+34862.75+15508.5+2797+944+915+1620</f>
        <v>144050.5</v>
      </c>
      <c r="I172" s="36">
        <f>14575+405</f>
        <v>14980</v>
      </c>
      <c r="J172" s="24">
        <f>+H172/I172</f>
        <v>9.616188251001335</v>
      </c>
      <c r="K172" s="70"/>
    </row>
    <row r="173" spans="1:11" ht="15">
      <c r="A173" s="79">
        <v>171</v>
      </c>
      <c r="B173" s="33" t="s">
        <v>135</v>
      </c>
      <c r="C173" s="2">
        <v>38648</v>
      </c>
      <c r="D173" s="1" t="s">
        <v>92</v>
      </c>
      <c r="E173" s="1" t="s">
        <v>54</v>
      </c>
      <c r="F173" s="4">
        <v>27</v>
      </c>
      <c r="G173" s="4">
        <v>5</v>
      </c>
      <c r="H173" s="58">
        <v>142439</v>
      </c>
      <c r="I173" s="59">
        <v>11716</v>
      </c>
      <c r="J173" s="5">
        <f>+H173/I173</f>
        <v>12.157647661317856</v>
      </c>
      <c r="K173" s="70"/>
    </row>
    <row r="174" spans="1:11" ht="15">
      <c r="A174" s="79">
        <v>172</v>
      </c>
      <c r="B174" s="50" t="s">
        <v>136</v>
      </c>
      <c r="C174" s="7">
        <v>38494</v>
      </c>
      <c r="D174" s="1" t="s">
        <v>245</v>
      </c>
      <c r="E174" s="10" t="s">
        <v>137</v>
      </c>
      <c r="F174" s="11">
        <v>71</v>
      </c>
      <c r="G174" s="11">
        <v>18</v>
      </c>
      <c r="H174" s="35">
        <v>136213</v>
      </c>
      <c r="I174" s="36">
        <v>20091</v>
      </c>
      <c r="J174" s="12">
        <f>H174/I174</f>
        <v>6.779801901348863</v>
      </c>
      <c r="K174" s="70">
        <v>1</v>
      </c>
    </row>
    <row r="175" spans="1:11" ht="15">
      <c r="A175" s="79">
        <v>173</v>
      </c>
      <c r="B175" s="50" t="s">
        <v>138</v>
      </c>
      <c r="C175" s="7">
        <v>38543</v>
      </c>
      <c r="D175" s="10" t="s">
        <v>96</v>
      </c>
      <c r="E175" s="10" t="s">
        <v>168</v>
      </c>
      <c r="F175" s="11">
        <v>20</v>
      </c>
      <c r="G175" s="11">
        <v>14</v>
      </c>
      <c r="H175" s="35">
        <f>27239+16683+9866+18646.5+11021.5+18905.5+11305+6948.5+5971.5+3862.5+1777+1145+520+193</f>
        <v>134084</v>
      </c>
      <c r="I175" s="36">
        <f>2632+2092+1344+2829+1912+3115+1963+1173+1001+690+304+193+74+27</f>
        <v>19349</v>
      </c>
      <c r="J175" s="12">
        <f>+H175/I175</f>
        <v>6.929763812083312</v>
      </c>
      <c r="K175" s="70"/>
    </row>
    <row r="176" spans="1:11" ht="15">
      <c r="A176" s="79">
        <v>174</v>
      </c>
      <c r="B176" s="50" t="s">
        <v>139</v>
      </c>
      <c r="C176" s="7">
        <v>38494</v>
      </c>
      <c r="D176" s="10" t="s">
        <v>308</v>
      </c>
      <c r="E176" s="10" t="s">
        <v>140</v>
      </c>
      <c r="F176" s="11" t="s">
        <v>141</v>
      </c>
      <c r="G176" s="11" t="s">
        <v>142</v>
      </c>
      <c r="H176" s="35">
        <v>132759.5</v>
      </c>
      <c r="I176" s="36">
        <v>19471</v>
      </c>
      <c r="J176" s="12">
        <f>+H176/I176</f>
        <v>6.818319552154486</v>
      </c>
      <c r="K176" s="70"/>
    </row>
    <row r="177" spans="1:11" ht="15">
      <c r="A177" s="79">
        <v>175</v>
      </c>
      <c r="B177" s="50" t="s">
        <v>143</v>
      </c>
      <c r="C177" s="7">
        <v>38431</v>
      </c>
      <c r="D177" s="10" t="s">
        <v>96</v>
      </c>
      <c r="E177" s="10" t="s">
        <v>144</v>
      </c>
      <c r="F177" s="11">
        <v>18</v>
      </c>
      <c r="G177" s="11">
        <v>20</v>
      </c>
      <c r="H177" s="35">
        <f>64124.5+26275.5+7311.5+8465.5+2566+5722+4034.5+396+299+1539.5+3187.5+921+1895.5+2018.25+644+960+428+376+376+727</f>
        <v>132267.25</v>
      </c>
      <c r="I177" s="36">
        <f>5704+2336+995+1347+675+1131+1039+72+56+218+681+173+316+477+72+113+48+41+79+133</f>
        <v>15706</v>
      </c>
      <c r="J177" s="12">
        <f>H177/I177</f>
        <v>8.421447217623838</v>
      </c>
      <c r="K177" s="70"/>
    </row>
    <row r="178" spans="1:11" ht="15">
      <c r="A178" s="79">
        <v>176</v>
      </c>
      <c r="B178" s="50" t="s">
        <v>145</v>
      </c>
      <c r="C178" s="7">
        <v>38354</v>
      </c>
      <c r="D178" s="10" t="s">
        <v>96</v>
      </c>
      <c r="E178" s="10" t="s">
        <v>146</v>
      </c>
      <c r="F178" s="11">
        <v>1</v>
      </c>
      <c r="G178" s="11">
        <v>16</v>
      </c>
      <c r="H178" s="35">
        <f>95365.5+19593.5+3155+849+1502+1716+1068+1873+1534+803+792+1418.5+392+156+1236+145</f>
        <v>131598.5</v>
      </c>
      <c r="I178" s="36">
        <f>9915+2232+541+157+246+408+264+355+235+213+137+243+82+30+123+25</f>
        <v>15206</v>
      </c>
      <c r="J178" s="12">
        <f>H178/I178</f>
        <v>8.654379850059188</v>
      </c>
      <c r="K178" s="70"/>
    </row>
    <row r="179" spans="1:11" ht="15">
      <c r="A179" s="79">
        <v>177</v>
      </c>
      <c r="B179" s="50" t="s">
        <v>147</v>
      </c>
      <c r="C179" s="7">
        <v>38515</v>
      </c>
      <c r="D179" s="10" t="s">
        <v>92</v>
      </c>
      <c r="E179" s="10" t="s">
        <v>148</v>
      </c>
      <c r="F179" s="11">
        <v>4</v>
      </c>
      <c r="G179" s="11">
        <v>19</v>
      </c>
      <c r="H179" s="35">
        <v>130758</v>
      </c>
      <c r="I179" s="36">
        <v>13985</v>
      </c>
      <c r="J179" s="12">
        <f>+H179/I179</f>
        <v>9.349874865927779</v>
      </c>
      <c r="K179" s="70"/>
    </row>
    <row r="180" spans="1:11" ht="15">
      <c r="A180" s="79">
        <v>178</v>
      </c>
      <c r="B180" s="52" t="s">
        <v>149</v>
      </c>
      <c r="C180" s="2">
        <v>38697</v>
      </c>
      <c r="D180" s="10" t="s">
        <v>318</v>
      </c>
      <c r="E180" s="20" t="s">
        <v>150</v>
      </c>
      <c r="F180" s="4">
        <v>130</v>
      </c>
      <c r="G180" s="4">
        <v>2</v>
      </c>
      <c r="H180" s="35">
        <v>126870</v>
      </c>
      <c r="I180" s="36">
        <v>14550</v>
      </c>
      <c r="J180" s="17">
        <f>+H180/I180</f>
        <v>8.719587628865979</v>
      </c>
      <c r="K180" s="70">
        <v>1</v>
      </c>
    </row>
    <row r="181" spans="1:11" ht="15">
      <c r="A181" s="79">
        <v>179</v>
      </c>
      <c r="B181" s="50" t="s">
        <v>151</v>
      </c>
      <c r="C181" s="7">
        <v>38592</v>
      </c>
      <c r="D181" s="10" t="s">
        <v>96</v>
      </c>
      <c r="E181" s="10" t="s">
        <v>322</v>
      </c>
      <c r="F181" s="11">
        <v>14</v>
      </c>
      <c r="G181" s="11">
        <v>8</v>
      </c>
      <c r="H181" s="35">
        <f>46744+27773.5+29652+15092+1850+3126+1717.5+468</f>
        <v>126423</v>
      </c>
      <c r="I181" s="36">
        <f>3724+2772+2752+1903+308+472+380+135</f>
        <v>12446</v>
      </c>
      <c r="J181" s="12">
        <f>+H181/I181</f>
        <v>10.157721356259039</v>
      </c>
      <c r="K181" s="70"/>
    </row>
    <row r="182" spans="1:11" ht="15">
      <c r="A182" s="79">
        <v>180</v>
      </c>
      <c r="B182" s="50" t="s">
        <v>152</v>
      </c>
      <c r="C182" s="7">
        <v>38473</v>
      </c>
      <c r="D182" s="1" t="s">
        <v>245</v>
      </c>
      <c r="E182" s="10" t="s">
        <v>153</v>
      </c>
      <c r="F182" s="11">
        <v>41</v>
      </c>
      <c r="G182" s="11">
        <v>17</v>
      </c>
      <c r="H182" s="35">
        <v>125851</v>
      </c>
      <c r="I182" s="36">
        <v>21182</v>
      </c>
      <c r="J182" s="12">
        <f>+H182/I182</f>
        <v>5.941412520064206</v>
      </c>
      <c r="K182" s="70">
        <v>1</v>
      </c>
    </row>
    <row r="183" spans="1:11" ht="15">
      <c r="A183" s="79">
        <v>181</v>
      </c>
      <c r="B183" s="49" t="s">
        <v>154</v>
      </c>
      <c r="C183" s="7">
        <v>38704</v>
      </c>
      <c r="D183" s="13" t="s">
        <v>317</v>
      </c>
      <c r="E183" s="6" t="s">
        <v>155</v>
      </c>
      <c r="F183" s="8">
        <v>36</v>
      </c>
      <c r="G183" s="8">
        <v>2</v>
      </c>
      <c r="H183" s="58">
        <f>85102+33545</f>
        <v>118647</v>
      </c>
      <c r="I183" s="59">
        <f>8862+4042</f>
        <v>12904</v>
      </c>
      <c r="J183" s="5">
        <f>+H183/I183</f>
        <v>9.194590824550527</v>
      </c>
      <c r="K183" s="70">
        <v>1</v>
      </c>
    </row>
    <row r="184" spans="1:11" ht="15">
      <c r="A184" s="79">
        <v>182</v>
      </c>
      <c r="B184" s="50" t="s">
        <v>156</v>
      </c>
      <c r="C184" s="7">
        <v>38480</v>
      </c>
      <c r="D184" s="10" t="s">
        <v>89</v>
      </c>
      <c r="E184" s="14" t="s">
        <v>346</v>
      </c>
      <c r="F184" s="11">
        <v>3</v>
      </c>
      <c r="G184" s="11">
        <v>14</v>
      </c>
      <c r="H184" s="35">
        <v>118236.25</v>
      </c>
      <c r="I184" s="36">
        <v>11870</v>
      </c>
      <c r="J184" s="12">
        <v>9.960930918281381</v>
      </c>
      <c r="K184" s="70"/>
    </row>
    <row r="185" spans="1:11" ht="15">
      <c r="A185" s="79">
        <v>183</v>
      </c>
      <c r="B185" s="50" t="s">
        <v>157</v>
      </c>
      <c r="C185" s="7">
        <v>38375</v>
      </c>
      <c r="D185" s="10" t="s">
        <v>92</v>
      </c>
      <c r="E185" s="10" t="s">
        <v>54</v>
      </c>
      <c r="F185" s="11">
        <v>30</v>
      </c>
      <c r="G185" s="11">
        <v>28</v>
      </c>
      <c r="H185" s="35">
        <v>116275</v>
      </c>
      <c r="I185" s="36">
        <v>11828</v>
      </c>
      <c r="J185" s="12">
        <f>+H185/I185</f>
        <v>9.830486980047345</v>
      </c>
      <c r="K185" s="70"/>
    </row>
    <row r="186" spans="1:11" ht="15">
      <c r="A186" s="79">
        <v>184</v>
      </c>
      <c r="B186" s="50" t="s">
        <v>158</v>
      </c>
      <c r="C186" s="7">
        <v>38515</v>
      </c>
      <c r="D186" s="10" t="s">
        <v>89</v>
      </c>
      <c r="E186" s="10" t="s">
        <v>223</v>
      </c>
      <c r="F186" s="11">
        <v>20</v>
      </c>
      <c r="G186" s="11">
        <v>17</v>
      </c>
      <c r="H186" s="35">
        <v>112879.75</v>
      </c>
      <c r="I186" s="36">
        <v>14607</v>
      </c>
      <c r="J186" s="12">
        <f>+H186/I186</f>
        <v>7.727784623810502</v>
      </c>
      <c r="K186" s="70"/>
    </row>
    <row r="187" spans="1:11" ht="15">
      <c r="A187" s="79">
        <v>185</v>
      </c>
      <c r="B187" s="33" t="s">
        <v>159</v>
      </c>
      <c r="C187" s="2">
        <v>38585</v>
      </c>
      <c r="D187" s="1" t="s">
        <v>96</v>
      </c>
      <c r="E187" s="1" t="s">
        <v>125</v>
      </c>
      <c r="F187" s="4">
        <v>5</v>
      </c>
      <c r="G187" s="4">
        <v>15</v>
      </c>
      <c r="H187" s="58">
        <f>29266.75+13116.25+9279.25+8463+18147.5+3121+4110+6763+926+5173.5+9461.5+192+486+2002+382</f>
        <v>110889.75</v>
      </c>
      <c r="I187" s="59">
        <f>2425+1257+1223+1013+2360+455+662+1253+138+745+1554+44+79+353+69</f>
        <v>13630</v>
      </c>
      <c r="J187" s="5">
        <f>H187/I187</f>
        <v>8.135711665443873</v>
      </c>
      <c r="K187" s="70"/>
    </row>
    <row r="188" spans="1:11" ht="15">
      <c r="A188" s="79">
        <v>186</v>
      </c>
      <c r="B188" s="54" t="s">
        <v>160</v>
      </c>
      <c r="C188" s="2">
        <v>38690</v>
      </c>
      <c r="D188" s="1" t="s">
        <v>96</v>
      </c>
      <c r="E188" s="1" t="s">
        <v>322</v>
      </c>
      <c r="F188" s="4">
        <v>8</v>
      </c>
      <c r="G188" s="4">
        <v>4</v>
      </c>
      <c r="H188" s="58">
        <f>69195.5+29540+2797+8009</f>
        <v>109541.5</v>
      </c>
      <c r="I188" s="59">
        <f>5170+2208+292+904</f>
        <v>8574</v>
      </c>
      <c r="J188" s="5">
        <f>H188/I188</f>
        <v>12.776008864007464</v>
      </c>
      <c r="K188" s="70"/>
    </row>
    <row r="189" spans="1:11" ht="15">
      <c r="A189" s="79">
        <v>187</v>
      </c>
      <c r="B189" s="33" t="s">
        <v>161</v>
      </c>
      <c r="C189" s="2">
        <v>38669</v>
      </c>
      <c r="D189" s="1" t="s">
        <v>96</v>
      </c>
      <c r="E189" s="1" t="s">
        <v>399</v>
      </c>
      <c r="F189" s="4">
        <v>13</v>
      </c>
      <c r="G189" s="4">
        <v>7</v>
      </c>
      <c r="H189" s="58">
        <f>61012+24426+6122+10040+4081+228+2698</f>
        <v>108607</v>
      </c>
      <c r="I189" s="59">
        <f>5982+2401+678+1620+879+42+433</f>
        <v>12035</v>
      </c>
      <c r="J189" s="5">
        <f>H189/I189</f>
        <v>9.024262567511425</v>
      </c>
      <c r="K189" s="70">
        <v>1</v>
      </c>
    </row>
    <row r="190" spans="1:11" ht="15">
      <c r="A190" s="79">
        <v>188</v>
      </c>
      <c r="B190" s="50" t="s">
        <v>400</v>
      </c>
      <c r="C190" s="7">
        <v>38466</v>
      </c>
      <c r="D190" s="1" t="s">
        <v>105</v>
      </c>
      <c r="E190" s="10" t="s">
        <v>337</v>
      </c>
      <c r="F190" s="11">
        <v>25</v>
      </c>
      <c r="G190" s="11">
        <v>16</v>
      </c>
      <c r="H190" s="35">
        <f>56555+24451+8835+0.5+4851+3342+0.5+5835+0.5+411+60+75+100+90+210+370+306+289+672.5</f>
        <v>106454</v>
      </c>
      <c r="I190" s="36">
        <f>5543+2474+1355+829+588+1142+85+12+15+20+18+42+59+47+46+60</f>
        <v>12335</v>
      </c>
      <c r="J190" s="12">
        <f>+H190/I190</f>
        <v>8.630239156870694</v>
      </c>
      <c r="K190" s="70"/>
    </row>
    <row r="191" spans="1:11" ht="15">
      <c r="A191" s="79">
        <v>189</v>
      </c>
      <c r="B191" s="51" t="s">
        <v>401</v>
      </c>
      <c r="C191" s="7">
        <v>38620</v>
      </c>
      <c r="D191" s="1" t="s">
        <v>105</v>
      </c>
      <c r="E191" s="14" t="s">
        <v>324</v>
      </c>
      <c r="F191" s="15">
        <v>30</v>
      </c>
      <c r="G191" s="15">
        <v>6</v>
      </c>
      <c r="H191" s="60">
        <f>50711+18333.5+14353+10919.5+8557+2209</f>
        <v>105083</v>
      </c>
      <c r="I191" s="36">
        <f>4935+2128+2028+1794+1673+548</f>
        <v>13106</v>
      </c>
      <c r="J191" s="9">
        <f>+H191/I191</f>
        <v>8.01793071875477</v>
      </c>
      <c r="K191" s="70">
        <v>1</v>
      </c>
    </row>
    <row r="192" spans="1:11" ht="15">
      <c r="A192" s="79">
        <v>190</v>
      </c>
      <c r="B192" s="50" t="s">
        <v>402</v>
      </c>
      <c r="C192" s="2">
        <v>38613</v>
      </c>
      <c r="D192" s="1" t="s">
        <v>245</v>
      </c>
      <c r="E192" s="10" t="s">
        <v>403</v>
      </c>
      <c r="F192" s="11">
        <v>45</v>
      </c>
      <c r="G192" s="11">
        <v>6</v>
      </c>
      <c r="H192" s="35">
        <v>100671.25</v>
      </c>
      <c r="I192" s="36">
        <v>15485</v>
      </c>
      <c r="J192" s="12">
        <f>H192/I192</f>
        <v>6.501210849208912</v>
      </c>
      <c r="K192" s="70">
        <v>1</v>
      </c>
    </row>
    <row r="193" spans="1:11" ht="15">
      <c r="A193" s="79">
        <v>191</v>
      </c>
      <c r="B193" s="49" t="s">
        <v>404</v>
      </c>
      <c r="C193" s="7">
        <v>38480</v>
      </c>
      <c r="D193" s="6" t="s">
        <v>96</v>
      </c>
      <c r="E193" s="6" t="s">
        <v>405</v>
      </c>
      <c r="F193" s="8">
        <v>26</v>
      </c>
      <c r="G193" s="8">
        <v>20</v>
      </c>
      <c r="H193" s="60">
        <f>36482.75+16583.5+5922.75+3249+4769+4925+4199.5+5525+366+924+414+2215+2444+33+1987+838+1440+537+604+3792+2376</f>
        <v>99626.5</v>
      </c>
      <c r="I193" s="36">
        <f>4495+1934+744+517+1003+1215+722+968+65+193+83+369+384+5+336+159+238+83+151+948+594</f>
        <v>15206</v>
      </c>
      <c r="J193" s="18">
        <f>+H193/I193</f>
        <v>6.55178876759174</v>
      </c>
      <c r="K193" s="70">
        <v>1</v>
      </c>
    </row>
    <row r="194" spans="1:11" ht="15">
      <c r="A194" s="79">
        <v>192</v>
      </c>
      <c r="B194" s="54" t="s">
        <v>406</v>
      </c>
      <c r="C194" s="7">
        <v>38697</v>
      </c>
      <c r="D194" s="19" t="s">
        <v>349</v>
      </c>
      <c r="E194" s="19" t="s">
        <v>407</v>
      </c>
      <c r="F194" s="23" t="s">
        <v>350</v>
      </c>
      <c r="G194" s="23" t="s">
        <v>408</v>
      </c>
      <c r="H194" s="63">
        <v>94610</v>
      </c>
      <c r="I194" s="64">
        <v>8003</v>
      </c>
      <c r="J194" s="9">
        <f>IF(H194&lt;&gt;0,H194/I194,"")</f>
        <v>11.82181681869299</v>
      </c>
      <c r="K194" s="70"/>
    </row>
    <row r="195" spans="1:11" ht="15">
      <c r="A195" s="79">
        <v>193</v>
      </c>
      <c r="B195" s="50" t="s">
        <v>409</v>
      </c>
      <c r="C195" s="7">
        <v>38515</v>
      </c>
      <c r="D195" s="10" t="s">
        <v>92</v>
      </c>
      <c r="E195" s="10" t="s">
        <v>410</v>
      </c>
      <c r="F195" s="11">
        <v>32</v>
      </c>
      <c r="G195" s="11">
        <v>16</v>
      </c>
      <c r="H195" s="35">
        <v>87634</v>
      </c>
      <c r="I195" s="36">
        <v>12554</v>
      </c>
      <c r="J195" s="12">
        <f>+H195/I195</f>
        <v>6.980563963676916</v>
      </c>
      <c r="K195" s="70"/>
    </row>
    <row r="196" spans="1:11" ht="15">
      <c r="A196" s="79">
        <v>194</v>
      </c>
      <c r="B196" s="55" t="s">
        <v>411</v>
      </c>
      <c r="C196" s="2">
        <v>38445</v>
      </c>
      <c r="D196" s="10" t="s">
        <v>318</v>
      </c>
      <c r="E196" s="10" t="s">
        <v>412</v>
      </c>
      <c r="F196" s="11">
        <v>51</v>
      </c>
      <c r="G196" s="11">
        <v>10</v>
      </c>
      <c r="H196" s="35">
        <v>84743</v>
      </c>
      <c r="I196" s="36">
        <v>11286</v>
      </c>
      <c r="J196" s="12">
        <f>+H196/I196</f>
        <v>7.508683324472798</v>
      </c>
      <c r="K196" s="70">
        <v>1</v>
      </c>
    </row>
    <row r="197" spans="1:11" ht="15">
      <c r="A197" s="79">
        <v>195</v>
      </c>
      <c r="B197" s="54" t="s">
        <v>413</v>
      </c>
      <c r="C197" s="2">
        <v>38536</v>
      </c>
      <c r="D197" s="1" t="s">
        <v>96</v>
      </c>
      <c r="E197" s="1" t="s">
        <v>414</v>
      </c>
      <c r="F197" s="4">
        <v>5</v>
      </c>
      <c r="G197" s="4">
        <v>20</v>
      </c>
      <c r="H197" s="58">
        <f>18914.5+7321+4028.5+1674+6130+4818.5+6984.5+5012.5+1695+4556+3587.5+1286+2931+2868+2878.5+3369+1780+1780+162+63</f>
        <v>81839.5</v>
      </c>
      <c r="I197" s="59">
        <f>1467+674+673+324+645+765+779+620+311+670+508+195+503+424+502+755+445+445+35+21</f>
        <v>10761</v>
      </c>
      <c r="J197" s="5">
        <f>H197/I197</f>
        <v>7.6051946845088745</v>
      </c>
      <c r="K197" s="70"/>
    </row>
    <row r="198" spans="1:11" ht="15">
      <c r="A198" s="79">
        <v>196</v>
      </c>
      <c r="B198" s="50" t="s">
        <v>415</v>
      </c>
      <c r="C198" s="2">
        <v>38564</v>
      </c>
      <c r="D198" s="10" t="s">
        <v>96</v>
      </c>
      <c r="E198" s="10" t="s">
        <v>416</v>
      </c>
      <c r="F198" s="11">
        <v>10</v>
      </c>
      <c r="G198" s="11">
        <v>14</v>
      </c>
      <c r="H198" s="58">
        <f>23895.25+11405+12713+6215.5+4805.5+6620.5+4577+3503+2191.5+1974.5+1154+2020+93+49</f>
        <v>81216.75</v>
      </c>
      <c r="I198" s="59">
        <f>2018+1197+1759+913+733+992+787+551+380+332+211+505+20+11</f>
        <v>10409</v>
      </c>
      <c r="J198" s="21">
        <f>H198/I198</f>
        <v>7.802550677298492</v>
      </c>
      <c r="K198" s="70"/>
    </row>
    <row r="199" spans="1:11" ht="15">
      <c r="A199" s="79">
        <v>197</v>
      </c>
      <c r="B199" s="49" t="s">
        <v>417</v>
      </c>
      <c r="C199" s="7">
        <v>38711</v>
      </c>
      <c r="D199" s="13" t="s">
        <v>317</v>
      </c>
      <c r="E199" s="10" t="s">
        <v>109</v>
      </c>
      <c r="F199" s="8">
        <v>40</v>
      </c>
      <c r="G199" s="8">
        <v>1</v>
      </c>
      <c r="H199" s="58">
        <v>74576</v>
      </c>
      <c r="I199" s="59">
        <v>7330</v>
      </c>
      <c r="J199" s="5">
        <f>+H199/I199</f>
        <v>10.174079126875853</v>
      </c>
      <c r="K199" s="70"/>
    </row>
    <row r="200" spans="1:11" ht="15">
      <c r="A200" s="79">
        <v>198</v>
      </c>
      <c r="B200" s="50" t="s">
        <v>418</v>
      </c>
      <c r="C200" s="7">
        <v>38438</v>
      </c>
      <c r="D200" s="10" t="s">
        <v>96</v>
      </c>
      <c r="E200" s="10" t="s">
        <v>419</v>
      </c>
      <c r="F200" s="11">
        <v>16</v>
      </c>
      <c r="G200" s="11">
        <v>18</v>
      </c>
      <c r="H200" s="35">
        <f>31480+15536+8716+2149+2897+1360+2390+1251+322+381+329+492+928+436+1103+1913+46+240</f>
        <v>71969</v>
      </c>
      <c r="I200" s="36">
        <f>3450+1778+1361+440+508+248+548+290+68+72+58+96+96+70+137+309+9+48</f>
        <v>9586</v>
      </c>
      <c r="J200" s="12">
        <f>H200/I200</f>
        <v>7.507719591070311</v>
      </c>
      <c r="K200" s="70">
        <v>1</v>
      </c>
    </row>
    <row r="201" spans="1:11" ht="15">
      <c r="A201" s="79">
        <v>199</v>
      </c>
      <c r="B201" s="51" t="s">
        <v>420</v>
      </c>
      <c r="C201" s="7">
        <v>38578</v>
      </c>
      <c r="D201" s="14" t="s">
        <v>96</v>
      </c>
      <c r="E201" s="14" t="s">
        <v>421</v>
      </c>
      <c r="F201" s="15">
        <v>8</v>
      </c>
      <c r="G201" s="15">
        <v>10</v>
      </c>
      <c r="H201" s="60">
        <f>29121.25+9335.5+10783.5+6805.5+6780.5+3746+1541.5+84+273+1188</f>
        <v>69658.75</v>
      </c>
      <c r="I201" s="36">
        <f>2428+976+1509+1029+1087+466+273+24+62+297</f>
        <v>8151</v>
      </c>
      <c r="J201" s="9">
        <f>H201/I201</f>
        <v>8.546037296037296</v>
      </c>
      <c r="K201" s="70"/>
    </row>
    <row r="202" spans="1:11" ht="15">
      <c r="A202" s="79">
        <v>200</v>
      </c>
      <c r="B202" s="54" t="s">
        <v>422</v>
      </c>
      <c r="C202" s="7">
        <v>38452</v>
      </c>
      <c r="D202" s="10" t="s">
        <v>96</v>
      </c>
      <c r="E202" s="10" t="s">
        <v>423</v>
      </c>
      <c r="F202" s="11">
        <v>8</v>
      </c>
      <c r="G202" s="11">
        <v>23</v>
      </c>
      <c r="H202" s="35">
        <f>21351.5+14278.5+6751+4525+2536+673+390+177+1270+1412+2231+60+385+350+665+1890+1758+1595+1832.5+392+226+352+1188</f>
        <v>66288.5</v>
      </c>
      <c r="I202" s="36">
        <f>2210+1534+811+919+457+117+61+33+223+254+502+12+83+103+165+287+292+270+307+76+52+77+297</f>
        <v>9142</v>
      </c>
      <c r="J202" s="12">
        <f>+H202/I202</f>
        <v>7.250984467293809</v>
      </c>
      <c r="K202" s="70"/>
    </row>
    <row r="203" spans="1:11" ht="15">
      <c r="A203" s="79">
        <v>201</v>
      </c>
      <c r="B203" s="33" t="s">
        <v>424</v>
      </c>
      <c r="C203" s="2">
        <v>38662</v>
      </c>
      <c r="D203" s="1" t="s">
        <v>105</v>
      </c>
      <c r="E203" s="1" t="s">
        <v>425</v>
      </c>
      <c r="F203" s="4">
        <v>42</v>
      </c>
      <c r="G203" s="4">
        <v>6</v>
      </c>
      <c r="H203" s="35">
        <f>47428.75+11738.5+1089+270+547+3735+1243</f>
        <v>66051.25</v>
      </c>
      <c r="I203" s="36">
        <f>4865+1345+40+185+107+665+226</f>
        <v>7433</v>
      </c>
      <c r="J203" s="9">
        <f>+H203/I203</f>
        <v>8.88621687071169</v>
      </c>
      <c r="K203" s="70">
        <v>1</v>
      </c>
    </row>
    <row r="204" spans="1:11" ht="15">
      <c r="A204" s="79">
        <v>202</v>
      </c>
      <c r="B204" s="50" t="s">
        <v>426</v>
      </c>
      <c r="C204" s="7">
        <v>38473</v>
      </c>
      <c r="D204" s="1" t="s">
        <v>105</v>
      </c>
      <c r="E204" s="10" t="s">
        <v>427</v>
      </c>
      <c r="F204" s="11">
        <v>1</v>
      </c>
      <c r="G204" s="11">
        <v>8</v>
      </c>
      <c r="H204" s="35">
        <f>29306.5+14144+7300+0.5+4133+3797+0.5+1972+0.5+3879+586</f>
        <v>65119</v>
      </c>
      <c r="I204" s="36">
        <f>4336+2409+1301+741+778+521+880+95</f>
        <v>11061</v>
      </c>
      <c r="J204" s="12">
        <f>+H204/I204</f>
        <v>5.8872615495886444</v>
      </c>
      <c r="K204" s="70">
        <v>1</v>
      </c>
    </row>
    <row r="205" spans="1:11" ht="15">
      <c r="A205" s="79">
        <v>203</v>
      </c>
      <c r="B205" s="33" t="s">
        <v>428</v>
      </c>
      <c r="C205" s="2">
        <v>38431</v>
      </c>
      <c r="D205" s="1" t="s">
        <v>96</v>
      </c>
      <c r="E205" s="1" t="s">
        <v>429</v>
      </c>
      <c r="F205" s="4">
        <v>5</v>
      </c>
      <c r="G205" s="4">
        <v>20</v>
      </c>
      <c r="H205" s="58">
        <f>18881.5+13473+6553+4173.5+2378+3269+2172+792+240+60+1236+552+1321+1757+465+884+565+65+261+952</f>
        <v>60050</v>
      </c>
      <c r="I205" s="59">
        <f>2268+1745+795+568+579+610+541+209+80+20+215+68+169+337+93+144+93+15+56+238</f>
        <v>8843</v>
      </c>
      <c r="J205" s="5">
        <f>H205/I205</f>
        <v>6.790681895284406</v>
      </c>
      <c r="K205" s="70"/>
    </row>
    <row r="206" spans="1:11" ht="15">
      <c r="A206" s="79">
        <v>204</v>
      </c>
      <c r="B206" s="33" t="s">
        <v>430</v>
      </c>
      <c r="C206" s="2">
        <v>38613</v>
      </c>
      <c r="D206" s="1" t="s">
        <v>105</v>
      </c>
      <c r="E206" s="1" t="s">
        <v>227</v>
      </c>
      <c r="F206" s="4">
        <v>20</v>
      </c>
      <c r="G206" s="4">
        <v>7</v>
      </c>
      <c r="H206" s="35">
        <f>29605.75+13687.5+1715.5+10167+0.5+1482+874+865</f>
        <v>58397.25</v>
      </c>
      <c r="I206" s="36">
        <f>2984+1583+274+1724+229+164+167</f>
        <v>7125</v>
      </c>
      <c r="J206" s="9">
        <f>+H206/I206</f>
        <v>8.196105263157895</v>
      </c>
      <c r="K206" s="70">
        <v>1</v>
      </c>
    </row>
    <row r="207" spans="1:11" ht="15">
      <c r="A207" s="79">
        <v>205</v>
      </c>
      <c r="B207" s="50" t="s">
        <v>228</v>
      </c>
      <c r="C207" s="7">
        <v>38354</v>
      </c>
      <c r="D207" s="10" t="s">
        <v>89</v>
      </c>
      <c r="E207" s="10" t="s">
        <v>229</v>
      </c>
      <c r="F207" s="11">
        <v>16</v>
      </c>
      <c r="G207" s="11">
        <v>12</v>
      </c>
      <c r="H207" s="35">
        <v>58125.5</v>
      </c>
      <c r="I207" s="36">
        <v>6613</v>
      </c>
      <c r="J207" s="12">
        <f>+H207/I207</f>
        <v>8.789581128081052</v>
      </c>
      <c r="K207" s="70">
        <v>1</v>
      </c>
    </row>
    <row r="208" spans="1:11" ht="15">
      <c r="A208" s="79">
        <v>206</v>
      </c>
      <c r="B208" s="50" t="s">
        <v>230</v>
      </c>
      <c r="C208" s="2">
        <v>38543</v>
      </c>
      <c r="D208" s="10" t="s">
        <v>96</v>
      </c>
      <c r="E208" s="10" t="s">
        <v>12</v>
      </c>
      <c r="F208" s="11">
        <v>5</v>
      </c>
      <c r="G208" s="11">
        <v>16</v>
      </c>
      <c r="H208" s="63">
        <f>12262+4348+2671+2933+6131+3623+5390.5+3328+5489+4335.5+2834+692+1733+795+104+86</f>
        <v>56755</v>
      </c>
      <c r="I208" s="64">
        <f>987+621+328+425+668+454+641+568+755+596+524+127+380+159+15+13</f>
        <v>7261</v>
      </c>
      <c r="J208" s="22">
        <f>H208/I208</f>
        <v>7.816416471560391</v>
      </c>
      <c r="K208" s="70"/>
    </row>
    <row r="209" spans="1:11" ht="15">
      <c r="A209" s="79">
        <v>207</v>
      </c>
      <c r="B209" s="49" t="s">
        <v>231</v>
      </c>
      <c r="C209" s="7">
        <v>38627</v>
      </c>
      <c r="D209" s="13" t="s">
        <v>317</v>
      </c>
      <c r="E209" s="6" t="s">
        <v>180</v>
      </c>
      <c r="F209" s="8">
        <v>10</v>
      </c>
      <c r="G209" s="8">
        <v>7</v>
      </c>
      <c r="H209" s="58">
        <f>52021+1190+1190</f>
        <v>54401</v>
      </c>
      <c r="I209" s="59">
        <f>5361+396+396</f>
        <v>6153</v>
      </c>
      <c r="J209" s="5">
        <f>+H209/I209</f>
        <v>8.841378189501057</v>
      </c>
      <c r="K209" s="70"/>
    </row>
    <row r="210" spans="1:11" ht="15">
      <c r="A210" s="79">
        <v>208</v>
      </c>
      <c r="B210" s="50" t="s">
        <v>232</v>
      </c>
      <c r="C210" s="2">
        <v>38564</v>
      </c>
      <c r="D210" s="10" t="s">
        <v>96</v>
      </c>
      <c r="E210" s="10" t="s">
        <v>12</v>
      </c>
      <c r="F210" s="11">
        <v>2</v>
      </c>
      <c r="G210" s="11">
        <v>16</v>
      </c>
      <c r="H210" s="58">
        <f>12554+10448.5+5260+2841.5+2497+4599+3231+1086+898+1270+3997+314+1371+989+89+145</f>
        <v>51590</v>
      </c>
      <c r="I210" s="59">
        <f>931+774+385+248+290+466+488+181+106+177+788+56+270+151+20+32</f>
        <v>5363</v>
      </c>
      <c r="J210" s="21">
        <f>H210/I210</f>
        <v>9.619615886630617</v>
      </c>
      <c r="K210" s="70"/>
    </row>
    <row r="211" spans="1:11" ht="15">
      <c r="A211" s="79">
        <v>209</v>
      </c>
      <c r="B211" s="51" t="s">
        <v>233</v>
      </c>
      <c r="C211" s="7">
        <v>38669</v>
      </c>
      <c r="D211" s="19" t="s">
        <v>92</v>
      </c>
      <c r="E211" s="14" t="s">
        <v>234</v>
      </c>
      <c r="F211" s="15">
        <v>17</v>
      </c>
      <c r="G211" s="15">
        <v>6</v>
      </c>
      <c r="H211" s="63">
        <v>51154</v>
      </c>
      <c r="I211" s="64">
        <v>4422</v>
      </c>
      <c r="J211" s="9">
        <f>+H211/I211</f>
        <v>11.568068747173225</v>
      </c>
      <c r="K211" s="70"/>
    </row>
    <row r="212" spans="1:11" ht="15">
      <c r="A212" s="79">
        <v>210</v>
      </c>
      <c r="B212" s="49" t="s">
        <v>235</v>
      </c>
      <c r="C212" s="7">
        <v>38697</v>
      </c>
      <c r="D212" s="6" t="s">
        <v>89</v>
      </c>
      <c r="E212" s="6" t="s">
        <v>223</v>
      </c>
      <c r="F212" s="8">
        <v>6</v>
      </c>
      <c r="G212" s="8">
        <v>3</v>
      </c>
      <c r="H212" s="60">
        <f>30179+17696</f>
        <v>47875</v>
      </c>
      <c r="I212" s="36">
        <f>2257+1896</f>
        <v>4153</v>
      </c>
      <c r="J212" s="9">
        <f>IF(H212&lt;&gt;0,H212/I212,"")</f>
        <v>11.527811220804239</v>
      </c>
      <c r="K212" s="70"/>
    </row>
    <row r="213" spans="1:11" ht="15">
      <c r="A213" s="79">
        <v>211</v>
      </c>
      <c r="B213" s="50" t="s">
        <v>236</v>
      </c>
      <c r="C213" s="7">
        <v>38431</v>
      </c>
      <c r="D213" s="1" t="s">
        <v>105</v>
      </c>
      <c r="E213" s="10" t="s">
        <v>237</v>
      </c>
      <c r="F213" s="11">
        <v>1</v>
      </c>
      <c r="G213" s="11">
        <v>9</v>
      </c>
      <c r="H213" s="35">
        <f>17658.5+10158+4719+2865+5972+4469+115+214+430</f>
        <v>46600.5</v>
      </c>
      <c r="I213" s="36">
        <f>2134+1239+693+537+1092+877+22+32+86</f>
        <v>6712</v>
      </c>
      <c r="J213" s="12">
        <f>+H213/I213</f>
        <v>6.942863528009535</v>
      </c>
      <c r="K213" s="70">
        <v>1</v>
      </c>
    </row>
    <row r="214" spans="1:11" ht="15">
      <c r="A214" s="79">
        <v>212</v>
      </c>
      <c r="B214" s="33" t="s">
        <v>238</v>
      </c>
      <c r="C214" s="2">
        <v>38613</v>
      </c>
      <c r="D214" s="1" t="s">
        <v>96</v>
      </c>
      <c r="E214" s="1" t="s">
        <v>239</v>
      </c>
      <c r="F214" s="4">
        <v>7</v>
      </c>
      <c r="G214" s="4">
        <v>9</v>
      </c>
      <c r="H214" s="58">
        <f>24901+4873+3754+4238+1794.5+1565+1393.5+1381.5+1482+240</f>
        <v>45622.5</v>
      </c>
      <c r="I214" s="59">
        <f>2240+626+482+732+293+342+244+327+247+37</f>
        <v>5570</v>
      </c>
      <c r="J214" s="5">
        <f>H214/I214</f>
        <v>8.190754039497307</v>
      </c>
      <c r="K214" s="70"/>
    </row>
    <row r="215" spans="1:11" ht="15">
      <c r="A215" s="79">
        <v>213</v>
      </c>
      <c r="B215" s="54" t="s">
        <v>240</v>
      </c>
      <c r="C215" s="7">
        <v>38438</v>
      </c>
      <c r="D215" s="10" t="s">
        <v>318</v>
      </c>
      <c r="E215" s="10" t="s">
        <v>165</v>
      </c>
      <c r="F215" s="11">
        <v>25</v>
      </c>
      <c r="G215" s="11">
        <v>7</v>
      </c>
      <c r="H215" s="35">
        <v>45375</v>
      </c>
      <c r="I215" s="36">
        <v>5595</v>
      </c>
      <c r="J215" s="12">
        <f>+H215/I215</f>
        <v>8.109919571045577</v>
      </c>
      <c r="K215" s="70"/>
    </row>
    <row r="216" spans="1:11" ht="15">
      <c r="A216" s="79">
        <v>214</v>
      </c>
      <c r="B216" s="50" t="s">
        <v>241</v>
      </c>
      <c r="C216" s="7">
        <v>38452</v>
      </c>
      <c r="D216" s="10" t="s">
        <v>96</v>
      </c>
      <c r="E216" s="10" t="s">
        <v>16</v>
      </c>
      <c r="F216" s="11">
        <v>25</v>
      </c>
      <c r="G216" s="11">
        <v>15</v>
      </c>
      <c r="H216" s="35">
        <f>27272+5053+1261+893+3382.5+1033+1215+944+358+110+563+18+1265+223.5+190</f>
        <v>43781</v>
      </c>
      <c r="I216" s="36">
        <f>2445+551+258+199+504+141+212+188+48+22+152+3+130+21+38</f>
        <v>4912</v>
      </c>
      <c r="J216" s="12">
        <f>H216/I216</f>
        <v>8.91307003257329</v>
      </c>
      <c r="K216" s="70"/>
    </row>
    <row r="217" spans="1:11" ht="15">
      <c r="A217" s="79">
        <v>215</v>
      </c>
      <c r="B217" s="51" t="s">
        <v>242</v>
      </c>
      <c r="C217" s="7">
        <v>38620</v>
      </c>
      <c r="D217" s="14" t="s">
        <v>101</v>
      </c>
      <c r="E217" s="14" t="s">
        <v>243</v>
      </c>
      <c r="F217" s="15">
        <v>40</v>
      </c>
      <c r="G217" s="15">
        <v>4</v>
      </c>
      <c r="H217" s="61">
        <v>41728</v>
      </c>
      <c r="I217" s="62">
        <v>5737</v>
      </c>
      <c r="J217" s="12">
        <f>+H217/I217</f>
        <v>7.273487885654523</v>
      </c>
      <c r="K217" s="70"/>
    </row>
    <row r="218" spans="1:11" ht="15">
      <c r="A218" s="79">
        <v>216</v>
      </c>
      <c r="B218" s="33" t="s">
        <v>244</v>
      </c>
      <c r="C218" s="2">
        <v>38627</v>
      </c>
      <c r="D218" s="1" t="s">
        <v>245</v>
      </c>
      <c r="E218" s="1" t="s">
        <v>246</v>
      </c>
      <c r="F218" s="4">
        <v>25</v>
      </c>
      <c r="G218" s="4">
        <v>8</v>
      </c>
      <c r="H218" s="35">
        <v>39614.25</v>
      </c>
      <c r="I218" s="36">
        <v>6508</v>
      </c>
      <c r="J218" s="17">
        <f>H218/I218</f>
        <v>6.087008297480025</v>
      </c>
      <c r="K218" s="70">
        <v>1</v>
      </c>
    </row>
    <row r="219" spans="1:11" ht="15">
      <c r="A219" s="79">
        <v>217</v>
      </c>
      <c r="B219" s="49" t="s">
        <v>247</v>
      </c>
      <c r="C219" s="7">
        <v>38627</v>
      </c>
      <c r="D219" s="6" t="s">
        <v>96</v>
      </c>
      <c r="E219" s="6" t="s">
        <v>248</v>
      </c>
      <c r="F219" s="8">
        <v>22</v>
      </c>
      <c r="G219" s="8">
        <v>8</v>
      </c>
      <c r="H219" s="60">
        <f>25195+10013.5+1152+270+83.5+141+48+709.5</f>
        <v>37612.5</v>
      </c>
      <c r="I219" s="36">
        <f>2139+1282+178+44+14+26+8+240</f>
        <v>3931</v>
      </c>
      <c r="J219" s="18">
        <f>+H219/I219</f>
        <v>9.5681760366319</v>
      </c>
      <c r="K219" s="70"/>
    </row>
    <row r="220" spans="1:11" ht="15">
      <c r="A220" s="79">
        <v>218</v>
      </c>
      <c r="B220" s="50" t="s">
        <v>249</v>
      </c>
      <c r="C220" s="2">
        <v>38620</v>
      </c>
      <c r="D220" s="10" t="s">
        <v>96</v>
      </c>
      <c r="E220" s="10" t="s">
        <v>12</v>
      </c>
      <c r="F220" s="11">
        <v>10</v>
      </c>
      <c r="G220" s="11">
        <v>7</v>
      </c>
      <c r="H220" s="58">
        <f>15355.5+7416.5+5376.5+1210+1050.5+1780+1780</f>
        <v>33969</v>
      </c>
      <c r="I220" s="59">
        <f>1226+729+733+198+202+445+445</f>
        <v>3978</v>
      </c>
      <c r="J220" s="21">
        <f>H220/I220</f>
        <v>8.53921568627451</v>
      </c>
      <c r="K220" s="70"/>
    </row>
    <row r="221" spans="1:11" ht="15">
      <c r="A221" s="79">
        <v>219</v>
      </c>
      <c r="B221" s="50" t="s">
        <v>250</v>
      </c>
      <c r="C221" s="7">
        <v>38536</v>
      </c>
      <c r="D221" s="10" t="s">
        <v>92</v>
      </c>
      <c r="E221" s="10" t="s">
        <v>54</v>
      </c>
      <c r="F221" s="11">
        <v>5</v>
      </c>
      <c r="G221" s="11">
        <v>16</v>
      </c>
      <c r="H221" s="35">
        <v>33631</v>
      </c>
      <c r="I221" s="36">
        <v>4317</v>
      </c>
      <c r="J221" s="12">
        <f>+H221/I221</f>
        <v>7.790363678480427</v>
      </c>
      <c r="K221" s="70"/>
    </row>
    <row r="222" spans="1:11" ht="15">
      <c r="A222" s="79">
        <v>220</v>
      </c>
      <c r="B222" s="50" t="s">
        <v>251</v>
      </c>
      <c r="C222" s="7">
        <v>38557</v>
      </c>
      <c r="D222" s="10" t="s">
        <v>96</v>
      </c>
      <c r="E222" s="10" t="s">
        <v>414</v>
      </c>
      <c r="F222" s="11">
        <v>7</v>
      </c>
      <c r="G222" s="11">
        <v>11</v>
      </c>
      <c r="H222" s="35">
        <f>11970.5+2994.5+1529+2320+3623.5+3626.5+2619+1740+1319+1114+162</f>
        <v>33018</v>
      </c>
      <c r="I222" s="36">
        <f>976+387+235+413+517+566+442+287+399+218+24</f>
        <v>4464</v>
      </c>
      <c r="J222" s="12">
        <f>H222/I222</f>
        <v>7.396505376344086</v>
      </c>
      <c r="K222" s="70"/>
    </row>
    <row r="223" spans="1:11" ht="15">
      <c r="A223" s="79">
        <v>221</v>
      </c>
      <c r="B223" s="51" t="s">
        <v>252</v>
      </c>
      <c r="C223" s="7">
        <v>38599</v>
      </c>
      <c r="D223" s="14" t="s">
        <v>92</v>
      </c>
      <c r="E223" s="14" t="s">
        <v>253</v>
      </c>
      <c r="F223" s="15">
        <v>60</v>
      </c>
      <c r="G223" s="15">
        <v>8</v>
      </c>
      <c r="H223" s="63">
        <v>30372</v>
      </c>
      <c r="I223" s="64">
        <v>4248</v>
      </c>
      <c r="J223" s="18">
        <f>+H223/I223</f>
        <v>7.149717514124294</v>
      </c>
      <c r="K223" s="70">
        <v>1</v>
      </c>
    </row>
    <row r="224" spans="1:11" ht="15">
      <c r="A224" s="79">
        <v>222</v>
      </c>
      <c r="B224" s="56" t="s">
        <v>254</v>
      </c>
      <c r="C224" s="26">
        <v>38417</v>
      </c>
      <c r="D224" s="25" t="s">
        <v>255</v>
      </c>
      <c r="E224" s="25" t="s">
        <v>256</v>
      </c>
      <c r="F224" s="11">
        <v>11</v>
      </c>
      <c r="G224" s="11">
        <v>2</v>
      </c>
      <c r="H224" s="35">
        <v>30325.5</v>
      </c>
      <c r="I224" s="36">
        <v>2720</v>
      </c>
      <c r="J224" s="12">
        <f>+H224/I224</f>
        <v>11.14908088235294</v>
      </c>
      <c r="K224" s="70"/>
    </row>
    <row r="225" spans="1:11" ht="15">
      <c r="A225" s="79">
        <v>223</v>
      </c>
      <c r="B225" s="50" t="s">
        <v>257</v>
      </c>
      <c r="C225" s="7">
        <v>38389</v>
      </c>
      <c r="D225" s="10" t="s">
        <v>96</v>
      </c>
      <c r="E225" s="10" t="s">
        <v>258</v>
      </c>
      <c r="F225" s="11">
        <v>8</v>
      </c>
      <c r="G225" s="11">
        <v>20</v>
      </c>
      <c r="H225" s="35">
        <f>10492+1122+2325+2330.5+2538+2584+1814+1327+1537.5+106+367+274+113+758.5+312+155+155+805+709+192</f>
        <v>30016.5</v>
      </c>
      <c r="I225" s="36">
        <f>1114+134+463+420+483+430+441+251+279+22+42+33+18+138+64+31+31+146+100+28</f>
        <v>4668</v>
      </c>
      <c r="J225" s="12">
        <f>H225/I225</f>
        <v>6.4302699228791775</v>
      </c>
      <c r="K225" s="70">
        <v>1</v>
      </c>
    </row>
    <row r="226" spans="1:11" ht="15">
      <c r="A226" s="79">
        <v>224</v>
      </c>
      <c r="B226" s="50" t="s">
        <v>259</v>
      </c>
      <c r="C226" s="7">
        <v>38382</v>
      </c>
      <c r="D226" s="10" t="s">
        <v>318</v>
      </c>
      <c r="E226" s="10" t="s">
        <v>165</v>
      </c>
      <c r="F226" s="11">
        <v>5</v>
      </c>
      <c r="G226" s="11">
        <v>9</v>
      </c>
      <c r="H226" s="35">
        <v>29187</v>
      </c>
      <c r="I226" s="36">
        <v>2416</v>
      </c>
      <c r="J226" s="12">
        <f>+H226/I226</f>
        <v>12.0807119205298</v>
      </c>
      <c r="K226" s="70"/>
    </row>
    <row r="227" spans="1:11" ht="15">
      <c r="A227" s="79">
        <v>225</v>
      </c>
      <c r="B227" s="54" t="s">
        <v>260</v>
      </c>
      <c r="C227" s="7">
        <v>38641</v>
      </c>
      <c r="D227" s="1" t="s">
        <v>105</v>
      </c>
      <c r="E227" s="14" t="s">
        <v>210</v>
      </c>
      <c r="F227" s="15">
        <v>15</v>
      </c>
      <c r="G227" s="15">
        <v>5</v>
      </c>
      <c r="H227" s="60">
        <f>19609+4781+1108.5+2717+439</f>
        <v>28654.5</v>
      </c>
      <c r="I227" s="36">
        <f>3062+541+169+444+76</f>
        <v>4292</v>
      </c>
      <c r="J227" s="18">
        <f>+H227/I227</f>
        <v>6.676258154706431</v>
      </c>
      <c r="K227" s="70"/>
    </row>
    <row r="228" spans="1:10" ht="15">
      <c r="A228" s="79">
        <v>226</v>
      </c>
      <c r="B228" s="57" t="s">
        <v>313</v>
      </c>
      <c r="C228" s="7">
        <v>38423</v>
      </c>
      <c r="D228" s="1" t="s">
        <v>314</v>
      </c>
      <c r="E228" s="1" t="s">
        <v>314</v>
      </c>
      <c r="F228" s="4">
        <v>9</v>
      </c>
      <c r="G228" s="4">
        <v>3</v>
      </c>
      <c r="H228" s="35">
        <v>27633</v>
      </c>
      <c r="I228" s="36">
        <v>2786</v>
      </c>
      <c r="J228" s="12">
        <f>+H228/I228</f>
        <v>9.918521177315148</v>
      </c>
    </row>
    <row r="229" spans="1:11" ht="15">
      <c r="A229" s="79">
        <v>227</v>
      </c>
      <c r="B229" s="56" t="s">
        <v>261</v>
      </c>
      <c r="C229" s="26">
        <v>38501</v>
      </c>
      <c r="D229" s="25" t="s">
        <v>255</v>
      </c>
      <c r="E229" s="10" t="s">
        <v>322</v>
      </c>
      <c r="F229" s="11">
        <v>4</v>
      </c>
      <c r="G229" s="11">
        <v>7</v>
      </c>
      <c r="H229" s="35">
        <v>27522</v>
      </c>
      <c r="I229" s="36">
        <v>3015</v>
      </c>
      <c r="J229" s="12">
        <f>+H229/I229</f>
        <v>9.128358208955223</v>
      </c>
      <c r="K229" s="70"/>
    </row>
    <row r="230" spans="1:11" ht="15">
      <c r="A230" s="79">
        <v>228</v>
      </c>
      <c r="B230" s="54" t="s">
        <v>262</v>
      </c>
      <c r="C230" s="2">
        <v>38690</v>
      </c>
      <c r="D230" s="1" t="s">
        <v>96</v>
      </c>
      <c r="E230" s="1" t="s">
        <v>263</v>
      </c>
      <c r="F230" s="4">
        <v>2</v>
      </c>
      <c r="G230" s="4">
        <v>4</v>
      </c>
      <c r="H230" s="58">
        <f>14952+6112+2196+2975</f>
        <v>26235</v>
      </c>
      <c r="I230" s="59">
        <f>1468+666+254+478</f>
        <v>2866</v>
      </c>
      <c r="J230" s="5">
        <f>H230/I230</f>
        <v>9.15387299371947</v>
      </c>
      <c r="K230" s="70"/>
    </row>
    <row r="231" spans="1:11" ht="15">
      <c r="A231" s="79">
        <v>229</v>
      </c>
      <c r="B231" s="51" t="s">
        <v>264</v>
      </c>
      <c r="C231" s="7">
        <v>38613</v>
      </c>
      <c r="D231" s="1" t="s">
        <v>105</v>
      </c>
      <c r="E231" s="14" t="s">
        <v>210</v>
      </c>
      <c r="F231" s="15">
        <v>20</v>
      </c>
      <c r="G231" s="15">
        <v>7</v>
      </c>
      <c r="H231" s="60">
        <f>26073</f>
        <v>26073</v>
      </c>
      <c r="I231" s="36">
        <f>2680</f>
        <v>2680</v>
      </c>
      <c r="J231" s="18">
        <f>+H231/I231</f>
        <v>9.728731343283583</v>
      </c>
      <c r="K231" s="70"/>
    </row>
    <row r="232" spans="1:11" ht="15">
      <c r="A232" s="79">
        <v>230</v>
      </c>
      <c r="B232" s="54" t="s">
        <v>265</v>
      </c>
      <c r="C232" s="7">
        <v>38508</v>
      </c>
      <c r="D232" s="14" t="s">
        <v>89</v>
      </c>
      <c r="E232" s="14" t="s">
        <v>321</v>
      </c>
      <c r="F232" s="15">
        <v>2</v>
      </c>
      <c r="G232" s="15">
        <v>21</v>
      </c>
      <c r="H232" s="60">
        <f>25144.25+288+474+136</f>
        <v>26042.25</v>
      </c>
      <c r="I232" s="36">
        <f>3733+48+73+21</f>
        <v>3875</v>
      </c>
      <c r="J232" s="9">
        <f>+H232/I232</f>
        <v>6.720580645161291</v>
      </c>
      <c r="K232" s="70"/>
    </row>
    <row r="233" spans="1:11" ht="15">
      <c r="A233" s="79">
        <v>231</v>
      </c>
      <c r="B233" s="50" t="s">
        <v>266</v>
      </c>
      <c r="C233" s="7">
        <v>38417</v>
      </c>
      <c r="D233" s="10" t="s">
        <v>267</v>
      </c>
      <c r="E233" s="10" t="s">
        <v>268</v>
      </c>
      <c r="F233" s="11">
        <v>10</v>
      </c>
      <c r="G233" s="11">
        <v>13</v>
      </c>
      <c r="H233" s="35">
        <v>25847.5</v>
      </c>
      <c r="I233" s="36">
        <v>2706</v>
      </c>
      <c r="J233" s="12">
        <f>+H233/I233</f>
        <v>9.551921655580193</v>
      </c>
      <c r="K233" s="70">
        <v>1</v>
      </c>
    </row>
    <row r="234" spans="1:11" ht="15">
      <c r="A234" s="79">
        <v>232</v>
      </c>
      <c r="B234" s="50" t="s">
        <v>269</v>
      </c>
      <c r="C234" s="7">
        <v>38389</v>
      </c>
      <c r="D234" s="10" t="s">
        <v>96</v>
      </c>
      <c r="E234" s="10" t="s">
        <v>322</v>
      </c>
      <c r="F234" s="11">
        <v>2</v>
      </c>
      <c r="G234" s="11">
        <v>14</v>
      </c>
      <c r="H234" s="35">
        <f>8077.5+3261+2251+2481+682+679+634+482+544+2140+204+1664+1377+127</f>
        <v>24603.5</v>
      </c>
      <c r="I234" s="36">
        <f>773+379+260+266+71+198+101+110+127+535+34+416+320+14</f>
        <v>3604</v>
      </c>
      <c r="J234" s="12">
        <f>H234/I234</f>
        <v>6.826720310765816</v>
      </c>
      <c r="K234" s="70"/>
    </row>
    <row r="235" spans="1:11" ht="15">
      <c r="A235" s="79">
        <v>233</v>
      </c>
      <c r="B235" s="50" t="s">
        <v>270</v>
      </c>
      <c r="C235" s="7">
        <v>38410</v>
      </c>
      <c r="D235" s="10" t="s">
        <v>96</v>
      </c>
      <c r="E235" s="10" t="s">
        <v>271</v>
      </c>
      <c r="F235" s="11">
        <v>6</v>
      </c>
      <c r="G235" s="11">
        <v>11</v>
      </c>
      <c r="H235" s="35">
        <f>10784+5573+660+1421+910+383+1328+245+1176.5+396+237</f>
        <v>23113.5</v>
      </c>
      <c r="I235" s="36">
        <f>1170+612+72+185+145+72+129+49+165+72+54</f>
        <v>2725</v>
      </c>
      <c r="J235" s="12">
        <f>H235/I235</f>
        <v>8.482018348623853</v>
      </c>
      <c r="K235" s="70">
        <v>1</v>
      </c>
    </row>
    <row r="236" spans="1:11" ht="15">
      <c r="A236" s="79">
        <v>234</v>
      </c>
      <c r="B236" s="50" t="s">
        <v>272</v>
      </c>
      <c r="C236" s="7">
        <v>38466</v>
      </c>
      <c r="D236" s="10" t="s">
        <v>89</v>
      </c>
      <c r="E236" s="10" t="s">
        <v>246</v>
      </c>
      <c r="F236" s="11">
        <v>10</v>
      </c>
      <c r="G236" s="11">
        <v>14</v>
      </c>
      <c r="H236" s="35">
        <v>21778</v>
      </c>
      <c r="I236" s="36">
        <v>3290</v>
      </c>
      <c r="J236" s="12">
        <f>IF(H236&lt;&gt;0,H236/I236,"")</f>
        <v>6.619452887537994</v>
      </c>
      <c r="K236" s="70">
        <v>1</v>
      </c>
    </row>
    <row r="237" spans="1:11" ht="15">
      <c r="A237" s="79">
        <v>235</v>
      </c>
      <c r="B237" s="33" t="s">
        <v>273</v>
      </c>
      <c r="C237" s="2">
        <v>38473</v>
      </c>
      <c r="D237" s="1" t="s">
        <v>96</v>
      </c>
      <c r="E237" s="1" t="s">
        <v>344</v>
      </c>
      <c r="F237" s="4">
        <v>5</v>
      </c>
      <c r="G237" s="4">
        <v>18</v>
      </c>
      <c r="H237" s="58">
        <f>8152.5+2367.5+456+120+350+96+1698+2408.5+309+544+145+220+692+123.5+12.5+75+1398+952</f>
        <v>20119.5</v>
      </c>
      <c r="I237" s="59">
        <f>669+232+51+14+62+16+188+531+55+75+29+52+86+11+1+6+357+238</f>
        <v>2673</v>
      </c>
      <c r="J237" s="5">
        <f>H237/I237</f>
        <v>7.526936026936027</v>
      </c>
      <c r="K237" s="70"/>
    </row>
    <row r="238" spans="1:11" ht="15">
      <c r="A238" s="79">
        <v>236</v>
      </c>
      <c r="B238" s="50" t="s">
        <v>274</v>
      </c>
      <c r="C238" s="7">
        <v>38403</v>
      </c>
      <c r="D238" s="10" t="s">
        <v>96</v>
      </c>
      <c r="E238" s="10" t="s">
        <v>320</v>
      </c>
      <c r="F238" s="11">
        <v>4</v>
      </c>
      <c r="G238" s="11">
        <v>13</v>
      </c>
      <c r="H238" s="35">
        <f>6804+2328+2310+826+241+1288+1545+817+40+615+1688+420+95</f>
        <v>19017</v>
      </c>
      <c r="I238" s="36">
        <f>775+357+469+134+39+295+305+158+8+67+387+70+19</f>
        <v>3083</v>
      </c>
      <c r="J238" s="12">
        <f>H238/I238</f>
        <v>6.168342523516055</v>
      </c>
      <c r="K238" s="70">
        <v>1</v>
      </c>
    </row>
    <row r="239" spans="1:11" ht="15">
      <c r="A239" s="79">
        <v>237</v>
      </c>
      <c r="B239" s="50" t="s">
        <v>275</v>
      </c>
      <c r="C239" s="2">
        <v>38599</v>
      </c>
      <c r="D239" s="10" t="s">
        <v>96</v>
      </c>
      <c r="E239" s="10" t="s">
        <v>502</v>
      </c>
      <c r="F239" s="11">
        <v>3</v>
      </c>
      <c r="G239" s="11">
        <v>8</v>
      </c>
      <c r="H239" s="63">
        <f>7317+3809.25+1860+639+729+966+238+668</f>
        <v>16226.25</v>
      </c>
      <c r="I239" s="64">
        <f>792+424+238+115+144+202+40+134</f>
        <v>2089</v>
      </c>
      <c r="J239" s="22">
        <f>H239/I239</f>
        <v>7.767472474868358</v>
      </c>
      <c r="K239" s="70">
        <v>1</v>
      </c>
    </row>
    <row r="240" spans="1:11" ht="15">
      <c r="A240" s="79">
        <v>238</v>
      </c>
      <c r="B240" s="50" t="s">
        <v>503</v>
      </c>
      <c r="C240" s="7">
        <v>38473</v>
      </c>
      <c r="D240" s="10" t="s">
        <v>318</v>
      </c>
      <c r="E240" s="10" t="s">
        <v>178</v>
      </c>
      <c r="F240" s="11">
        <v>9</v>
      </c>
      <c r="G240" s="11">
        <v>2</v>
      </c>
      <c r="H240" s="35">
        <v>15350</v>
      </c>
      <c r="I240" s="36">
        <v>1127</v>
      </c>
      <c r="J240" s="12">
        <f>+H240/I240</f>
        <v>13.620230700976043</v>
      </c>
      <c r="K240" s="70"/>
    </row>
    <row r="241" spans="1:11" ht="15">
      <c r="A241" s="79">
        <v>239</v>
      </c>
      <c r="B241" s="51" t="s">
        <v>504</v>
      </c>
      <c r="C241" s="7">
        <v>38501</v>
      </c>
      <c r="D241" s="14" t="s">
        <v>96</v>
      </c>
      <c r="E241" s="14" t="s">
        <v>12</v>
      </c>
      <c r="F241" s="15">
        <v>1</v>
      </c>
      <c r="G241" s="15">
        <v>15</v>
      </c>
      <c r="H241" s="60">
        <f>2055+1340+750+709+604+925+1270+1220+776+981+343+858+383+597+2376</f>
        <v>15187</v>
      </c>
      <c r="I241" s="36">
        <f>411+268+150+85+70+118+161+152+99+144+47+143+48+95+594</f>
        <v>2585</v>
      </c>
      <c r="J241" s="9">
        <f>H241/I241</f>
        <v>5.87504835589942</v>
      </c>
      <c r="K241" s="70"/>
    </row>
    <row r="242" spans="1:11" ht="15">
      <c r="A242" s="79">
        <v>240</v>
      </c>
      <c r="B242" s="33" t="s">
        <v>505</v>
      </c>
      <c r="C242" s="2">
        <v>38424</v>
      </c>
      <c r="D242" s="1" t="s">
        <v>506</v>
      </c>
      <c r="E242" s="1" t="s">
        <v>12</v>
      </c>
      <c r="F242" s="4">
        <v>1</v>
      </c>
      <c r="G242" s="4">
        <v>13</v>
      </c>
      <c r="H242" s="58">
        <f>4788+2916+224+67+1174+2376+93+192+1664+358+99+80.5+37.5+952</f>
        <v>15021</v>
      </c>
      <c r="I242" s="59">
        <f>549+337+27+11+121+594+31+32+416+45+9+12+3+238</f>
        <v>2425</v>
      </c>
      <c r="J242" s="5">
        <f>H242/I242</f>
        <v>6.194226804123711</v>
      </c>
      <c r="K242" s="70"/>
    </row>
    <row r="243" spans="1:11" ht="15">
      <c r="A243" s="79">
        <v>241</v>
      </c>
      <c r="B243" s="33" t="s">
        <v>507</v>
      </c>
      <c r="C243" s="2">
        <v>38515</v>
      </c>
      <c r="D243" s="1" t="s">
        <v>96</v>
      </c>
      <c r="E243" s="1" t="s">
        <v>508</v>
      </c>
      <c r="F243" s="4">
        <v>2</v>
      </c>
      <c r="G243" s="4">
        <v>13</v>
      </c>
      <c r="H243" s="58">
        <f>4047+2102+1183+288+2185+769.5+1362.5+929+117+25+266+133+952</f>
        <v>14359</v>
      </c>
      <c r="I243" s="59">
        <f>502+366+177+30+537+130+151+131+15+2+54+19+238</f>
        <v>2352</v>
      </c>
      <c r="J243" s="5">
        <f>H243/I243</f>
        <v>6.105017006802721</v>
      </c>
      <c r="K243" s="70"/>
    </row>
    <row r="244" spans="1:11" ht="15">
      <c r="A244" s="79">
        <v>242</v>
      </c>
      <c r="B244" s="50" t="s">
        <v>509</v>
      </c>
      <c r="C244" s="7">
        <v>38480</v>
      </c>
      <c r="D244" s="10" t="s">
        <v>89</v>
      </c>
      <c r="E244" s="10" t="s">
        <v>246</v>
      </c>
      <c r="F244" s="11">
        <v>10</v>
      </c>
      <c r="G244" s="11">
        <v>8</v>
      </c>
      <c r="H244" s="35">
        <v>14154.5</v>
      </c>
      <c r="I244" s="36">
        <v>2178</v>
      </c>
      <c r="J244" s="12">
        <f>+H244/I244</f>
        <v>6.498852157943067</v>
      </c>
      <c r="K244" s="70">
        <v>1</v>
      </c>
    </row>
    <row r="245" spans="1:11" ht="15">
      <c r="A245" s="79">
        <v>243</v>
      </c>
      <c r="B245" s="50" t="s">
        <v>510</v>
      </c>
      <c r="C245" s="2">
        <v>38410</v>
      </c>
      <c r="D245" s="14" t="s">
        <v>96</v>
      </c>
      <c r="E245" s="10" t="s">
        <v>12</v>
      </c>
      <c r="F245" s="11">
        <v>1</v>
      </c>
      <c r="G245" s="11">
        <v>20</v>
      </c>
      <c r="H245" s="58">
        <f>1088+1510+1304+856+387+214+424+106+162+130+476+60.5+118+96+1664+1780+454+259.5+1188+119.5+1188</f>
        <v>13584.5</v>
      </c>
      <c r="I245" s="59">
        <f>267+175+155+102+46+26+51+12+18+16+57+8+22+16+416+445+57+31+297+19+297</f>
        <v>2533</v>
      </c>
      <c r="J245" s="21">
        <f>H245/I245</f>
        <v>5.363008290564548</v>
      </c>
      <c r="K245" s="70"/>
    </row>
    <row r="246" spans="1:11" ht="15">
      <c r="A246" s="79">
        <v>244</v>
      </c>
      <c r="B246" s="54" t="s">
        <v>511</v>
      </c>
      <c r="C246" s="7">
        <v>38564</v>
      </c>
      <c r="D246" s="10" t="s">
        <v>96</v>
      </c>
      <c r="E246" s="10" t="s">
        <v>12</v>
      </c>
      <c r="F246" s="11">
        <v>1</v>
      </c>
      <c r="G246" s="11">
        <v>8</v>
      </c>
      <c r="H246" s="35">
        <f>6157+1979.5+2138+815+825+343+114+159</f>
        <v>12530.5</v>
      </c>
      <c r="I246" s="36">
        <f>452+147+247+163+165+40+19+36</f>
        <v>1269</v>
      </c>
      <c r="J246" s="12">
        <f>H246/I246</f>
        <v>9.87431048069346</v>
      </c>
      <c r="K246" s="70"/>
    </row>
    <row r="247" spans="1:11" ht="15">
      <c r="A247" s="79">
        <v>245</v>
      </c>
      <c r="B247" s="50" t="s">
        <v>512</v>
      </c>
      <c r="C247" s="7">
        <v>38480</v>
      </c>
      <c r="D247" s="10" t="s">
        <v>96</v>
      </c>
      <c r="E247" s="10" t="s">
        <v>342</v>
      </c>
      <c r="F247" s="11">
        <v>25</v>
      </c>
      <c r="G247" s="11">
        <v>7</v>
      </c>
      <c r="H247" s="35">
        <f>11131.5+481.5+197+88+48+32+234</f>
        <v>12212</v>
      </c>
      <c r="I247" s="36">
        <f>1039+58+23+12+8+5+46</f>
        <v>1191</v>
      </c>
      <c r="J247" s="12">
        <f>H247/I247</f>
        <v>10.253568429890848</v>
      </c>
      <c r="K247" s="70"/>
    </row>
    <row r="248" spans="1:11" ht="15">
      <c r="A248" s="79">
        <v>246</v>
      </c>
      <c r="B248" s="50" t="s">
        <v>513</v>
      </c>
      <c r="C248" s="7">
        <v>38389</v>
      </c>
      <c r="D248" s="10" t="s">
        <v>96</v>
      </c>
      <c r="E248" s="1" t="s">
        <v>239</v>
      </c>
      <c r="F248" s="11">
        <v>4</v>
      </c>
      <c r="G248" s="11">
        <v>14</v>
      </c>
      <c r="H248" s="35">
        <f>3471+1177+1932+1499+102+393+190+338+243+306+110+110+57.5+788+121</f>
        <v>10837.5</v>
      </c>
      <c r="I248" s="36">
        <f>322+131+339+226+14+53+38+38+28+51+17+22+5+128+16</f>
        <v>1428</v>
      </c>
      <c r="J248" s="12">
        <f>H248/I248</f>
        <v>7.589285714285714</v>
      </c>
      <c r="K248" s="70"/>
    </row>
    <row r="249" spans="1:11" ht="15">
      <c r="A249" s="79">
        <v>247</v>
      </c>
      <c r="B249" s="51" t="s">
        <v>514</v>
      </c>
      <c r="C249" s="7">
        <v>38627</v>
      </c>
      <c r="D249" s="14" t="s">
        <v>92</v>
      </c>
      <c r="E249" s="14" t="s">
        <v>54</v>
      </c>
      <c r="F249" s="15">
        <v>5</v>
      </c>
      <c r="G249" s="15">
        <v>5</v>
      </c>
      <c r="H249" s="60">
        <v>10740</v>
      </c>
      <c r="I249" s="36">
        <v>835</v>
      </c>
      <c r="J249" s="18">
        <f aca="true" t="shared" si="7" ref="J249:J255">+H249/I249</f>
        <v>12.862275449101796</v>
      </c>
      <c r="K249" s="70"/>
    </row>
    <row r="250" spans="1:11" ht="15">
      <c r="A250" s="79">
        <v>248</v>
      </c>
      <c r="B250" s="33" t="s">
        <v>515</v>
      </c>
      <c r="C250" s="2">
        <v>38711</v>
      </c>
      <c r="D250" s="1" t="s">
        <v>105</v>
      </c>
      <c r="E250" s="1" t="s">
        <v>516</v>
      </c>
      <c r="F250" s="4">
        <v>10</v>
      </c>
      <c r="G250" s="4">
        <v>1</v>
      </c>
      <c r="H250" s="35">
        <f>9917+0.75</f>
        <v>9917.75</v>
      </c>
      <c r="I250" s="36">
        <f>987</f>
        <v>987</v>
      </c>
      <c r="J250" s="9">
        <f t="shared" si="7"/>
        <v>10.0483789260385</v>
      </c>
      <c r="K250" s="70">
        <v>1</v>
      </c>
    </row>
    <row r="251" spans="1:11" ht="15">
      <c r="A251" s="79">
        <v>249</v>
      </c>
      <c r="B251" s="51" t="s">
        <v>517</v>
      </c>
      <c r="C251" s="7">
        <v>38634</v>
      </c>
      <c r="D251" s="1" t="s">
        <v>105</v>
      </c>
      <c r="E251" s="14" t="s">
        <v>319</v>
      </c>
      <c r="F251" s="15">
        <v>8</v>
      </c>
      <c r="G251" s="15">
        <v>6</v>
      </c>
      <c r="H251" s="60">
        <f>3348+2382+0.5+1669+1239+269+130</f>
        <v>9037.5</v>
      </c>
      <c r="I251" s="36">
        <f>369+272+278+203+39+13</f>
        <v>1174</v>
      </c>
      <c r="J251" s="18">
        <f t="shared" si="7"/>
        <v>7.698040885860307</v>
      </c>
      <c r="K251" s="70">
        <v>1</v>
      </c>
    </row>
    <row r="252" spans="1:11" ht="15">
      <c r="A252" s="79">
        <v>250</v>
      </c>
      <c r="B252" s="54" t="s">
        <v>518</v>
      </c>
      <c r="C252" s="7">
        <v>38564</v>
      </c>
      <c r="D252" s="14" t="s">
        <v>92</v>
      </c>
      <c r="E252" s="14" t="s">
        <v>54</v>
      </c>
      <c r="F252" s="15">
        <v>1</v>
      </c>
      <c r="G252" s="15">
        <v>14</v>
      </c>
      <c r="H252" s="60">
        <v>7220</v>
      </c>
      <c r="I252" s="36">
        <v>820</v>
      </c>
      <c r="J252" s="9">
        <f t="shared" si="7"/>
        <v>8.804878048780488</v>
      </c>
      <c r="K252" s="70"/>
    </row>
    <row r="253" spans="1:11" ht="15">
      <c r="A253" s="79">
        <v>251</v>
      </c>
      <c r="B253" s="33" t="s">
        <v>519</v>
      </c>
      <c r="C253" s="2">
        <v>38683</v>
      </c>
      <c r="D253" s="1" t="s">
        <v>520</v>
      </c>
      <c r="E253" s="1" t="s">
        <v>521</v>
      </c>
      <c r="F253" s="4">
        <v>2</v>
      </c>
      <c r="G253" s="4">
        <v>2</v>
      </c>
      <c r="H253" s="58">
        <v>5177</v>
      </c>
      <c r="I253" s="59">
        <v>759</v>
      </c>
      <c r="J253" s="5">
        <f t="shared" si="7"/>
        <v>6.820816864295125</v>
      </c>
      <c r="K253" s="70"/>
    </row>
    <row r="254" spans="1:11" ht="15">
      <c r="A254" s="79">
        <v>252</v>
      </c>
      <c r="B254" s="51" t="s">
        <v>522</v>
      </c>
      <c r="C254" s="7">
        <v>38669</v>
      </c>
      <c r="D254" s="14" t="s">
        <v>523</v>
      </c>
      <c r="E254" s="14" t="s">
        <v>524</v>
      </c>
      <c r="F254" s="15">
        <v>10</v>
      </c>
      <c r="G254" s="15">
        <v>1</v>
      </c>
      <c r="H254" s="67">
        <v>5001</v>
      </c>
      <c r="I254" s="68">
        <v>554</v>
      </c>
      <c r="J254" s="18">
        <f t="shared" si="7"/>
        <v>9.027075812274369</v>
      </c>
      <c r="K254" s="70">
        <v>1</v>
      </c>
    </row>
    <row r="255" spans="1:10" ht="15">
      <c r="A255" s="79">
        <v>253</v>
      </c>
      <c r="B255" s="33" t="s">
        <v>312</v>
      </c>
      <c r="C255" s="7">
        <v>38640</v>
      </c>
      <c r="D255" s="1" t="s">
        <v>102</v>
      </c>
      <c r="E255" s="1" t="s">
        <v>102</v>
      </c>
      <c r="F255" s="4">
        <v>1</v>
      </c>
      <c r="G255" s="4">
        <v>2</v>
      </c>
      <c r="H255" s="35">
        <v>3500</v>
      </c>
      <c r="I255" s="36">
        <v>500</v>
      </c>
      <c r="J255" s="12">
        <f t="shared" si="7"/>
        <v>7</v>
      </c>
    </row>
    <row r="256" spans="1:11" ht="15">
      <c r="A256" s="79">
        <v>254</v>
      </c>
      <c r="B256" s="50" t="s">
        <v>525</v>
      </c>
      <c r="C256" s="7">
        <v>38585</v>
      </c>
      <c r="D256" s="10" t="s">
        <v>96</v>
      </c>
      <c r="E256" s="10" t="s">
        <v>12</v>
      </c>
      <c r="F256" s="11">
        <v>1</v>
      </c>
      <c r="G256" s="11">
        <v>5</v>
      </c>
      <c r="H256" s="35">
        <f>580+460+70+122+141</f>
        <v>1373</v>
      </c>
      <c r="I256" s="36">
        <f>116+91+10+27+32</f>
        <v>276</v>
      </c>
      <c r="J256" s="12">
        <f>H256/I256</f>
        <v>4.97463768115942</v>
      </c>
      <c r="K256" s="70"/>
    </row>
    <row r="257" spans="1:11" ht="15">
      <c r="A257" s="79">
        <v>255</v>
      </c>
      <c r="B257" s="50" t="s">
        <v>526</v>
      </c>
      <c r="C257" s="7">
        <v>38634</v>
      </c>
      <c r="D257" s="1" t="s">
        <v>105</v>
      </c>
      <c r="E257" s="10" t="s">
        <v>311</v>
      </c>
      <c r="F257" s="11">
        <v>2</v>
      </c>
      <c r="G257" s="11">
        <v>1</v>
      </c>
      <c r="H257" s="35">
        <f>1072</f>
        <v>1072</v>
      </c>
      <c r="I257" s="36">
        <f>124</f>
        <v>124</v>
      </c>
      <c r="J257" s="12">
        <f>+H257/I257</f>
        <v>8.64516129032258</v>
      </c>
      <c r="K257" s="70"/>
    </row>
  </sheetData>
  <sheetProtection/>
  <printOptions/>
  <pageMargins left="0.75" right="0.75" top="1" bottom="1" header="0.5" footer="0.5"/>
  <pageSetup orientation="portrait" paperSize="9"/>
  <ignoredErrors>
    <ignoredError sqref="H3:I56 H60:I61 H66:H113 I66:I71 I108:I113 H114:I114" unlockedFormula="1"/>
    <ignoredError sqref="J9:J60 J72:J107" formula="1"/>
    <ignoredError sqref="I72:I107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06"/>
  <sheetViews>
    <sheetView zoomScale="150" zoomScaleNormal="150" zoomScalePageLayoutView="0" workbookViewId="0" topLeftCell="A1">
      <selection activeCell="A1" sqref="A1"/>
    </sheetView>
  </sheetViews>
  <sheetFormatPr defaultColWidth="15.00390625" defaultRowHeight="12.75"/>
  <cols>
    <col min="1" max="1" width="3.125" style="79" customWidth="1"/>
    <col min="2" max="2" width="31.75390625" style="33" bestFit="1" customWidth="1"/>
    <col min="3" max="3" width="16.375" style="2" bestFit="1" customWidth="1"/>
    <col min="4" max="4" width="16.875" style="1" bestFit="1" customWidth="1"/>
    <col min="5" max="5" width="12.75390625" style="105" bestFit="1" customWidth="1"/>
    <col min="6" max="6" width="9.125" style="35" bestFit="1" customWidth="1"/>
    <col min="7" max="7" width="5.625" style="36" bestFit="1" customWidth="1"/>
    <col min="8" max="8" width="1.75390625" style="32" bestFit="1" customWidth="1"/>
    <col min="9" max="9" width="1.75390625" style="71" customWidth="1"/>
    <col min="10" max="10" width="15.00390625" style="27" customWidth="1"/>
    <col min="11" max="11" width="15.00390625" style="28" customWidth="1"/>
    <col min="12" max="12" width="15.00390625" style="27" customWidth="1"/>
    <col min="13" max="14" width="15.00390625" style="29" customWidth="1"/>
    <col min="15" max="16384" width="15.00390625" style="3" customWidth="1"/>
  </cols>
  <sheetData>
    <row r="1" spans="1:13" s="34" customFormat="1" ht="15">
      <c r="A1" s="89"/>
      <c r="B1" s="90" t="s">
        <v>372</v>
      </c>
      <c r="C1" s="90" t="s">
        <v>369</v>
      </c>
      <c r="D1" s="90" t="s">
        <v>358</v>
      </c>
      <c r="E1" s="91" t="s">
        <v>362</v>
      </c>
      <c r="F1" s="92" t="s">
        <v>363</v>
      </c>
      <c r="G1" s="93" t="s">
        <v>365</v>
      </c>
      <c r="H1" s="94"/>
      <c r="I1" s="38"/>
      <c r="J1" s="37"/>
      <c r="K1" s="38"/>
      <c r="L1" s="39"/>
      <c r="M1" s="39"/>
    </row>
    <row r="2" spans="1:13" s="34" customFormat="1" ht="15.75" thickBot="1">
      <c r="A2" s="95"/>
      <c r="B2" s="96" t="s">
        <v>373</v>
      </c>
      <c r="C2" s="96" t="s">
        <v>368</v>
      </c>
      <c r="D2" s="96" t="s">
        <v>357</v>
      </c>
      <c r="E2" s="97" t="s">
        <v>361</v>
      </c>
      <c r="F2" s="98" t="s">
        <v>356</v>
      </c>
      <c r="G2" s="99" t="s">
        <v>364</v>
      </c>
      <c r="H2" s="94"/>
      <c r="I2" s="38"/>
      <c r="J2" s="37"/>
      <c r="K2" s="38"/>
      <c r="L2" s="39"/>
      <c r="M2" s="39"/>
    </row>
    <row r="3" spans="1:11" s="4" customFormat="1" ht="15">
      <c r="A3" s="79">
        <v>1</v>
      </c>
      <c r="B3" s="33" t="s">
        <v>309</v>
      </c>
      <c r="C3" s="1" t="s">
        <v>105</v>
      </c>
      <c r="D3" s="1" t="s">
        <v>310</v>
      </c>
      <c r="E3" s="58">
        <f>17329163.5+9384321+4035301-111+1596787.5-52+594784+289448.5+142806.5+57257.5+10859.5+1656+13165+452+3902+124+16239+3704+0.5+78+78+442+474+277+19+12010</f>
        <v>33493186.5</v>
      </c>
      <c r="F3" s="59">
        <f>2236432+1203711+519916+206906+76573+36964+29367+10451+1641+205+2816+174+976+16+3753+578+12+13+73+79+55+3+2402</f>
        <v>4333116</v>
      </c>
      <c r="G3" s="9">
        <f>IF(E3&lt;&gt;0,E3/F3,"")</f>
        <v>7.7295845530098894</v>
      </c>
      <c r="H3" s="70">
        <v>1</v>
      </c>
      <c r="I3" s="30"/>
      <c r="J3" s="31"/>
      <c r="K3" s="30"/>
    </row>
    <row r="4" spans="1:11" s="4" customFormat="1" ht="15">
      <c r="A4" s="79">
        <v>2</v>
      </c>
      <c r="B4" s="49" t="s">
        <v>88</v>
      </c>
      <c r="C4" s="6" t="s">
        <v>89</v>
      </c>
      <c r="D4" s="6" t="s">
        <v>90</v>
      </c>
      <c r="E4" s="60">
        <v>19720380.25</v>
      </c>
      <c r="F4" s="36">
        <v>2419136</v>
      </c>
      <c r="G4" s="9">
        <f>IF(E4&lt;&gt;0,E4/F4,"")</f>
        <v>8.151827863336331</v>
      </c>
      <c r="H4" s="70">
        <v>1</v>
      </c>
      <c r="I4" s="30"/>
      <c r="J4" s="31"/>
      <c r="K4" s="30"/>
    </row>
    <row r="5" spans="1:11" s="4" customFormat="1" ht="15">
      <c r="A5" s="79">
        <v>3</v>
      </c>
      <c r="B5" s="50" t="s">
        <v>91</v>
      </c>
      <c r="C5" s="10" t="s">
        <v>92</v>
      </c>
      <c r="D5" s="10" t="s">
        <v>93</v>
      </c>
      <c r="E5" s="35">
        <v>19043725</v>
      </c>
      <c r="F5" s="36">
        <v>2491454</v>
      </c>
      <c r="G5" s="12">
        <f aca="true" t="shared" si="0" ref="G5:G11">+E5/F5</f>
        <v>7.643618947008454</v>
      </c>
      <c r="H5" s="70">
        <v>1</v>
      </c>
      <c r="I5" s="30"/>
      <c r="J5" s="31"/>
      <c r="K5" s="30"/>
    </row>
    <row r="6" spans="1:11" s="4" customFormat="1" ht="15">
      <c r="A6" s="79">
        <v>4</v>
      </c>
      <c r="B6" s="51" t="s">
        <v>100</v>
      </c>
      <c r="C6" s="14" t="s">
        <v>101</v>
      </c>
      <c r="D6" s="14" t="s">
        <v>102</v>
      </c>
      <c r="E6" s="61">
        <v>9325920.75</v>
      </c>
      <c r="F6" s="62">
        <v>1071580</v>
      </c>
      <c r="G6" s="16">
        <f t="shared" si="0"/>
        <v>8.70296268127438</v>
      </c>
      <c r="H6" s="70">
        <v>1</v>
      </c>
      <c r="I6" s="30"/>
      <c r="J6" s="31"/>
      <c r="K6" s="30"/>
    </row>
    <row r="7" spans="1:11" s="4" customFormat="1" ht="15">
      <c r="A7" s="79">
        <v>5</v>
      </c>
      <c r="B7" s="33" t="s">
        <v>104</v>
      </c>
      <c r="C7" s="1" t="s">
        <v>105</v>
      </c>
      <c r="D7" s="1" t="s">
        <v>106</v>
      </c>
      <c r="E7" s="35">
        <f>3304754.25+2499078+631694+23+231806.5+262+75092-166+83827.5</f>
        <v>6826371.25</v>
      </c>
      <c r="F7" s="36">
        <f>413699+312050+80320+31253+42+12537-15+13061</f>
        <v>862947</v>
      </c>
      <c r="G7" s="9">
        <f t="shared" si="0"/>
        <v>7.910533613304177</v>
      </c>
      <c r="H7" s="70">
        <v>1</v>
      </c>
      <c r="I7" s="30"/>
      <c r="J7" s="31"/>
      <c r="K7" s="30"/>
    </row>
    <row r="8" spans="1:11" s="4" customFormat="1" ht="15">
      <c r="A8" s="79">
        <v>6</v>
      </c>
      <c r="B8" s="83" t="s">
        <v>380</v>
      </c>
      <c r="C8" s="83" t="s">
        <v>101</v>
      </c>
      <c r="D8" s="83" t="s">
        <v>28</v>
      </c>
      <c r="E8" s="101">
        <v>5863880</v>
      </c>
      <c r="F8" s="102">
        <v>781115</v>
      </c>
      <c r="G8" s="80">
        <f t="shared" si="0"/>
        <v>7.507063620593638</v>
      </c>
      <c r="H8" s="70">
        <v>1</v>
      </c>
      <c r="I8" s="30"/>
      <c r="J8" s="31"/>
      <c r="K8" s="30"/>
    </row>
    <row r="9" spans="1:11" s="4" customFormat="1" ht="15">
      <c r="A9" s="79">
        <v>7</v>
      </c>
      <c r="B9" s="50" t="s">
        <v>110</v>
      </c>
      <c r="C9" s="1" t="s">
        <v>105</v>
      </c>
      <c r="D9" s="10" t="s">
        <v>111</v>
      </c>
      <c r="E9" s="35">
        <f>1758644.5+1323710+941534+309534.5+197920+55019+28515+10481.5+9376+0.5+7127+5202+0.5+4667+2669+85+805+2472+228+108+1372+272+347</f>
        <v>4660089.5</v>
      </c>
      <c r="F9" s="36">
        <f>205635+158652+117576+43365+28181+9066+4843+2243+2345+1225+998+716+401+17+161+412+38+18+343+46+58</f>
        <v>576339</v>
      </c>
      <c r="G9" s="12">
        <f t="shared" si="0"/>
        <v>8.085674403432701</v>
      </c>
      <c r="H9" s="70">
        <v>1</v>
      </c>
      <c r="I9" s="30"/>
      <c r="J9" s="31"/>
      <c r="K9" s="30"/>
    </row>
    <row r="10" spans="1:11" s="4" customFormat="1" ht="15">
      <c r="A10" s="79">
        <v>8</v>
      </c>
      <c r="B10" s="50" t="s">
        <v>113</v>
      </c>
      <c r="C10" s="10" t="s">
        <v>89</v>
      </c>
      <c r="D10" s="10" t="s">
        <v>114</v>
      </c>
      <c r="E10" s="35">
        <v>3760707.25</v>
      </c>
      <c r="F10" s="36">
        <v>516018</v>
      </c>
      <c r="G10" s="12">
        <f t="shared" si="0"/>
        <v>7.2879381145618956</v>
      </c>
      <c r="H10" s="70">
        <v>1</v>
      </c>
      <c r="I10" s="30"/>
      <c r="J10" s="31"/>
      <c r="K10" s="30"/>
    </row>
    <row r="11" spans="1:11" s="4" customFormat="1" ht="15">
      <c r="A11" s="79">
        <v>9</v>
      </c>
      <c r="B11" s="33" t="s">
        <v>115</v>
      </c>
      <c r="C11" s="1" t="s">
        <v>105</v>
      </c>
      <c r="D11" s="1" t="s">
        <v>116</v>
      </c>
      <c r="E11" s="35">
        <f>1669127.75+948082.25+584112.75-1430.5+253635+167357+9936+0.5+7987+1963+4065</f>
        <v>3644835.75</v>
      </c>
      <c r="F11" s="36">
        <f>200044+117374+72700-112+36636+25117+1706+1163+472+1036</f>
        <v>456136</v>
      </c>
      <c r="G11" s="9">
        <f t="shared" si="0"/>
        <v>7.990677670694705</v>
      </c>
      <c r="H11" s="70">
        <v>1</v>
      </c>
      <c r="I11" s="30"/>
      <c r="J11" s="31"/>
      <c r="K11" s="30"/>
    </row>
    <row r="12" spans="1:11" s="4" customFormat="1" ht="15">
      <c r="A12" s="79">
        <v>10</v>
      </c>
      <c r="B12" s="49" t="s">
        <v>162</v>
      </c>
      <c r="C12" s="6" t="s">
        <v>89</v>
      </c>
      <c r="D12" s="6" t="s">
        <v>163</v>
      </c>
      <c r="E12" s="60">
        <f>3513711+5034+713</f>
        <v>3519458</v>
      </c>
      <c r="F12" s="36">
        <f>479658+1007+143</f>
        <v>480808</v>
      </c>
      <c r="G12" s="5">
        <f>E12/F12</f>
        <v>7.319882364686111</v>
      </c>
      <c r="H12" s="71">
        <v>1</v>
      </c>
      <c r="I12" s="30"/>
      <c r="J12" s="31"/>
      <c r="K12" s="30"/>
    </row>
    <row r="13" spans="1:11" s="4" customFormat="1" ht="15">
      <c r="A13" s="79">
        <v>11</v>
      </c>
      <c r="B13" s="33" t="s">
        <v>315</v>
      </c>
      <c r="C13" s="1" t="s">
        <v>245</v>
      </c>
      <c r="D13" s="1" t="s">
        <v>316</v>
      </c>
      <c r="E13" s="35">
        <v>3076291.5</v>
      </c>
      <c r="F13" s="36">
        <v>356456</v>
      </c>
      <c r="G13" s="12">
        <f>+E13/F13</f>
        <v>8.630213827232534</v>
      </c>
      <c r="H13" s="70">
        <v>1</v>
      </c>
      <c r="I13" s="30"/>
      <c r="J13" s="31"/>
      <c r="K13" s="30"/>
    </row>
    <row r="14" spans="1:11" s="4" customFormat="1" ht="15">
      <c r="A14" s="79">
        <v>12</v>
      </c>
      <c r="B14" s="51" t="s">
        <v>176</v>
      </c>
      <c r="C14" s="19" t="s">
        <v>92</v>
      </c>
      <c r="D14" s="14" t="s">
        <v>93</v>
      </c>
      <c r="E14" s="63">
        <v>2637536</v>
      </c>
      <c r="F14" s="64">
        <v>306661</v>
      </c>
      <c r="G14" s="9">
        <f>+E14/F14</f>
        <v>8.600819797757133</v>
      </c>
      <c r="H14" s="70">
        <v>1</v>
      </c>
      <c r="I14" s="30"/>
      <c r="J14" s="31"/>
      <c r="K14" s="30"/>
    </row>
    <row r="15" spans="1:11" s="4" customFormat="1" ht="15">
      <c r="A15" s="79">
        <v>13</v>
      </c>
      <c r="B15" s="52" t="s">
        <v>179</v>
      </c>
      <c r="C15" s="10" t="s">
        <v>318</v>
      </c>
      <c r="D15" s="20" t="s">
        <v>180</v>
      </c>
      <c r="E15" s="35">
        <v>2568056</v>
      </c>
      <c r="F15" s="36">
        <v>307225</v>
      </c>
      <c r="G15" s="17">
        <f>+E15/F15</f>
        <v>8.358877044511352</v>
      </c>
      <c r="H15" s="70">
        <v>1</v>
      </c>
      <c r="I15" s="30"/>
      <c r="J15" s="31"/>
      <c r="K15" s="30"/>
    </row>
    <row r="16" spans="1:11" s="4" customFormat="1" ht="15">
      <c r="A16" s="79">
        <v>14</v>
      </c>
      <c r="B16" s="33" t="s">
        <v>183</v>
      </c>
      <c r="C16" s="1" t="s">
        <v>96</v>
      </c>
      <c r="D16" s="1" t="s">
        <v>184</v>
      </c>
      <c r="E16" s="58">
        <f>1128559+561773+266735+93447+7005+1818+273+24520+599+3199</f>
        <v>2087928</v>
      </c>
      <c r="F16" s="59">
        <f>129422+68620+41591+19064+1291+300+35+6130+81+717</f>
        <v>267251</v>
      </c>
      <c r="G16" s="5">
        <f>E16/F16</f>
        <v>7.8126106169855305</v>
      </c>
      <c r="H16" s="70">
        <v>1</v>
      </c>
      <c r="I16" s="30"/>
      <c r="J16" s="31"/>
      <c r="K16" s="30"/>
    </row>
    <row r="17" spans="1:11" s="4" customFormat="1" ht="15">
      <c r="A17" s="79">
        <v>15</v>
      </c>
      <c r="B17" s="83" t="s">
        <v>455</v>
      </c>
      <c r="C17" s="83" t="s">
        <v>456</v>
      </c>
      <c r="D17" s="83" t="s">
        <v>457</v>
      </c>
      <c r="E17" s="103">
        <v>1895982.4</v>
      </c>
      <c r="F17" s="104">
        <v>254530</v>
      </c>
      <c r="G17" s="80">
        <f>+E17/F17</f>
        <v>7.448954543668722</v>
      </c>
      <c r="H17" s="70">
        <v>1</v>
      </c>
      <c r="I17" s="30"/>
      <c r="J17" s="31"/>
      <c r="K17" s="30"/>
    </row>
    <row r="18" spans="1:11" s="4" customFormat="1" ht="15">
      <c r="A18" s="79">
        <v>16</v>
      </c>
      <c r="B18" s="33" t="s">
        <v>185</v>
      </c>
      <c r="C18" s="1" t="s">
        <v>96</v>
      </c>
      <c r="D18" s="1" t="s">
        <v>186</v>
      </c>
      <c r="E18" s="58">
        <f>909778+593215.5+203934.5+91391+32233.5+29451.5+14597.5+12123.5</f>
        <v>1886725</v>
      </c>
      <c r="F18" s="59">
        <f>103944+67300+25860+13426+5611+5689+2739+1975</f>
        <v>226544</v>
      </c>
      <c r="G18" s="5">
        <f>E18/F18</f>
        <v>8.328293841372979</v>
      </c>
      <c r="H18" s="70">
        <v>1</v>
      </c>
      <c r="I18" s="30"/>
      <c r="J18" s="31"/>
      <c r="K18" s="30"/>
    </row>
    <row r="19" spans="1:11" s="4" customFormat="1" ht="15">
      <c r="A19" s="79">
        <v>17</v>
      </c>
      <c r="B19" s="50" t="s">
        <v>187</v>
      </c>
      <c r="C19" s="10" t="s">
        <v>318</v>
      </c>
      <c r="D19" s="10" t="s">
        <v>323</v>
      </c>
      <c r="E19" s="35">
        <v>1818482</v>
      </c>
      <c r="F19" s="36">
        <v>248596</v>
      </c>
      <c r="G19" s="12">
        <f aca="true" t="shared" si="1" ref="G19:G24">+E19/F19</f>
        <v>7.315009091055367</v>
      </c>
      <c r="H19" s="70">
        <v>1</v>
      </c>
      <c r="I19" s="30"/>
      <c r="J19" s="31"/>
      <c r="K19" s="30"/>
    </row>
    <row r="20" spans="1:11" s="4" customFormat="1" ht="15">
      <c r="A20" s="79">
        <v>18</v>
      </c>
      <c r="B20" s="51" t="s">
        <v>191</v>
      </c>
      <c r="C20" s="14" t="s">
        <v>101</v>
      </c>
      <c r="D20" s="14" t="s">
        <v>192</v>
      </c>
      <c r="E20" s="61">
        <v>1589600</v>
      </c>
      <c r="F20" s="62">
        <v>183015</v>
      </c>
      <c r="G20" s="16">
        <f t="shared" si="1"/>
        <v>8.685626861186241</v>
      </c>
      <c r="H20" s="70">
        <v>1</v>
      </c>
      <c r="I20" s="30"/>
      <c r="J20" s="31"/>
      <c r="K20" s="30"/>
    </row>
    <row r="21" spans="1:14" ht="15">
      <c r="A21" s="79">
        <v>19</v>
      </c>
      <c r="B21" s="33" t="s">
        <v>193</v>
      </c>
      <c r="C21" s="1" t="s">
        <v>105</v>
      </c>
      <c r="D21" s="1" t="s">
        <v>194</v>
      </c>
      <c r="E21" s="58">
        <f>568084.5+439199.5+199559+109980+164256.5-20+26773.5+13463+1383+6404+0.5+715+335+85+378+1008+757+6618+713+0.75+243+1525+380+105+2395</f>
        <v>1544341.25</v>
      </c>
      <c r="F21" s="59">
        <f>79686+62524+31158+18444+26844-3+5195+2619+207+1137+130+77+14+84+252+149+1160+124+32+241+76+21+342</f>
        <v>230513</v>
      </c>
      <c r="G21" s="5">
        <f t="shared" si="1"/>
        <v>6.69958418831042</v>
      </c>
      <c r="H21" s="70">
        <v>1</v>
      </c>
      <c r="I21" s="27"/>
      <c r="J21" s="28"/>
      <c r="K21" s="27"/>
      <c r="L21" s="29"/>
      <c r="N21" s="3"/>
    </row>
    <row r="22" spans="1:11" s="4" customFormat="1" ht="15">
      <c r="A22" s="79">
        <v>20</v>
      </c>
      <c r="B22" s="86" t="s">
        <v>392</v>
      </c>
      <c r="C22" s="83" t="s">
        <v>393</v>
      </c>
      <c r="D22" s="83" t="s">
        <v>106</v>
      </c>
      <c r="E22" s="103">
        <v>1067730.4</v>
      </c>
      <c r="F22" s="104">
        <v>160225</v>
      </c>
      <c r="G22" s="80">
        <f t="shared" si="1"/>
        <v>6.663943828990481</v>
      </c>
      <c r="H22" s="70">
        <v>1</v>
      </c>
      <c r="I22" s="30"/>
      <c r="J22" s="31"/>
      <c r="K22" s="30"/>
    </row>
    <row r="23" spans="1:11" s="4" customFormat="1" ht="15">
      <c r="A23" s="79">
        <v>21</v>
      </c>
      <c r="B23" s="51" t="s">
        <v>27</v>
      </c>
      <c r="C23" s="14" t="s">
        <v>101</v>
      </c>
      <c r="D23" s="14" t="s">
        <v>28</v>
      </c>
      <c r="E23" s="60">
        <v>1055947.1</v>
      </c>
      <c r="F23" s="36">
        <v>123709</v>
      </c>
      <c r="G23" s="18">
        <f t="shared" si="1"/>
        <v>8.535733859298839</v>
      </c>
      <c r="H23" s="70">
        <v>1</v>
      </c>
      <c r="I23" s="30"/>
      <c r="J23" s="31"/>
      <c r="K23" s="30"/>
    </row>
    <row r="24" spans="1:11" s="4" customFormat="1" ht="15">
      <c r="A24" s="79">
        <v>22</v>
      </c>
      <c r="B24" s="52" t="s">
        <v>30</v>
      </c>
      <c r="C24" s="10" t="s">
        <v>318</v>
      </c>
      <c r="D24" s="20" t="s">
        <v>31</v>
      </c>
      <c r="E24" s="35">
        <v>1032207</v>
      </c>
      <c r="F24" s="36">
        <v>104112</v>
      </c>
      <c r="G24" s="17">
        <f t="shared" si="1"/>
        <v>9.914390272014753</v>
      </c>
      <c r="H24" s="70">
        <v>1</v>
      </c>
      <c r="I24" s="30"/>
      <c r="J24" s="31"/>
      <c r="K24" s="30"/>
    </row>
    <row r="25" spans="1:11" s="4" customFormat="1" ht="15">
      <c r="A25" s="79">
        <v>23</v>
      </c>
      <c r="B25" s="49" t="s">
        <v>33</v>
      </c>
      <c r="C25" s="6" t="s">
        <v>89</v>
      </c>
      <c r="D25" s="6" t="s">
        <v>34</v>
      </c>
      <c r="E25" s="60">
        <v>1003040</v>
      </c>
      <c r="F25" s="36">
        <v>126450</v>
      </c>
      <c r="G25" s="9">
        <f>IF(E25&lt;&gt;0,E25/F25,"")</f>
        <v>7.93230525899565</v>
      </c>
      <c r="H25" s="70">
        <v>1</v>
      </c>
      <c r="I25" s="30"/>
      <c r="J25" s="31"/>
      <c r="K25" s="30"/>
    </row>
    <row r="26" spans="1:11" s="4" customFormat="1" ht="15">
      <c r="A26" s="79">
        <v>24</v>
      </c>
      <c r="B26" s="50" t="s">
        <v>431</v>
      </c>
      <c r="C26" s="10" t="s">
        <v>92</v>
      </c>
      <c r="D26" s="10" t="s">
        <v>195</v>
      </c>
      <c r="E26" s="35">
        <v>912055</v>
      </c>
      <c r="F26" s="36">
        <v>116551</v>
      </c>
      <c r="G26" s="12">
        <f>+E26/F26</f>
        <v>7.825372583675816</v>
      </c>
      <c r="H26" s="70">
        <v>1</v>
      </c>
      <c r="I26" s="30"/>
      <c r="J26" s="31"/>
      <c r="K26" s="30"/>
    </row>
    <row r="27" spans="1:11" s="4" customFormat="1" ht="15">
      <c r="A27" s="79">
        <v>25</v>
      </c>
      <c r="B27" s="33" t="s">
        <v>198</v>
      </c>
      <c r="C27" s="1" t="s">
        <v>96</v>
      </c>
      <c r="D27" s="1" t="s">
        <v>199</v>
      </c>
      <c r="E27" s="58">
        <f>507128.25+345268.5</f>
        <v>852396.75</v>
      </c>
      <c r="F27" s="59">
        <f>53408+37346</f>
        <v>90754</v>
      </c>
      <c r="G27" s="5">
        <f>E27/F27</f>
        <v>9.39238766335368</v>
      </c>
      <c r="H27" s="70">
        <v>1</v>
      </c>
      <c r="I27" s="30"/>
      <c r="J27" s="31"/>
      <c r="K27" s="30"/>
    </row>
    <row r="28" spans="1:11" s="4" customFormat="1" ht="15">
      <c r="A28" s="79">
        <v>26</v>
      </c>
      <c r="B28" s="84" t="s">
        <v>381</v>
      </c>
      <c r="C28" s="84" t="s">
        <v>89</v>
      </c>
      <c r="D28" s="84" t="s">
        <v>208</v>
      </c>
      <c r="E28" s="103">
        <v>848443.5</v>
      </c>
      <c r="F28" s="104">
        <v>115094</v>
      </c>
      <c r="G28" s="80">
        <f>+E28/F28</f>
        <v>7.371743965801866</v>
      </c>
      <c r="H28" s="70">
        <v>1</v>
      </c>
      <c r="I28" s="30"/>
      <c r="J28" s="31"/>
      <c r="K28" s="30"/>
    </row>
    <row r="29" spans="1:11" s="4" customFormat="1" ht="15">
      <c r="A29" s="79">
        <v>27</v>
      </c>
      <c r="B29" s="33" t="s">
        <v>204</v>
      </c>
      <c r="C29" s="1" t="s">
        <v>105</v>
      </c>
      <c r="D29" s="1" t="s">
        <v>205</v>
      </c>
      <c r="E29" s="35">
        <f>821982.75</f>
        <v>821982.75</v>
      </c>
      <c r="F29" s="36">
        <f>109740</f>
        <v>109740</v>
      </c>
      <c r="G29" s="9">
        <f>+E29/F29</f>
        <v>7.490274740295243</v>
      </c>
      <c r="H29" s="70">
        <v>1</v>
      </c>
      <c r="I29" s="30"/>
      <c r="J29" s="31"/>
      <c r="K29" s="30"/>
    </row>
    <row r="30" spans="1:11" s="4" customFormat="1" ht="15">
      <c r="A30" s="79">
        <v>28</v>
      </c>
      <c r="B30" s="49" t="s">
        <v>207</v>
      </c>
      <c r="C30" s="6" t="s">
        <v>89</v>
      </c>
      <c r="D30" s="6" t="s">
        <v>208</v>
      </c>
      <c r="E30" s="60">
        <f>809170.5+713</f>
        <v>809883.5</v>
      </c>
      <c r="F30" s="36">
        <f>102073+143</f>
        <v>102216</v>
      </c>
      <c r="G30" s="5">
        <f>E30/F30</f>
        <v>7.923255654692024</v>
      </c>
      <c r="H30" s="70">
        <v>1</v>
      </c>
      <c r="I30" s="30"/>
      <c r="J30" s="31"/>
      <c r="K30" s="30"/>
    </row>
    <row r="31" spans="1:11" s="4" customFormat="1" ht="15">
      <c r="A31" s="79">
        <v>29</v>
      </c>
      <c r="B31" s="33" t="s">
        <v>209</v>
      </c>
      <c r="C31" s="1" t="s">
        <v>105</v>
      </c>
      <c r="D31" s="1" t="s">
        <v>210</v>
      </c>
      <c r="E31" s="35">
        <f>492395.5+172608.75+93279.75+41455.5+4013+0.5+709.5+90+170+100+2036</f>
        <v>806858.5</v>
      </c>
      <c r="F31" s="36">
        <f>60122+23227+13952+6612+619+91+9+17+10+407</f>
        <v>105066</v>
      </c>
      <c r="G31" s="17">
        <f>+E31/F31</f>
        <v>7.6795395275350735</v>
      </c>
      <c r="H31" s="70">
        <v>1</v>
      </c>
      <c r="I31" s="30"/>
      <c r="J31" s="31"/>
      <c r="K31" s="30"/>
    </row>
    <row r="32" spans="1:11" s="4" customFormat="1" ht="15">
      <c r="A32" s="79">
        <v>30</v>
      </c>
      <c r="B32" s="50" t="s">
        <v>213</v>
      </c>
      <c r="C32" s="10" t="s">
        <v>89</v>
      </c>
      <c r="D32" s="6" t="s">
        <v>299</v>
      </c>
      <c r="E32" s="35">
        <f>760517+188</f>
        <v>760705</v>
      </c>
      <c r="F32" s="36">
        <f>116888+26</f>
        <v>116914</v>
      </c>
      <c r="G32" s="12">
        <f>+E32/F32</f>
        <v>6.506534717826779</v>
      </c>
      <c r="H32" s="70">
        <v>1</v>
      </c>
      <c r="I32" s="30"/>
      <c r="J32" s="31"/>
      <c r="K32" s="30"/>
    </row>
    <row r="33" spans="1:11" s="4" customFormat="1" ht="15">
      <c r="A33" s="79">
        <v>31</v>
      </c>
      <c r="B33" s="82" t="s">
        <v>446</v>
      </c>
      <c r="C33" s="81" t="s">
        <v>96</v>
      </c>
      <c r="D33" s="81" t="s">
        <v>447</v>
      </c>
      <c r="E33" s="103">
        <v>669993.8</v>
      </c>
      <c r="F33" s="104">
        <v>95220</v>
      </c>
      <c r="G33" s="80">
        <f>+E33/F33</f>
        <v>7.036271791640412</v>
      </c>
      <c r="H33" s="70">
        <v>1</v>
      </c>
      <c r="I33" s="30"/>
      <c r="J33" s="31"/>
      <c r="K33" s="30"/>
    </row>
    <row r="34" spans="1:11" s="4" customFormat="1" ht="15">
      <c r="A34" s="79">
        <v>32</v>
      </c>
      <c r="B34" s="49" t="s">
        <v>220</v>
      </c>
      <c r="C34" s="6" t="s">
        <v>89</v>
      </c>
      <c r="D34" s="6" t="s">
        <v>221</v>
      </c>
      <c r="E34" s="60">
        <v>648511.5</v>
      </c>
      <c r="F34" s="36">
        <v>77717</v>
      </c>
      <c r="G34" s="9">
        <f>IF(E34&lt;&gt;0,E34/F34,"")</f>
        <v>8.344525650758522</v>
      </c>
      <c r="H34" s="70">
        <v>1</v>
      </c>
      <c r="I34" s="30"/>
      <c r="J34" s="31"/>
      <c r="K34" s="30"/>
    </row>
    <row r="35" spans="1:11" s="4" customFormat="1" ht="15">
      <c r="A35" s="79">
        <v>33</v>
      </c>
      <c r="B35" s="51" t="s">
        <v>39</v>
      </c>
      <c r="C35" s="14" t="s">
        <v>101</v>
      </c>
      <c r="D35" s="14" t="s">
        <v>40</v>
      </c>
      <c r="E35" s="61">
        <v>590481.8</v>
      </c>
      <c r="F35" s="62">
        <v>80550</v>
      </c>
      <c r="G35" s="12">
        <f>+E35/F35</f>
        <v>7.330624456859094</v>
      </c>
      <c r="H35" s="70">
        <v>1</v>
      </c>
      <c r="I35" s="30"/>
      <c r="J35" s="31"/>
      <c r="K35" s="30"/>
    </row>
    <row r="36" spans="1:11" s="4" customFormat="1" ht="15">
      <c r="A36" s="79">
        <v>34</v>
      </c>
      <c r="B36" s="33" t="s">
        <v>43</v>
      </c>
      <c r="C36" s="1" t="s">
        <v>96</v>
      </c>
      <c r="D36" s="1" t="s">
        <v>44</v>
      </c>
      <c r="E36" s="58">
        <f>198009+121514.5+95148.5+66495+23091+12092+17648.5+7279+6352.5+7838.5</f>
        <v>555468.5</v>
      </c>
      <c r="F36" s="59">
        <f>27092+16078+14204+10980+3903+1664+3329+1236+1212+1399</f>
        <v>81097</v>
      </c>
      <c r="G36" s="5">
        <f>E36/F36</f>
        <v>6.849433394576865</v>
      </c>
      <c r="H36" s="70">
        <v>1</v>
      </c>
      <c r="I36" s="30"/>
      <c r="J36" s="31"/>
      <c r="K36" s="30"/>
    </row>
    <row r="37" spans="1:11" s="4" customFormat="1" ht="15">
      <c r="A37" s="79">
        <v>35</v>
      </c>
      <c r="B37" s="49" t="s">
        <v>51</v>
      </c>
      <c r="C37" s="6" t="s">
        <v>89</v>
      </c>
      <c r="D37" s="6" t="s">
        <v>52</v>
      </c>
      <c r="E37" s="60">
        <v>522269.25</v>
      </c>
      <c r="F37" s="36">
        <v>55475</v>
      </c>
      <c r="G37" s="9">
        <f>IF(E37&lt;&gt;0,E37/F37,"")</f>
        <v>9.41449752140604</v>
      </c>
      <c r="H37" s="70">
        <v>1</v>
      </c>
      <c r="I37" s="30"/>
      <c r="J37" s="31"/>
      <c r="K37" s="30"/>
    </row>
    <row r="38" spans="1:11" s="4" customFormat="1" ht="15">
      <c r="A38" s="79">
        <v>36</v>
      </c>
      <c r="B38" s="81" t="s">
        <v>445</v>
      </c>
      <c r="C38" s="81" t="s">
        <v>92</v>
      </c>
      <c r="D38" s="81" t="s">
        <v>444</v>
      </c>
      <c r="E38" s="103">
        <v>445884.4</v>
      </c>
      <c r="F38" s="104">
        <v>51420</v>
      </c>
      <c r="G38" s="80">
        <f>+E38/F38</f>
        <v>8.671419681057955</v>
      </c>
      <c r="H38" s="70">
        <v>1</v>
      </c>
      <c r="I38" s="30"/>
      <c r="J38" s="31"/>
      <c r="K38" s="30"/>
    </row>
    <row r="39" spans="1:11" s="4" customFormat="1" ht="15">
      <c r="A39" s="79">
        <v>37</v>
      </c>
      <c r="B39" s="50" t="s">
        <v>81</v>
      </c>
      <c r="C39" s="10" t="s">
        <v>318</v>
      </c>
      <c r="D39" s="10" t="s">
        <v>82</v>
      </c>
      <c r="E39" s="35">
        <v>321747</v>
      </c>
      <c r="F39" s="36">
        <v>41835</v>
      </c>
      <c r="G39" s="12">
        <f>+E39/F39</f>
        <v>7.690856937970599</v>
      </c>
      <c r="H39" s="70">
        <v>1</v>
      </c>
      <c r="I39" s="30"/>
      <c r="J39" s="31"/>
      <c r="K39" s="30"/>
    </row>
    <row r="40" spans="1:11" s="4" customFormat="1" ht="15">
      <c r="A40" s="79">
        <v>38</v>
      </c>
      <c r="B40" s="50" t="s">
        <v>83</v>
      </c>
      <c r="C40" s="10" t="s">
        <v>89</v>
      </c>
      <c r="D40" s="10" t="s">
        <v>84</v>
      </c>
      <c r="E40" s="35">
        <v>319987.75</v>
      </c>
      <c r="F40" s="36">
        <v>44050</v>
      </c>
      <c r="G40" s="12">
        <f>+E40/F40</f>
        <v>7.264194097616345</v>
      </c>
      <c r="H40" s="70">
        <v>1</v>
      </c>
      <c r="I40" s="30"/>
      <c r="J40" s="31"/>
      <c r="K40" s="30"/>
    </row>
    <row r="41" spans="1:11" s="4" customFormat="1" ht="15">
      <c r="A41" s="79">
        <v>39</v>
      </c>
      <c r="B41" s="49" t="s">
        <v>283</v>
      </c>
      <c r="C41" s="6" t="s">
        <v>89</v>
      </c>
      <c r="D41" s="6" t="s">
        <v>284</v>
      </c>
      <c r="E41" s="60">
        <v>277072</v>
      </c>
      <c r="F41" s="36">
        <v>37117</v>
      </c>
      <c r="G41" s="9">
        <f>IF(E41&lt;&gt;0,E41/F41,"")</f>
        <v>7.464827437562303</v>
      </c>
      <c r="H41" s="70">
        <v>1</v>
      </c>
      <c r="I41" s="30"/>
      <c r="J41" s="31"/>
      <c r="K41" s="30"/>
    </row>
    <row r="42" spans="1:11" s="4" customFormat="1" ht="15">
      <c r="A42" s="79">
        <v>40</v>
      </c>
      <c r="B42" s="33" t="s">
        <v>288</v>
      </c>
      <c r="C42" s="1" t="s">
        <v>96</v>
      </c>
      <c r="D42" s="1" t="s">
        <v>289</v>
      </c>
      <c r="E42" s="58">
        <f>71921.5+55489+28896+23842.5+13474.5+19552.5+14027+10409+7091.5+1088.5+1046+1608+982+3368+433+2156+3870+2362+588+3564+2376+1424+1780+1424+1512</f>
        <v>274285</v>
      </c>
      <c r="F42" s="59">
        <f>9131+7791+4520+4728+2735+3857+3026+2110+1463+203+226+324+239+809+81+469+941+537+95+891+594+356+445+356+378</f>
        <v>46305</v>
      </c>
      <c r="G42" s="5">
        <f>E42/F42</f>
        <v>5.923442392830148</v>
      </c>
      <c r="H42" s="70">
        <v>1</v>
      </c>
      <c r="I42" s="30"/>
      <c r="J42" s="31"/>
      <c r="K42" s="30"/>
    </row>
    <row r="43" spans="1:11" s="4" customFormat="1" ht="15">
      <c r="A43" s="79">
        <v>41</v>
      </c>
      <c r="B43" s="49" t="s">
        <v>298</v>
      </c>
      <c r="C43" s="6" t="s">
        <v>89</v>
      </c>
      <c r="D43" s="6" t="s">
        <v>299</v>
      </c>
      <c r="E43" s="60">
        <v>257488.25</v>
      </c>
      <c r="F43" s="36">
        <v>25853</v>
      </c>
      <c r="G43" s="9">
        <f>IF(E43&lt;&gt;0,E43/F43,"")</f>
        <v>9.959704869841024</v>
      </c>
      <c r="H43" s="70">
        <v>1</v>
      </c>
      <c r="I43" s="30"/>
      <c r="J43" s="31"/>
      <c r="K43" s="30"/>
    </row>
    <row r="44" spans="1:11" s="4" customFormat="1" ht="15">
      <c r="A44" s="79">
        <v>42</v>
      </c>
      <c r="B44" s="51" t="s">
        <v>305</v>
      </c>
      <c r="C44" s="13" t="s">
        <v>317</v>
      </c>
      <c r="D44" s="14" t="s">
        <v>306</v>
      </c>
      <c r="E44" s="60">
        <v>225757</v>
      </c>
      <c r="F44" s="36">
        <v>27993</v>
      </c>
      <c r="G44" s="18">
        <f>+E44/F44</f>
        <v>8.064766191547887</v>
      </c>
      <c r="H44" s="70">
        <v>1</v>
      </c>
      <c r="I44" s="30"/>
      <c r="J44" s="31"/>
      <c r="K44" s="30"/>
    </row>
    <row r="45" spans="1:11" s="4" customFormat="1" ht="15">
      <c r="A45" s="79">
        <v>43</v>
      </c>
      <c r="B45" s="50" t="s">
        <v>329</v>
      </c>
      <c r="C45" s="1" t="s">
        <v>105</v>
      </c>
      <c r="D45" s="10" t="s">
        <v>330</v>
      </c>
      <c r="E45" s="35">
        <f>114460.75+42138+22420+8194+3259+329+823+25444.5+546+3853</f>
        <v>221467.25</v>
      </c>
      <c r="F45" s="36">
        <f>15343+6534+4108+1491+680+62+130+4241+100+770</f>
        <v>33459</v>
      </c>
      <c r="G45" s="12">
        <f>+E45/F45</f>
        <v>6.619063630114469</v>
      </c>
      <c r="H45" s="70">
        <v>1</v>
      </c>
      <c r="I45" s="30"/>
      <c r="J45" s="31"/>
      <c r="K45" s="30"/>
    </row>
    <row r="46" spans="1:11" s="4" customFormat="1" ht="15">
      <c r="A46" s="79">
        <v>44</v>
      </c>
      <c r="B46" s="50" t="s">
        <v>333</v>
      </c>
      <c r="C46" s="10" t="s">
        <v>96</v>
      </c>
      <c r="D46" s="10" t="s">
        <v>334</v>
      </c>
      <c r="E46" s="58">
        <f>108013.25+68864+27976+10214+2402+2209</f>
        <v>219678.25</v>
      </c>
      <c r="F46" s="59">
        <f>12202+8144+4339+1841+481+460</f>
        <v>27467</v>
      </c>
      <c r="G46" s="21">
        <f>E46/F46</f>
        <v>7.9978974769723665</v>
      </c>
      <c r="H46" s="70">
        <v>1</v>
      </c>
      <c r="I46" s="30"/>
      <c r="J46" s="31"/>
      <c r="K46" s="30"/>
    </row>
    <row r="47" spans="1:11" s="4" customFormat="1" ht="15">
      <c r="A47" s="79">
        <v>45</v>
      </c>
      <c r="B47" s="50" t="s">
        <v>338</v>
      </c>
      <c r="C47" s="10" t="s">
        <v>96</v>
      </c>
      <c r="D47" s="10" t="s">
        <v>339</v>
      </c>
      <c r="E47" s="35">
        <f>57133.5+23554+18557+9186+29743.5+13631.5+13446+7072+7029+8018.5+7220.5+2856.5+1828+102+3517+635+324+30+2146+1842+376+154+799</f>
        <v>209201</v>
      </c>
      <c r="F47" s="36">
        <f>5405+2651+2356+1389+3583+1713+1661+1216+1174+1324+1425+542+453+16+757+96+108+10+508+436+35+14+67</f>
        <v>26939</v>
      </c>
      <c r="G47" s="12">
        <f>E47/F47</f>
        <v>7.765729982553176</v>
      </c>
      <c r="H47" s="70">
        <v>1</v>
      </c>
      <c r="I47" s="30"/>
      <c r="J47" s="31"/>
      <c r="K47" s="30"/>
    </row>
    <row r="48" spans="1:11" s="4" customFormat="1" ht="15">
      <c r="A48" s="79">
        <v>46</v>
      </c>
      <c r="B48" s="81" t="s">
        <v>394</v>
      </c>
      <c r="C48" s="81" t="s">
        <v>393</v>
      </c>
      <c r="D48" s="81" t="s">
        <v>395</v>
      </c>
      <c r="E48" s="103">
        <v>168016.5</v>
      </c>
      <c r="F48" s="104">
        <v>25786</v>
      </c>
      <c r="G48" s="80">
        <f>+E48/F48</f>
        <v>6.5158031489955786</v>
      </c>
      <c r="H48" s="70">
        <v>1</v>
      </c>
      <c r="I48" s="30"/>
      <c r="J48" s="31"/>
      <c r="K48" s="30"/>
    </row>
    <row r="49" spans="1:11" s="4" customFormat="1" ht="15">
      <c r="A49" s="79">
        <v>47</v>
      </c>
      <c r="B49" s="49" t="s">
        <v>121</v>
      </c>
      <c r="C49" s="1" t="s">
        <v>105</v>
      </c>
      <c r="D49" s="6" t="s">
        <v>321</v>
      </c>
      <c r="E49" s="60">
        <f>97823.75+40249.75+18532+5997+2408+0.5</f>
        <v>165011</v>
      </c>
      <c r="F49" s="36">
        <f>11428+6079+3391+1466+602</f>
        <v>22966</v>
      </c>
      <c r="G49" s="18">
        <f>+E49/F49</f>
        <v>7.1850126273621875</v>
      </c>
      <c r="H49" s="70">
        <v>1</v>
      </c>
      <c r="I49" s="30"/>
      <c r="J49" s="31"/>
      <c r="K49" s="30"/>
    </row>
    <row r="50" spans="1:11" s="4" customFormat="1" ht="15">
      <c r="A50" s="79">
        <v>48</v>
      </c>
      <c r="B50" s="50" t="s">
        <v>127</v>
      </c>
      <c r="C50" s="10" t="s">
        <v>96</v>
      </c>
      <c r="D50" s="10" t="s">
        <v>128</v>
      </c>
      <c r="E50" s="35">
        <f>53374.5+21232.5+15713+17154+11858.5+7161+6552+3862+3628+1527+122+233.5+60+236+80+64+431+405+540+256+514+4296+117</f>
        <v>149417</v>
      </c>
      <c r="F50" s="36">
        <f>6646+2890+2666+3061+2083+1483+1285+676+775+318+20+74+20+45+16+15+90+66+87+42+72+1011+21</f>
        <v>23462</v>
      </c>
      <c r="G50" s="12">
        <f>E50/F50</f>
        <v>6.368468161282073</v>
      </c>
      <c r="H50" s="70">
        <v>1</v>
      </c>
      <c r="I50" s="30"/>
      <c r="J50" s="31"/>
      <c r="K50" s="30"/>
    </row>
    <row r="51" spans="1:11" s="4" customFormat="1" ht="15">
      <c r="A51" s="79">
        <v>49</v>
      </c>
      <c r="B51" s="49" t="s">
        <v>130</v>
      </c>
      <c r="C51" s="6" t="s">
        <v>89</v>
      </c>
      <c r="D51" s="6" t="s">
        <v>131</v>
      </c>
      <c r="E51" s="60">
        <v>147251</v>
      </c>
      <c r="F51" s="36">
        <v>18159</v>
      </c>
      <c r="G51" s="9">
        <f>IF(E51&lt;&gt;0,E51/F51,"")</f>
        <v>8.108981772124016</v>
      </c>
      <c r="H51" s="70">
        <v>1</v>
      </c>
      <c r="I51" s="30"/>
      <c r="J51" s="31"/>
      <c r="K51" s="30"/>
    </row>
    <row r="52" spans="1:11" s="4" customFormat="1" ht="15">
      <c r="A52" s="79">
        <v>50</v>
      </c>
      <c r="B52" s="50" t="s">
        <v>136</v>
      </c>
      <c r="C52" s="1" t="s">
        <v>245</v>
      </c>
      <c r="D52" s="10" t="s">
        <v>137</v>
      </c>
      <c r="E52" s="35">
        <v>136213</v>
      </c>
      <c r="F52" s="36">
        <v>20091</v>
      </c>
      <c r="G52" s="12">
        <f>E52/F52</f>
        <v>6.779801901348863</v>
      </c>
      <c r="H52" s="70">
        <v>1</v>
      </c>
      <c r="I52" s="30"/>
      <c r="J52" s="31"/>
      <c r="K52" s="30"/>
    </row>
    <row r="53" spans="1:11" s="4" customFormat="1" ht="15">
      <c r="A53" s="79">
        <v>51</v>
      </c>
      <c r="B53" s="52" t="s">
        <v>149</v>
      </c>
      <c r="C53" s="10" t="s">
        <v>318</v>
      </c>
      <c r="D53" s="20" t="s">
        <v>150</v>
      </c>
      <c r="E53" s="35">
        <v>126870</v>
      </c>
      <c r="F53" s="36">
        <v>14550</v>
      </c>
      <c r="G53" s="17">
        <f>+E53/F53</f>
        <v>8.719587628865979</v>
      </c>
      <c r="H53" s="70">
        <v>1</v>
      </c>
      <c r="I53" s="30"/>
      <c r="J53" s="31"/>
      <c r="K53" s="30"/>
    </row>
    <row r="54" spans="1:11" s="4" customFormat="1" ht="15">
      <c r="A54" s="79">
        <v>52</v>
      </c>
      <c r="B54" s="50" t="s">
        <v>152</v>
      </c>
      <c r="C54" s="1" t="s">
        <v>245</v>
      </c>
      <c r="D54" s="10" t="s">
        <v>153</v>
      </c>
      <c r="E54" s="35">
        <v>125851</v>
      </c>
      <c r="F54" s="36">
        <v>21182</v>
      </c>
      <c r="G54" s="12">
        <f>+E54/F54</f>
        <v>5.941412520064206</v>
      </c>
      <c r="H54" s="70">
        <v>1</v>
      </c>
      <c r="I54" s="30"/>
      <c r="J54" s="31"/>
      <c r="K54" s="30"/>
    </row>
    <row r="55" spans="1:11" s="4" customFormat="1" ht="15">
      <c r="A55" s="79">
        <v>53</v>
      </c>
      <c r="B55" s="49" t="s">
        <v>154</v>
      </c>
      <c r="C55" s="13" t="s">
        <v>317</v>
      </c>
      <c r="D55" s="6" t="s">
        <v>155</v>
      </c>
      <c r="E55" s="58">
        <f>85102+33545</f>
        <v>118647</v>
      </c>
      <c r="F55" s="59">
        <f>8862+4042</f>
        <v>12904</v>
      </c>
      <c r="G55" s="5">
        <f>+E55/F55</f>
        <v>9.194590824550527</v>
      </c>
      <c r="H55" s="70">
        <v>1</v>
      </c>
      <c r="I55" s="30"/>
      <c r="J55" s="31"/>
      <c r="K55" s="30"/>
    </row>
    <row r="56" spans="1:11" s="4" customFormat="1" ht="15">
      <c r="A56" s="79">
        <v>54</v>
      </c>
      <c r="B56" s="33" t="s">
        <v>161</v>
      </c>
      <c r="C56" s="1" t="s">
        <v>96</v>
      </c>
      <c r="D56" s="1" t="s">
        <v>399</v>
      </c>
      <c r="E56" s="58">
        <f>61012+24426+6122+10040+4081+228+2698</f>
        <v>108607</v>
      </c>
      <c r="F56" s="59">
        <f>5982+2401+678+1620+879+42+433</f>
        <v>12035</v>
      </c>
      <c r="G56" s="5">
        <f>E56/F56</f>
        <v>9.024262567511425</v>
      </c>
      <c r="H56" s="70">
        <v>1</v>
      </c>
      <c r="I56" s="30"/>
      <c r="J56" s="31"/>
      <c r="K56" s="30"/>
    </row>
    <row r="57" spans="1:11" s="4" customFormat="1" ht="15">
      <c r="A57" s="79">
        <v>55</v>
      </c>
      <c r="B57" s="81" t="s">
        <v>458</v>
      </c>
      <c r="C57" s="100" t="s">
        <v>456</v>
      </c>
      <c r="D57" s="81" t="s">
        <v>180</v>
      </c>
      <c r="E57" s="103">
        <v>106952</v>
      </c>
      <c r="F57" s="104">
        <v>21159</v>
      </c>
      <c r="G57" s="80">
        <f>+E57/F57</f>
        <v>5.054681223120185</v>
      </c>
      <c r="H57" s="70">
        <v>1</v>
      </c>
      <c r="I57" s="30"/>
      <c r="J57" s="31"/>
      <c r="K57" s="30"/>
    </row>
    <row r="58" spans="1:11" s="4" customFormat="1" ht="15">
      <c r="A58" s="79">
        <v>56</v>
      </c>
      <c r="B58" s="51" t="s">
        <v>401</v>
      </c>
      <c r="C58" s="1" t="s">
        <v>105</v>
      </c>
      <c r="D58" s="14" t="s">
        <v>324</v>
      </c>
      <c r="E58" s="60">
        <f>50711+18333.5+14353+10919.5+8557+2209</f>
        <v>105083</v>
      </c>
      <c r="F58" s="36">
        <f>4935+2128+2028+1794+1673+548</f>
        <v>13106</v>
      </c>
      <c r="G58" s="9">
        <f>+E58/F58</f>
        <v>8.01793071875477</v>
      </c>
      <c r="H58" s="70">
        <v>1</v>
      </c>
      <c r="I58" s="30"/>
      <c r="J58" s="31"/>
      <c r="K58" s="30"/>
    </row>
    <row r="59" spans="1:11" s="4" customFormat="1" ht="15">
      <c r="A59" s="79">
        <v>57</v>
      </c>
      <c r="B59" s="84" t="s">
        <v>382</v>
      </c>
      <c r="C59" s="84" t="s">
        <v>89</v>
      </c>
      <c r="D59" s="84" t="s">
        <v>383</v>
      </c>
      <c r="E59" s="103">
        <v>105056</v>
      </c>
      <c r="F59" s="104">
        <v>17583</v>
      </c>
      <c r="G59" s="80">
        <f>+E59/F59</f>
        <v>5.974862082693511</v>
      </c>
      <c r="H59" s="70">
        <v>1</v>
      </c>
      <c r="I59" s="30"/>
      <c r="J59" s="31"/>
      <c r="K59" s="30"/>
    </row>
    <row r="60" spans="1:11" s="4" customFormat="1" ht="15">
      <c r="A60" s="79">
        <v>58</v>
      </c>
      <c r="B60" s="50" t="s">
        <v>402</v>
      </c>
      <c r="C60" s="1" t="s">
        <v>245</v>
      </c>
      <c r="D60" s="10" t="s">
        <v>403</v>
      </c>
      <c r="E60" s="35">
        <v>100671.25</v>
      </c>
      <c r="F60" s="36">
        <v>15485</v>
      </c>
      <c r="G60" s="12">
        <f>E60/F60</f>
        <v>6.501210849208912</v>
      </c>
      <c r="H60" s="70">
        <v>1</v>
      </c>
      <c r="I60" s="30"/>
      <c r="J60" s="31"/>
      <c r="K60" s="30"/>
    </row>
    <row r="61" spans="1:11" s="4" customFormat="1" ht="15">
      <c r="A61" s="79">
        <v>59</v>
      </c>
      <c r="B61" s="49" t="s">
        <v>404</v>
      </c>
      <c r="C61" s="6" t="s">
        <v>96</v>
      </c>
      <c r="D61" s="6" t="s">
        <v>405</v>
      </c>
      <c r="E61" s="60">
        <f>36482.75+16583.5+5922.75+3249+4769+4925+4199.5+5525+366+924+414+2215+2444+33+1987+838+1440+537+604+3792+2376</f>
        <v>99626.5</v>
      </c>
      <c r="F61" s="36">
        <f>4495+1934+744+517+1003+1215+722+968+65+193+83+369+384+5+336+159+238+83+151+948+594</f>
        <v>15206</v>
      </c>
      <c r="G61" s="18">
        <f>+E61/F61</f>
        <v>6.55178876759174</v>
      </c>
      <c r="H61" s="70">
        <v>1</v>
      </c>
      <c r="I61" s="30"/>
      <c r="J61" s="31"/>
      <c r="K61" s="30"/>
    </row>
    <row r="62" spans="1:11" s="4" customFormat="1" ht="15">
      <c r="A62" s="79">
        <v>60</v>
      </c>
      <c r="B62" s="55" t="s">
        <v>411</v>
      </c>
      <c r="C62" s="10" t="s">
        <v>318</v>
      </c>
      <c r="D62" s="10" t="s">
        <v>412</v>
      </c>
      <c r="E62" s="35">
        <v>84743</v>
      </c>
      <c r="F62" s="36">
        <v>11286</v>
      </c>
      <c r="G62" s="12">
        <f>+E62/F62</f>
        <v>7.508683324472798</v>
      </c>
      <c r="H62" s="70">
        <v>1</v>
      </c>
      <c r="I62" s="30"/>
      <c r="J62" s="31"/>
      <c r="K62" s="30"/>
    </row>
    <row r="63" spans="1:11" s="4" customFormat="1" ht="15">
      <c r="A63" s="79">
        <v>61</v>
      </c>
      <c r="B63" s="82" t="s">
        <v>396</v>
      </c>
      <c r="C63" s="81" t="s">
        <v>393</v>
      </c>
      <c r="D63" s="81" t="s">
        <v>397</v>
      </c>
      <c r="E63" s="103">
        <v>82227.5</v>
      </c>
      <c r="F63" s="104">
        <v>13421</v>
      </c>
      <c r="G63" s="80">
        <f>+E63/F63</f>
        <v>6.126778928544818</v>
      </c>
      <c r="H63" s="70">
        <v>1</v>
      </c>
      <c r="I63" s="30"/>
      <c r="J63" s="31"/>
      <c r="K63" s="30"/>
    </row>
    <row r="64" spans="1:11" s="4" customFormat="1" ht="15">
      <c r="A64" s="79">
        <v>62</v>
      </c>
      <c r="B64" s="50" t="s">
        <v>418</v>
      </c>
      <c r="C64" s="10" t="s">
        <v>96</v>
      </c>
      <c r="D64" s="10" t="s">
        <v>419</v>
      </c>
      <c r="E64" s="35">
        <f>31480+15536+8716+2149+2897+1360+2390+1251+322+381+329+492+928+436+1103+1913+46+240</f>
        <v>71969</v>
      </c>
      <c r="F64" s="36">
        <f>3450+1778+1361+440+508+248+548+290+68+72+58+96+96+70+137+309+9+48</f>
        <v>9586</v>
      </c>
      <c r="G64" s="12">
        <f>E64/F64</f>
        <v>7.507719591070311</v>
      </c>
      <c r="H64" s="70">
        <v>1</v>
      </c>
      <c r="I64" s="30"/>
      <c r="J64" s="31"/>
      <c r="K64" s="30"/>
    </row>
    <row r="65" spans="1:11" s="4" customFormat="1" ht="15">
      <c r="A65" s="79">
        <v>63</v>
      </c>
      <c r="B65" s="33" t="s">
        <v>424</v>
      </c>
      <c r="C65" s="1" t="s">
        <v>105</v>
      </c>
      <c r="D65" s="1" t="s">
        <v>425</v>
      </c>
      <c r="E65" s="35">
        <f>47428.75+11738.5+1089+270+547+3735+1243</f>
        <v>66051.25</v>
      </c>
      <c r="F65" s="36">
        <f>4865+1345+40+185+107+665+226</f>
        <v>7433</v>
      </c>
      <c r="G65" s="9">
        <f>+E65/F65</f>
        <v>8.88621687071169</v>
      </c>
      <c r="H65" s="70">
        <v>1</v>
      </c>
      <c r="I65" s="30"/>
      <c r="J65" s="31"/>
      <c r="K65" s="30"/>
    </row>
    <row r="66" spans="1:11" s="4" customFormat="1" ht="15">
      <c r="A66" s="79">
        <v>64</v>
      </c>
      <c r="B66" s="50" t="s">
        <v>426</v>
      </c>
      <c r="C66" s="1" t="s">
        <v>105</v>
      </c>
      <c r="D66" s="10" t="s">
        <v>427</v>
      </c>
      <c r="E66" s="35">
        <f>29306.5+14144+7300+0.5+4133+3797+0.5+1972+0.5+3879+586</f>
        <v>65119</v>
      </c>
      <c r="F66" s="36">
        <f>4336+2409+1301+741+778+521+880+95</f>
        <v>11061</v>
      </c>
      <c r="G66" s="12">
        <f>+E66/F66</f>
        <v>5.8872615495886444</v>
      </c>
      <c r="H66" s="70">
        <v>1</v>
      </c>
      <c r="I66" s="30"/>
      <c r="J66" s="31"/>
      <c r="K66" s="30"/>
    </row>
    <row r="67" spans="1:11" s="4" customFormat="1" ht="15">
      <c r="A67" s="79">
        <v>65</v>
      </c>
      <c r="B67" s="33" t="s">
        <v>430</v>
      </c>
      <c r="C67" s="1" t="s">
        <v>105</v>
      </c>
      <c r="D67" s="1" t="s">
        <v>227</v>
      </c>
      <c r="E67" s="35">
        <f>29605.75+13687.5+1715.5+10167+0.5+1482+874+865</f>
        <v>58397.25</v>
      </c>
      <c r="F67" s="36">
        <f>2984+1583+274+1724+229+164+167</f>
        <v>7125</v>
      </c>
      <c r="G67" s="9">
        <f>+E67/F67</f>
        <v>8.196105263157895</v>
      </c>
      <c r="H67" s="70">
        <v>1</v>
      </c>
      <c r="I67" s="30"/>
      <c r="J67" s="31"/>
      <c r="K67" s="30"/>
    </row>
    <row r="68" spans="1:11" s="4" customFormat="1" ht="15">
      <c r="A68" s="79">
        <v>66</v>
      </c>
      <c r="B68" s="50" t="s">
        <v>228</v>
      </c>
      <c r="C68" s="10" t="s">
        <v>89</v>
      </c>
      <c r="D68" s="10" t="s">
        <v>229</v>
      </c>
      <c r="E68" s="35">
        <v>58125.5</v>
      </c>
      <c r="F68" s="36">
        <v>6613</v>
      </c>
      <c r="G68" s="12">
        <f>+E68/F68</f>
        <v>8.789581128081052</v>
      </c>
      <c r="H68" s="70">
        <v>1</v>
      </c>
      <c r="I68" s="30"/>
      <c r="J68" s="31"/>
      <c r="K68" s="30"/>
    </row>
    <row r="69" spans="1:11" s="4" customFormat="1" ht="15">
      <c r="A69" s="79">
        <v>67</v>
      </c>
      <c r="B69" s="50" t="s">
        <v>236</v>
      </c>
      <c r="C69" s="1" t="s">
        <v>105</v>
      </c>
      <c r="D69" s="10" t="s">
        <v>237</v>
      </c>
      <c r="E69" s="35">
        <f>17658.5+10158+4719+2865+5972+4469+115+214+430</f>
        <v>46600.5</v>
      </c>
      <c r="F69" s="36">
        <f>2134+1239+693+537+1092+877+22+32+86</f>
        <v>6712</v>
      </c>
      <c r="G69" s="12">
        <f>+E69/F69</f>
        <v>6.942863528009535</v>
      </c>
      <c r="H69" s="70">
        <v>1</v>
      </c>
      <c r="I69" s="30"/>
      <c r="J69" s="31"/>
      <c r="K69" s="30"/>
    </row>
    <row r="70" spans="1:11" s="4" customFormat="1" ht="15">
      <c r="A70" s="79">
        <v>68</v>
      </c>
      <c r="B70" s="33" t="s">
        <v>244</v>
      </c>
      <c r="C70" s="1" t="s">
        <v>245</v>
      </c>
      <c r="D70" s="1" t="s">
        <v>246</v>
      </c>
      <c r="E70" s="35">
        <v>39614.25</v>
      </c>
      <c r="F70" s="36">
        <v>6508</v>
      </c>
      <c r="G70" s="17">
        <f>E70/F70</f>
        <v>6.087008297480025</v>
      </c>
      <c r="H70" s="70">
        <v>1</v>
      </c>
      <c r="I70" s="30"/>
      <c r="J70" s="31"/>
      <c r="K70" s="30"/>
    </row>
    <row r="71" spans="1:11" s="4" customFormat="1" ht="15">
      <c r="A71" s="79">
        <v>69</v>
      </c>
      <c r="B71" s="81" t="s">
        <v>374</v>
      </c>
      <c r="C71" s="81" t="s">
        <v>375</v>
      </c>
      <c r="D71" s="81" t="s">
        <v>376</v>
      </c>
      <c r="E71" s="103">
        <v>31294</v>
      </c>
      <c r="F71" s="104">
        <v>5603</v>
      </c>
      <c r="G71" s="80">
        <f>+E71/F71</f>
        <v>5.585222202391576</v>
      </c>
      <c r="H71" s="70">
        <v>1</v>
      </c>
      <c r="I71" s="30"/>
      <c r="J71" s="31"/>
      <c r="K71" s="30"/>
    </row>
    <row r="72" spans="1:12" s="4" customFormat="1" ht="15">
      <c r="A72" s="79">
        <v>70</v>
      </c>
      <c r="B72" s="51" t="s">
        <v>252</v>
      </c>
      <c r="C72" s="14" t="s">
        <v>92</v>
      </c>
      <c r="D72" s="14" t="s">
        <v>253</v>
      </c>
      <c r="E72" s="63">
        <v>30372</v>
      </c>
      <c r="F72" s="64">
        <v>4248</v>
      </c>
      <c r="G72" s="18">
        <f>+E72/F72</f>
        <v>7.149717514124294</v>
      </c>
      <c r="H72" s="5"/>
      <c r="I72" s="70"/>
      <c r="J72" s="30"/>
      <c r="K72" s="31"/>
      <c r="L72" s="30"/>
    </row>
    <row r="73" spans="1:12" s="4" customFormat="1" ht="15">
      <c r="A73" s="79">
        <v>71</v>
      </c>
      <c r="B73" s="50" t="s">
        <v>257</v>
      </c>
      <c r="C73" s="10" t="s">
        <v>96</v>
      </c>
      <c r="D73" s="10" t="s">
        <v>258</v>
      </c>
      <c r="E73" s="35">
        <f>10492+1122+2325+2330.5+2538+2584+1814+1327+1537.5+106+367+274+113+758.5+312+155+155+805+709+192</f>
        <v>30016.5</v>
      </c>
      <c r="F73" s="36">
        <f>1114+134+463+420+483+430+441+251+279+22+42+33+18+138+64+31+31+146+100+28</f>
        <v>4668</v>
      </c>
      <c r="G73" s="12">
        <f>E73/F73</f>
        <v>6.4302699228791775</v>
      </c>
      <c r="H73" s="5"/>
      <c r="I73" s="70"/>
      <c r="J73" s="30"/>
      <c r="K73" s="31"/>
      <c r="L73" s="30"/>
    </row>
    <row r="74" spans="1:12" s="4" customFormat="1" ht="15">
      <c r="A74" s="79">
        <v>72</v>
      </c>
      <c r="B74" s="83" t="s">
        <v>384</v>
      </c>
      <c r="C74" s="83" t="s">
        <v>89</v>
      </c>
      <c r="D74" s="83" t="s">
        <v>385</v>
      </c>
      <c r="E74" s="103">
        <v>29904.25</v>
      </c>
      <c r="F74" s="104">
        <v>5719</v>
      </c>
      <c r="G74" s="80">
        <f>+E74/F74</f>
        <v>5.228929882846652</v>
      </c>
      <c r="H74" s="5"/>
      <c r="I74" s="70"/>
      <c r="J74" s="30"/>
      <c r="K74" s="31"/>
      <c r="L74" s="30"/>
    </row>
    <row r="75" spans="1:12" s="4" customFormat="1" ht="15">
      <c r="A75" s="79">
        <v>73</v>
      </c>
      <c r="B75" s="50" t="s">
        <v>266</v>
      </c>
      <c r="C75" s="10" t="s">
        <v>267</v>
      </c>
      <c r="D75" s="10" t="s">
        <v>268</v>
      </c>
      <c r="E75" s="35">
        <v>25847.5</v>
      </c>
      <c r="F75" s="36">
        <v>2706</v>
      </c>
      <c r="G75" s="12">
        <f>+E75/F75</f>
        <v>9.551921655580193</v>
      </c>
      <c r="H75" s="5"/>
      <c r="I75" s="70"/>
      <c r="J75" s="30"/>
      <c r="K75" s="31"/>
      <c r="L75" s="30"/>
    </row>
    <row r="76" spans="1:12" s="4" customFormat="1" ht="15">
      <c r="A76" s="79">
        <v>74</v>
      </c>
      <c r="B76" s="50" t="s">
        <v>270</v>
      </c>
      <c r="C76" s="10" t="s">
        <v>96</v>
      </c>
      <c r="D76" s="10" t="s">
        <v>271</v>
      </c>
      <c r="E76" s="35">
        <f>10784+5573+660+1421+910+383+1328+245+1176.5+396+237</f>
        <v>23113.5</v>
      </c>
      <c r="F76" s="36">
        <f>1170+612+72+185+145+72+129+49+165+72+54</f>
        <v>2725</v>
      </c>
      <c r="G76" s="12">
        <f>E76/F76</f>
        <v>8.482018348623853</v>
      </c>
      <c r="H76" s="12"/>
      <c r="I76" s="70"/>
      <c r="J76" s="30"/>
      <c r="K76" s="31"/>
      <c r="L76" s="30"/>
    </row>
    <row r="77" spans="1:12" s="4" customFormat="1" ht="15">
      <c r="A77" s="79">
        <v>75</v>
      </c>
      <c r="B77" s="81" t="s">
        <v>448</v>
      </c>
      <c r="C77" s="81" t="s">
        <v>96</v>
      </c>
      <c r="D77" s="81" t="s">
        <v>449</v>
      </c>
      <c r="E77" s="103">
        <v>22563</v>
      </c>
      <c r="F77" s="104">
        <v>5008</v>
      </c>
      <c r="G77" s="80">
        <f>+E77/F77</f>
        <v>4.505391373801917</v>
      </c>
      <c r="H77" s="9"/>
      <c r="I77" s="70"/>
      <c r="J77" s="30"/>
      <c r="K77" s="31"/>
      <c r="L77" s="30"/>
    </row>
    <row r="78" spans="1:12" s="4" customFormat="1" ht="15">
      <c r="A78" s="79">
        <v>76</v>
      </c>
      <c r="B78" s="50" t="s">
        <v>272</v>
      </c>
      <c r="C78" s="10" t="s">
        <v>89</v>
      </c>
      <c r="D78" s="10" t="s">
        <v>246</v>
      </c>
      <c r="E78" s="35">
        <v>21778</v>
      </c>
      <c r="F78" s="36">
        <v>3290</v>
      </c>
      <c r="G78" s="12">
        <f>IF(E78&lt;&gt;0,E78/F78,"")</f>
        <v>6.619452887537994</v>
      </c>
      <c r="H78" s="12"/>
      <c r="I78" s="70"/>
      <c r="J78" s="30"/>
      <c r="K78" s="31"/>
      <c r="L78" s="30"/>
    </row>
    <row r="79" spans="1:12" s="4" customFormat="1" ht="15">
      <c r="A79" s="79">
        <v>77</v>
      </c>
      <c r="B79" s="81" t="s">
        <v>450</v>
      </c>
      <c r="C79" s="81" t="s">
        <v>96</v>
      </c>
      <c r="D79" s="81" t="s">
        <v>451</v>
      </c>
      <c r="E79" s="103">
        <v>21171</v>
      </c>
      <c r="F79" s="104">
        <v>4505</v>
      </c>
      <c r="G79" s="80">
        <f>+E79/F79</f>
        <v>4.699445061043285</v>
      </c>
      <c r="H79" s="12"/>
      <c r="I79" s="70"/>
      <c r="J79" s="30"/>
      <c r="K79" s="31"/>
      <c r="L79" s="30"/>
    </row>
    <row r="80" spans="1:12" s="4" customFormat="1" ht="15">
      <c r="A80" s="79">
        <v>78</v>
      </c>
      <c r="B80" s="50" t="s">
        <v>274</v>
      </c>
      <c r="C80" s="10" t="s">
        <v>96</v>
      </c>
      <c r="D80" s="10" t="s">
        <v>320</v>
      </c>
      <c r="E80" s="35">
        <f>6804+2328+2310+826+241+1288+1545+817+40+615+1688+420+95</f>
        <v>19017</v>
      </c>
      <c r="F80" s="36">
        <f>775+357+469+134+39+295+305+158+8+67+387+70+19</f>
        <v>3083</v>
      </c>
      <c r="G80" s="12">
        <f>E80/F80</f>
        <v>6.168342523516055</v>
      </c>
      <c r="H80" s="12"/>
      <c r="I80" s="70"/>
      <c r="J80" s="30"/>
      <c r="K80" s="31"/>
      <c r="L80" s="30"/>
    </row>
    <row r="81" spans="1:12" s="4" customFormat="1" ht="15">
      <c r="A81" s="79">
        <v>79</v>
      </c>
      <c r="B81" s="50" t="s">
        <v>275</v>
      </c>
      <c r="C81" s="10" t="s">
        <v>96</v>
      </c>
      <c r="D81" s="10" t="s">
        <v>502</v>
      </c>
      <c r="E81" s="63">
        <f>7317+3809.25+1860+639+729+966+238+668</f>
        <v>16226.25</v>
      </c>
      <c r="F81" s="64">
        <f>792+424+238+115+144+202+40+134</f>
        <v>2089</v>
      </c>
      <c r="G81" s="22">
        <f>E81/F81</f>
        <v>7.767472474868358</v>
      </c>
      <c r="H81" s="12"/>
      <c r="I81" s="70"/>
      <c r="J81" s="30"/>
      <c r="K81" s="31"/>
      <c r="L81" s="30"/>
    </row>
    <row r="82" spans="1:12" s="4" customFormat="1" ht="15">
      <c r="A82" s="79">
        <v>80</v>
      </c>
      <c r="B82" s="50" t="s">
        <v>509</v>
      </c>
      <c r="C82" s="10" t="s">
        <v>89</v>
      </c>
      <c r="D82" s="10" t="s">
        <v>246</v>
      </c>
      <c r="E82" s="35">
        <v>14154.5</v>
      </c>
      <c r="F82" s="36">
        <v>2178</v>
      </c>
      <c r="G82" s="12">
        <f aca="true" t="shared" si="2" ref="G82:G105">+E82/F82</f>
        <v>6.498852157943067</v>
      </c>
      <c r="H82" s="12"/>
      <c r="I82" s="70"/>
      <c r="J82" s="30"/>
      <c r="K82" s="31"/>
      <c r="L82" s="30"/>
    </row>
    <row r="83" spans="1:12" s="4" customFormat="1" ht="15">
      <c r="A83" s="79">
        <v>81</v>
      </c>
      <c r="B83" s="82" t="s">
        <v>377</v>
      </c>
      <c r="C83" s="81" t="s">
        <v>378</v>
      </c>
      <c r="D83" s="81" t="s">
        <v>379</v>
      </c>
      <c r="E83" s="103">
        <v>10947.5</v>
      </c>
      <c r="F83" s="104">
        <v>1873</v>
      </c>
      <c r="G83" s="80">
        <f t="shared" si="2"/>
        <v>5.844901227976508</v>
      </c>
      <c r="H83" s="17"/>
      <c r="I83" s="70"/>
      <c r="J83" s="30"/>
      <c r="K83" s="31"/>
      <c r="L83" s="30"/>
    </row>
    <row r="84" spans="1:12" s="4" customFormat="1" ht="15">
      <c r="A84" s="79">
        <v>82</v>
      </c>
      <c r="B84" s="33" t="s">
        <v>515</v>
      </c>
      <c r="C84" s="1" t="s">
        <v>105</v>
      </c>
      <c r="D84" s="1" t="s">
        <v>516</v>
      </c>
      <c r="E84" s="35">
        <f>9917+0.75</f>
        <v>9917.75</v>
      </c>
      <c r="F84" s="36">
        <f>987</f>
        <v>987</v>
      </c>
      <c r="G84" s="9">
        <f t="shared" si="2"/>
        <v>10.0483789260385</v>
      </c>
      <c r="H84" s="12"/>
      <c r="I84" s="70"/>
      <c r="J84" s="30"/>
      <c r="K84" s="31"/>
      <c r="L84" s="30"/>
    </row>
    <row r="85" spans="1:12" s="4" customFormat="1" ht="15">
      <c r="A85" s="79">
        <v>83</v>
      </c>
      <c r="B85" s="83">
        <v>120</v>
      </c>
      <c r="C85" s="83" t="s">
        <v>393</v>
      </c>
      <c r="D85" s="83" t="s">
        <v>398</v>
      </c>
      <c r="E85" s="103">
        <v>9674</v>
      </c>
      <c r="F85" s="104">
        <v>2260</v>
      </c>
      <c r="G85" s="80">
        <f t="shared" si="2"/>
        <v>4.280530973451327</v>
      </c>
      <c r="H85" s="12"/>
      <c r="I85" s="70"/>
      <c r="J85" s="30"/>
      <c r="K85" s="31"/>
      <c r="L85" s="30"/>
    </row>
    <row r="86" spans="1:12" s="4" customFormat="1" ht="15">
      <c r="A86" s="79">
        <v>84</v>
      </c>
      <c r="B86" s="81" t="s">
        <v>432</v>
      </c>
      <c r="C86" s="81" t="s">
        <v>393</v>
      </c>
      <c r="D86" s="81" t="s">
        <v>433</v>
      </c>
      <c r="E86" s="103">
        <v>9306</v>
      </c>
      <c r="F86" s="104">
        <v>1792</v>
      </c>
      <c r="G86" s="80">
        <f t="shared" si="2"/>
        <v>5.193080357142857</v>
      </c>
      <c r="H86" s="18"/>
      <c r="I86" s="70"/>
      <c r="J86" s="30"/>
      <c r="K86" s="31"/>
      <c r="L86" s="30"/>
    </row>
    <row r="87" spans="1:12" s="4" customFormat="1" ht="15">
      <c r="A87" s="79">
        <v>85</v>
      </c>
      <c r="B87" s="51" t="s">
        <v>517</v>
      </c>
      <c r="C87" s="1" t="s">
        <v>105</v>
      </c>
      <c r="D87" s="14" t="s">
        <v>319</v>
      </c>
      <c r="E87" s="60">
        <f>3348+2382+0.5+1669+1239+269+130</f>
        <v>9037.5</v>
      </c>
      <c r="F87" s="36">
        <f>369+272+278+203+39+13</f>
        <v>1174</v>
      </c>
      <c r="G87" s="18">
        <f t="shared" si="2"/>
        <v>7.698040885860307</v>
      </c>
      <c r="H87" s="17"/>
      <c r="I87" s="70"/>
      <c r="J87" s="30"/>
      <c r="K87" s="31"/>
      <c r="L87" s="30"/>
    </row>
    <row r="88" spans="1:12" s="4" customFormat="1" ht="15">
      <c r="A88" s="79">
        <v>86</v>
      </c>
      <c r="B88" s="84" t="s">
        <v>465</v>
      </c>
      <c r="C88" s="88" t="s">
        <v>466</v>
      </c>
      <c r="D88" s="84" t="s">
        <v>467</v>
      </c>
      <c r="E88" s="103">
        <v>8406</v>
      </c>
      <c r="F88" s="104">
        <v>2327</v>
      </c>
      <c r="G88" s="80">
        <f t="shared" si="2"/>
        <v>3.6123764503652773</v>
      </c>
      <c r="H88" s="12"/>
      <c r="I88" s="70"/>
      <c r="J88" s="30"/>
      <c r="K88" s="31"/>
      <c r="L88" s="30"/>
    </row>
    <row r="89" spans="1:12" s="4" customFormat="1" ht="15">
      <c r="A89" s="79">
        <v>87</v>
      </c>
      <c r="B89" s="83" t="s">
        <v>459</v>
      </c>
      <c r="C89" s="83" t="s">
        <v>456</v>
      </c>
      <c r="D89" s="83" t="s">
        <v>460</v>
      </c>
      <c r="E89" s="103">
        <v>6840</v>
      </c>
      <c r="F89" s="104">
        <v>2005</v>
      </c>
      <c r="G89" s="80">
        <f t="shared" si="2"/>
        <v>3.4114713216957604</v>
      </c>
      <c r="H89" s="12"/>
      <c r="I89" s="70"/>
      <c r="J89" s="30"/>
      <c r="K89" s="31"/>
      <c r="L89" s="30"/>
    </row>
    <row r="90" spans="1:12" s="4" customFormat="1" ht="15">
      <c r="A90" s="79">
        <v>88</v>
      </c>
      <c r="B90" s="85" t="s">
        <v>386</v>
      </c>
      <c r="C90" s="85" t="s">
        <v>89</v>
      </c>
      <c r="D90" s="85" t="s">
        <v>387</v>
      </c>
      <c r="E90" s="103">
        <v>5959</v>
      </c>
      <c r="F90" s="104">
        <v>1093</v>
      </c>
      <c r="G90" s="80">
        <f t="shared" si="2"/>
        <v>5.451967063129003</v>
      </c>
      <c r="H90" s="18"/>
      <c r="I90" s="70"/>
      <c r="J90" s="30"/>
      <c r="K90" s="31"/>
      <c r="L90" s="30"/>
    </row>
    <row r="91" spans="1:12" s="4" customFormat="1" ht="15">
      <c r="A91" s="79">
        <v>89</v>
      </c>
      <c r="B91" s="81" t="s">
        <v>452</v>
      </c>
      <c r="C91" s="81" t="s">
        <v>96</v>
      </c>
      <c r="D91" s="81" t="s">
        <v>84</v>
      </c>
      <c r="E91" s="103">
        <v>5265</v>
      </c>
      <c r="F91" s="104">
        <v>1309</v>
      </c>
      <c r="G91" s="80">
        <f t="shared" si="2"/>
        <v>4.022154316271964</v>
      </c>
      <c r="H91" s="12"/>
      <c r="I91" s="70"/>
      <c r="J91" s="30"/>
      <c r="K91" s="31"/>
      <c r="L91" s="30"/>
    </row>
    <row r="92" spans="1:12" s="4" customFormat="1" ht="15">
      <c r="A92" s="79">
        <v>90</v>
      </c>
      <c r="B92" s="51" t="s">
        <v>522</v>
      </c>
      <c r="C92" s="14" t="s">
        <v>523</v>
      </c>
      <c r="D92" s="14" t="s">
        <v>524</v>
      </c>
      <c r="E92" s="67">
        <v>5001</v>
      </c>
      <c r="F92" s="68">
        <v>554</v>
      </c>
      <c r="G92" s="18">
        <f t="shared" si="2"/>
        <v>9.027075812274369</v>
      </c>
      <c r="H92" s="5"/>
      <c r="I92" s="70"/>
      <c r="J92" s="30"/>
      <c r="K92" s="31"/>
      <c r="L92" s="30"/>
    </row>
    <row r="93" spans="1:12" s="4" customFormat="1" ht="15">
      <c r="A93" s="79">
        <v>91</v>
      </c>
      <c r="B93" s="81" t="s">
        <v>388</v>
      </c>
      <c r="C93" s="81" t="s">
        <v>89</v>
      </c>
      <c r="D93" s="81" t="s">
        <v>93</v>
      </c>
      <c r="E93" s="103">
        <v>2729</v>
      </c>
      <c r="F93" s="104">
        <v>541</v>
      </c>
      <c r="G93" s="80">
        <f t="shared" si="2"/>
        <v>5.044362292051756</v>
      </c>
      <c r="H93" s="12"/>
      <c r="I93" s="70"/>
      <c r="J93" s="30"/>
      <c r="K93" s="31"/>
      <c r="L93" s="30"/>
    </row>
    <row r="94" spans="1:12" s="4" customFormat="1" ht="15">
      <c r="A94" s="79">
        <v>92</v>
      </c>
      <c r="B94" s="87" t="s">
        <v>434</v>
      </c>
      <c r="C94" s="87" t="s">
        <v>393</v>
      </c>
      <c r="D94" s="87" t="s">
        <v>435</v>
      </c>
      <c r="E94" s="103">
        <v>2408.5</v>
      </c>
      <c r="F94" s="104">
        <v>602</v>
      </c>
      <c r="G94" s="80">
        <f t="shared" si="2"/>
        <v>4.000830564784053</v>
      </c>
      <c r="H94" s="21"/>
      <c r="I94" s="70"/>
      <c r="J94" s="30"/>
      <c r="K94" s="31"/>
      <c r="L94" s="30"/>
    </row>
    <row r="95" spans="1:12" s="4" customFormat="1" ht="15">
      <c r="A95" s="79">
        <v>93</v>
      </c>
      <c r="B95" s="81" t="s">
        <v>436</v>
      </c>
      <c r="C95" s="81" t="s">
        <v>393</v>
      </c>
      <c r="D95" s="81" t="s">
        <v>437</v>
      </c>
      <c r="E95" s="103">
        <v>2402</v>
      </c>
      <c r="F95" s="104">
        <v>480</v>
      </c>
      <c r="G95" s="80">
        <f t="shared" si="2"/>
        <v>5.004166666666666</v>
      </c>
      <c r="H95" s="9"/>
      <c r="I95" s="70"/>
      <c r="J95" s="30"/>
      <c r="K95" s="31"/>
      <c r="L95" s="30"/>
    </row>
    <row r="96" spans="1:12" s="4" customFormat="1" ht="15">
      <c r="A96" s="79">
        <v>94</v>
      </c>
      <c r="B96" s="81" t="s">
        <v>461</v>
      </c>
      <c r="C96" s="81" t="s">
        <v>456</v>
      </c>
      <c r="D96" s="81" t="s">
        <v>462</v>
      </c>
      <c r="E96" s="103">
        <v>2380</v>
      </c>
      <c r="F96" s="104">
        <v>875</v>
      </c>
      <c r="G96" s="80">
        <f t="shared" si="2"/>
        <v>2.72</v>
      </c>
      <c r="H96" s="9"/>
      <c r="I96" s="70"/>
      <c r="J96" s="30"/>
      <c r="K96" s="31"/>
      <c r="L96" s="30"/>
    </row>
    <row r="97" spans="1:12" s="4" customFormat="1" ht="15">
      <c r="A97" s="79">
        <v>95</v>
      </c>
      <c r="B97" s="83" t="s">
        <v>453</v>
      </c>
      <c r="C97" s="83" t="s">
        <v>96</v>
      </c>
      <c r="D97" s="83" t="s">
        <v>454</v>
      </c>
      <c r="E97" s="103">
        <v>1544</v>
      </c>
      <c r="F97" s="104">
        <v>386</v>
      </c>
      <c r="G97" s="80">
        <f t="shared" si="2"/>
        <v>4</v>
      </c>
      <c r="H97" s="12"/>
      <c r="I97" s="70"/>
      <c r="J97" s="30"/>
      <c r="K97" s="31"/>
      <c r="L97" s="30"/>
    </row>
    <row r="98" spans="1:12" s="4" customFormat="1" ht="15">
      <c r="A98" s="79">
        <v>96</v>
      </c>
      <c r="B98" s="81" t="s">
        <v>463</v>
      </c>
      <c r="C98" s="81" t="s">
        <v>456</v>
      </c>
      <c r="D98" s="81" t="s">
        <v>56</v>
      </c>
      <c r="E98" s="103">
        <v>1300</v>
      </c>
      <c r="F98" s="104">
        <v>260</v>
      </c>
      <c r="G98" s="80">
        <f t="shared" si="2"/>
        <v>5</v>
      </c>
      <c r="H98" s="12"/>
      <c r="I98" s="70"/>
      <c r="J98" s="30"/>
      <c r="K98" s="31"/>
      <c r="L98" s="30"/>
    </row>
    <row r="99" spans="1:12" s="4" customFormat="1" ht="15">
      <c r="A99" s="79">
        <v>97</v>
      </c>
      <c r="B99" s="81" t="s">
        <v>438</v>
      </c>
      <c r="C99" s="81" t="s">
        <v>393</v>
      </c>
      <c r="D99" s="81" t="s">
        <v>439</v>
      </c>
      <c r="E99" s="103">
        <v>455</v>
      </c>
      <c r="F99" s="104">
        <v>91</v>
      </c>
      <c r="G99" s="80">
        <f t="shared" si="2"/>
        <v>5</v>
      </c>
      <c r="H99" s="5"/>
      <c r="I99" s="70"/>
      <c r="J99" s="30"/>
      <c r="K99" s="31"/>
      <c r="L99" s="30"/>
    </row>
    <row r="100" spans="1:12" s="4" customFormat="1" ht="15">
      <c r="A100" s="79">
        <v>98</v>
      </c>
      <c r="B100" s="83" t="s">
        <v>389</v>
      </c>
      <c r="C100" s="83" t="s">
        <v>89</v>
      </c>
      <c r="D100" s="83" t="s">
        <v>34</v>
      </c>
      <c r="E100" s="103">
        <v>153</v>
      </c>
      <c r="F100" s="104">
        <v>32</v>
      </c>
      <c r="G100" s="80">
        <f t="shared" si="2"/>
        <v>4.78125</v>
      </c>
      <c r="H100" s="12"/>
      <c r="I100" s="70"/>
      <c r="J100" s="30"/>
      <c r="K100" s="31"/>
      <c r="L100" s="30"/>
    </row>
    <row r="101" spans="1:12" s="4" customFormat="1" ht="15">
      <c r="A101" s="79">
        <v>99</v>
      </c>
      <c r="B101" s="81" t="s">
        <v>440</v>
      </c>
      <c r="C101" s="81" t="s">
        <v>393</v>
      </c>
      <c r="D101" s="81" t="s">
        <v>441</v>
      </c>
      <c r="E101" s="103">
        <v>132</v>
      </c>
      <c r="F101" s="104">
        <v>22</v>
      </c>
      <c r="G101" s="80">
        <f t="shared" si="2"/>
        <v>6</v>
      </c>
      <c r="H101" s="12"/>
      <c r="I101" s="70"/>
      <c r="J101" s="30"/>
      <c r="K101" s="31"/>
      <c r="L101" s="30"/>
    </row>
    <row r="102" spans="1:12" s="4" customFormat="1" ht="15">
      <c r="A102" s="79">
        <v>100</v>
      </c>
      <c r="B102" s="83" t="s">
        <v>390</v>
      </c>
      <c r="C102" s="83" t="s">
        <v>89</v>
      </c>
      <c r="D102" s="83" t="s">
        <v>391</v>
      </c>
      <c r="E102" s="103">
        <v>55</v>
      </c>
      <c r="F102" s="104">
        <v>11</v>
      </c>
      <c r="G102" s="80">
        <f t="shared" si="2"/>
        <v>5</v>
      </c>
      <c r="H102" s="12"/>
      <c r="I102" s="70"/>
      <c r="J102" s="30"/>
      <c r="K102" s="31"/>
      <c r="L102" s="30"/>
    </row>
    <row r="103" spans="1:12" s="4" customFormat="1" ht="15">
      <c r="A103" s="79">
        <v>101</v>
      </c>
      <c r="B103" s="81" t="s">
        <v>442</v>
      </c>
      <c r="C103" s="81" t="s">
        <v>393</v>
      </c>
      <c r="D103" s="81" t="s">
        <v>180</v>
      </c>
      <c r="E103" s="103">
        <v>54</v>
      </c>
      <c r="F103" s="104">
        <v>9</v>
      </c>
      <c r="G103" s="80">
        <f t="shared" si="2"/>
        <v>6</v>
      </c>
      <c r="H103" s="12"/>
      <c r="I103" s="70"/>
      <c r="J103" s="30"/>
      <c r="K103" s="31"/>
      <c r="L103" s="30"/>
    </row>
    <row r="104" spans="1:12" s="4" customFormat="1" ht="15">
      <c r="A104" s="79">
        <v>102</v>
      </c>
      <c r="B104" s="81" t="s">
        <v>443</v>
      </c>
      <c r="C104" s="81" t="s">
        <v>393</v>
      </c>
      <c r="D104" s="81" t="s">
        <v>444</v>
      </c>
      <c r="E104" s="103">
        <v>36</v>
      </c>
      <c r="F104" s="104">
        <v>6</v>
      </c>
      <c r="G104" s="80">
        <f t="shared" si="2"/>
        <v>6</v>
      </c>
      <c r="H104" s="5"/>
      <c r="I104" s="70"/>
      <c r="J104" s="30"/>
      <c r="K104" s="31"/>
      <c r="L104" s="30"/>
    </row>
    <row r="105" spans="1:12" s="4" customFormat="1" ht="15">
      <c r="A105" s="79">
        <v>103</v>
      </c>
      <c r="B105" s="81" t="s">
        <v>464</v>
      </c>
      <c r="C105" s="81" t="s">
        <v>267</v>
      </c>
      <c r="D105" s="81" t="s">
        <v>267</v>
      </c>
      <c r="E105" s="103">
        <v>12</v>
      </c>
      <c r="F105" s="104">
        <v>2</v>
      </c>
      <c r="G105" s="80">
        <f t="shared" si="2"/>
        <v>6</v>
      </c>
      <c r="H105" s="12"/>
      <c r="I105" s="70"/>
      <c r="J105" s="30"/>
      <c r="K105" s="31"/>
      <c r="L105" s="30"/>
    </row>
    <row r="106" spans="1:7" ht="15">
      <c r="A106" s="202" t="s">
        <v>468</v>
      </c>
      <c r="B106" s="203"/>
      <c r="C106" s="203"/>
      <c r="D106" s="203"/>
      <c r="E106" s="203"/>
      <c r="F106" s="203"/>
      <c r="G106" s="203"/>
    </row>
  </sheetData>
  <sheetProtection/>
  <mergeCells count="1">
    <mergeCell ref="A106:G106"/>
  </mergeCells>
  <printOptions/>
  <pageMargins left="0.75" right="0.75" top="1" bottom="1" header="0.5" footer="0.5"/>
  <pageSetup orientation="portrait" paperSize="9"/>
  <ignoredErrors>
    <ignoredError sqref="E3:F60 G3:G11" unlockedFormula="1"/>
    <ignoredError sqref="G12:G60 E81:F88" formula="1" unlockedFormula="1"/>
    <ignoredError sqref="G61 A64:D106 G64:G106 E64:F80 E89:F10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zoomScale="140" zoomScaleNormal="140" zoomScalePageLayoutView="0" workbookViewId="0" topLeftCell="A1">
      <selection activeCell="A1" sqref="A1"/>
    </sheetView>
  </sheetViews>
  <sheetFormatPr defaultColWidth="15.00390625" defaultRowHeight="12.75"/>
  <cols>
    <col min="1" max="1" width="2.625" style="79" bestFit="1" customWidth="1"/>
    <col min="2" max="2" width="28.375" style="33" bestFit="1" customWidth="1"/>
    <col min="3" max="3" width="10.375" style="2" customWidth="1"/>
    <col min="4" max="4" width="16.375" style="1" customWidth="1"/>
    <col min="5" max="5" width="11.375" style="1" bestFit="1" customWidth="1"/>
    <col min="6" max="7" width="5.25390625" style="4" customWidth="1"/>
    <col min="8" max="8" width="12.75390625" style="35" bestFit="1" customWidth="1"/>
    <col min="9" max="9" width="9.125" style="36" bestFit="1" customWidth="1"/>
    <col min="10" max="10" width="5.625" style="32" customWidth="1"/>
    <col min="11" max="11" width="1.75390625" style="71" customWidth="1"/>
    <col min="12" max="12" width="15.00390625" style="27" customWidth="1"/>
    <col min="13" max="13" width="15.00390625" style="28" customWidth="1"/>
    <col min="14" max="14" width="15.00390625" style="27" customWidth="1"/>
    <col min="15" max="16" width="15.00390625" style="29" customWidth="1"/>
    <col min="17" max="16384" width="15.00390625" style="3" customWidth="1"/>
  </cols>
  <sheetData>
    <row r="1" spans="1:16" s="40" customFormat="1" ht="15">
      <c r="A1" s="77"/>
      <c r="B1" s="106" t="s">
        <v>372</v>
      </c>
      <c r="C1" s="107" t="s">
        <v>370</v>
      </c>
      <c r="D1" s="106" t="s">
        <v>369</v>
      </c>
      <c r="E1" s="106" t="s">
        <v>358</v>
      </c>
      <c r="F1" s="106" t="s">
        <v>359</v>
      </c>
      <c r="G1" s="106" t="s">
        <v>367</v>
      </c>
      <c r="H1" s="108" t="s">
        <v>362</v>
      </c>
      <c r="I1" s="109" t="s">
        <v>363</v>
      </c>
      <c r="J1" s="110" t="s">
        <v>365</v>
      </c>
      <c r="K1" s="69"/>
      <c r="L1" s="46"/>
      <c r="M1" s="47"/>
      <c r="N1" s="46"/>
      <c r="O1" s="48"/>
      <c r="P1" s="48"/>
    </row>
    <row r="2" spans="1:16" s="40" customFormat="1" ht="15.75" thickBot="1">
      <c r="A2" s="78"/>
      <c r="B2" s="111" t="s">
        <v>373</v>
      </c>
      <c r="C2" s="112" t="s">
        <v>371</v>
      </c>
      <c r="D2" s="111" t="s">
        <v>368</v>
      </c>
      <c r="E2" s="111" t="s">
        <v>357</v>
      </c>
      <c r="F2" s="111" t="s">
        <v>360</v>
      </c>
      <c r="G2" s="111" t="s">
        <v>366</v>
      </c>
      <c r="H2" s="113" t="s">
        <v>361</v>
      </c>
      <c r="I2" s="114" t="s">
        <v>356</v>
      </c>
      <c r="J2" s="115" t="s">
        <v>364</v>
      </c>
      <c r="K2" s="69"/>
      <c r="L2" s="46"/>
      <c r="M2" s="47"/>
      <c r="N2" s="46"/>
      <c r="O2" s="48"/>
      <c r="P2" s="48"/>
    </row>
    <row r="3" spans="1:14" s="4" customFormat="1" ht="15">
      <c r="A3" s="79">
        <v>1</v>
      </c>
      <c r="B3" s="49">
        <v>2012</v>
      </c>
      <c r="C3" s="7">
        <v>38669</v>
      </c>
      <c r="D3" s="13" t="s">
        <v>317</v>
      </c>
      <c r="E3" s="6" t="s">
        <v>94</v>
      </c>
      <c r="F3" s="8">
        <v>178</v>
      </c>
      <c r="G3" s="8">
        <v>7</v>
      </c>
      <c r="H3" s="58">
        <f>5048445+2623186+2875787+1594+1313720-1385+706675+20+397625-870+142806</f>
        <v>13107603</v>
      </c>
      <c r="I3" s="59">
        <f>548198+290908+318522+370+152245-188+85226+51433-166+22307</f>
        <v>1468855</v>
      </c>
      <c r="J3" s="5">
        <f>+H3/I3</f>
        <v>8.923687498085243</v>
      </c>
      <c r="K3" s="70"/>
      <c r="L3" s="30"/>
      <c r="M3" s="31"/>
      <c r="N3" s="30"/>
    </row>
    <row r="4" spans="1:14" s="4" customFormat="1" ht="15">
      <c r="A4" s="79">
        <v>2</v>
      </c>
      <c r="B4" s="33" t="s">
        <v>95</v>
      </c>
      <c r="C4" s="2">
        <v>38534</v>
      </c>
      <c r="D4" s="1" t="s">
        <v>96</v>
      </c>
      <c r="E4" s="1" t="s">
        <v>97</v>
      </c>
      <c r="F4" s="4">
        <v>209</v>
      </c>
      <c r="G4" s="4">
        <v>26</v>
      </c>
      <c r="H4" s="58">
        <f>872160.5+3062686.25+2016658.5+1330226.25+943221.5+742732+516667.5+450351.5+331944.75+238834+191406+133484.5+252388.75+88483.5+54821.5+50455.5+10393.5+13219.5+4551+15537+5404+869+4082+1834+3805+1635+750</f>
        <v>11338602.5</v>
      </c>
      <c r="I4" s="59">
        <f>115039+364710+241056+162109+115810+90639+66180+59650+44695+33272+25508+18324+32600+11489+6695+7353+1723+3013+920+3530+1123+138+968+454+919+396+210</f>
        <v>1408523</v>
      </c>
      <c r="J4" s="5">
        <f>H4/I4</f>
        <v>8.049994568778784</v>
      </c>
      <c r="K4" s="70"/>
      <c r="L4" s="30"/>
      <c r="M4" s="31"/>
      <c r="N4" s="30"/>
    </row>
    <row r="5" spans="1:14" s="4" customFormat="1" ht="15">
      <c r="A5" s="79">
        <v>3</v>
      </c>
      <c r="B5" s="33" t="s">
        <v>98</v>
      </c>
      <c r="C5" s="2">
        <v>38676</v>
      </c>
      <c r="D5" s="1" t="s">
        <v>96</v>
      </c>
      <c r="E5" s="1" t="s">
        <v>99</v>
      </c>
      <c r="F5" s="4">
        <v>147</v>
      </c>
      <c r="G5" s="4">
        <v>6</v>
      </c>
      <c r="H5" s="58">
        <f>4499732.5+3362984.5+1262292.25+664013.75+490740.5+244990</f>
        <v>10524753.5</v>
      </c>
      <c r="I5" s="59">
        <f>493806+365411+142937+78728+74756+40294</f>
        <v>1195932</v>
      </c>
      <c r="J5" s="5">
        <f>H5/I5</f>
        <v>8.800461481087554</v>
      </c>
      <c r="K5" s="70"/>
      <c r="L5" s="30"/>
      <c r="M5" s="31"/>
      <c r="N5" s="30"/>
    </row>
    <row r="6" spans="1:14" s="4" customFormat="1" ht="15">
      <c r="A6" s="79">
        <v>4</v>
      </c>
      <c r="B6" s="33" t="s">
        <v>103</v>
      </c>
      <c r="C6" s="2">
        <v>38704</v>
      </c>
      <c r="D6" s="1" t="s">
        <v>96</v>
      </c>
      <c r="E6" s="1" t="s">
        <v>97</v>
      </c>
      <c r="F6" s="4">
        <v>125</v>
      </c>
      <c r="G6" s="4">
        <v>2</v>
      </c>
      <c r="H6" s="58">
        <f>4033069.5+3582182.5</f>
        <v>7615252</v>
      </c>
      <c r="I6" s="59">
        <f>383242+338340</f>
        <v>721582</v>
      </c>
      <c r="J6" s="5">
        <f>H6/I6</f>
        <v>10.553550393441078</v>
      </c>
      <c r="K6" s="70"/>
      <c r="L6" s="30"/>
      <c r="M6" s="31"/>
      <c r="N6" s="30"/>
    </row>
    <row r="7" spans="1:14" s="4" customFormat="1" ht="15">
      <c r="A7" s="79">
        <v>5</v>
      </c>
      <c r="B7" s="50" t="s">
        <v>107</v>
      </c>
      <c r="C7" s="7">
        <v>38487</v>
      </c>
      <c r="D7" s="13" t="s">
        <v>317</v>
      </c>
      <c r="E7" s="10" t="s">
        <v>94</v>
      </c>
      <c r="F7" s="11">
        <v>187</v>
      </c>
      <c r="G7" s="11">
        <v>21</v>
      </c>
      <c r="H7" s="35">
        <v>5976194</v>
      </c>
      <c r="I7" s="36">
        <v>705709</v>
      </c>
      <c r="J7" s="12">
        <f aca="true" t="shared" si="0" ref="J7:J26">+H7/I7</f>
        <v>8.468354520064219</v>
      </c>
      <c r="K7" s="70"/>
      <c r="L7" s="30"/>
      <c r="M7" s="31"/>
      <c r="N7" s="30"/>
    </row>
    <row r="8" spans="1:14" s="4" customFormat="1" ht="15">
      <c r="A8" s="79">
        <v>6</v>
      </c>
      <c r="B8" s="51" t="s">
        <v>108</v>
      </c>
      <c r="C8" s="7">
        <v>38548</v>
      </c>
      <c r="D8" s="13" t="s">
        <v>317</v>
      </c>
      <c r="E8" s="14" t="s">
        <v>109</v>
      </c>
      <c r="F8" s="15">
        <v>190</v>
      </c>
      <c r="G8" s="15">
        <v>15</v>
      </c>
      <c r="H8" s="60">
        <v>5052407</v>
      </c>
      <c r="I8" s="36">
        <v>640098</v>
      </c>
      <c r="J8" s="9">
        <f t="shared" si="0"/>
        <v>7.893177294726745</v>
      </c>
      <c r="K8" s="70"/>
      <c r="L8" s="30"/>
      <c r="M8" s="31"/>
      <c r="N8" s="30"/>
    </row>
    <row r="9" spans="1:14" s="4" customFormat="1" ht="15">
      <c r="A9" s="79">
        <v>7</v>
      </c>
      <c r="B9" s="50" t="s">
        <v>112</v>
      </c>
      <c r="C9" s="7">
        <v>38389</v>
      </c>
      <c r="D9" s="13" t="s">
        <v>317</v>
      </c>
      <c r="E9" s="10" t="s">
        <v>109</v>
      </c>
      <c r="F9" s="11">
        <v>71</v>
      </c>
      <c r="G9" s="11">
        <v>21</v>
      </c>
      <c r="H9" s="35">
        <v>4212868</v>
      </c>
      <c r="I9" s="36">
        <v>465319</v>
      </c>
      <c r="J9" s="12">
        <f t="shared" si="0"/>
        <v>9.05372013607869</v>
      </c>
      <c r="K9" s="70"/>
      <c r="L9" s="30"/>
      <c r="M9" s="31"/>
      <c r="N9" s="30"/>
    </row>
    <row r="10" spans="1:14" s="4" customFormat="1" ht="15">
      <c r="A10" s="79">
        <v>8</v>
      </c>
      <c r="B10" s="50" t="s">
        <v>164</v>
      </c>
      <c r="C10" s="7">
        <v>38445</v>
      </c>
      <c r="D10" s="10" t="s">
        <v>318</v>
      </c>
      <c r="E10" s="10" t="s">
        <v>165</v>
      </c>
      <c r="F10" s="11">
        <v>96</v>
      </c>
      <c r="G10" s="11">
        <v>25</v>
      </c>
      <c r="H10" s="35">
        <v>3172155</v>
      </c>
      <c r="I10" s="36">
        <v>379827</v>
      </c>
      <c r="J10" s="12">
        <f t="shared" si="0"/>
        <v>8.351578481782497</v>
      </c>
      <c r="K10" s="70"/>
      <c r="L10" s="30"/>
      <c r="M10" s="31"/>
      <c r="N10" s="30"/>
    </row>
    <row r="11" spans="1:14" s="4" customFormat="1" ht="15">
      <c r="A11" s="79">
        <v>9</v>
      </c>
      <c r="B11" s="50" t="s">
        <v>166</v>
      </c>
      <c r="C11" s="7">
        <v>38410</v>
      </c>
      <c r="D11" s="10" t="s">
        <v>167</v>
      </c>
      <c r="E11" s="10" t="s">
        <v>168</v>
      </c>
      <c r="F11" s="11">
        <v>57</v>
      </c>
      <c r="G11" s="11">
        <v>17</v>
      </c>
      <c r="H11" s="35">
        <v>3097866</v>
      </c>
      <c r="I11" s="36">
        <v>338209</v>
      </c>
      <c r="J11" s="12">
        <f t="shared" si="0"/>
        <v>9.159620234825212</v>
      </c>
      <c r="K11" s="70"/>
      <c r="L11" s="30"/>
      <c r="M11" s="31"/>
      <c r="N11" s="30"/>
    </row>
    <row r="12" spans="1:14" s="4" customFormat="1" ht="15">
      <c r="A12" s="79">
        <v>10</v>
      </c>
      <c r="B12" s="50" t="s">
        <v>169</v>
      </c>
      <c r="C12" s="7">
        <v>38548</v>
      </c>
      <c r="D12" s="13" t="s">
        <v>317</v>
      </c>
      <c r="E12" s="10" t="s">
        <v>109</v>
      </c>
      <c r="F12" s="11">
        <v>19</v>
      </c>
      <c r="G12" s="11">
        <v>8</v>
      </c>
      <c r="H12" s="35">
        <v>3025375</v>
      </c>
      <c r="I12" s="36">
        <v>263174</v>
      </c>
      <c r="J12" s="12">
        <f t="shared" si="0"/>
        <v>11.495721461846536</v>
      </c>
      <c r="K12" s="70"/>
      <c r="L12" s="30"/>
      <c r="M12" s="31"/>
      <c r="N12" s="30"/>
    </row>
    <row r="13" spans="1:14" s="4" customFormat="1" ht="15">
      <c r="A13" s="79">
        <v>11</v>
      </c>
      <c r="B13" s="50" t="s">
        <v>170</v>
      </c>
      <c r="C13" s="7">
        <v>38368</v>
      </c>
      <c r="D13" s="13" t="s">
        <v>317</v>
      </c>
      <c r="E13" s="10" t="s">
        <v>109</v>
      </c>
      <c r="F13" s="11">
        <v>91</v>
      </c>
      <c r="G13" s="11">
        <v>11</v>
      </c>
      <c r="H13" s="35">
        <f>1185400+899041+1833+634887+222568+15075+17069-23+10895+8360+1979+2149+1799</f>
        <v>3001032</v>
      </c>
      <c r="I13" s="36">
        <f>128777+93782-9+68090+25354+2533+3131-2+2509+1525+960+396+302</f>
        <v>327348</v>
      </c>
      <c r="J13" s="12">
        <f t="shared" si="0"/>
        <v>9.167711426371934</v>
      </c>
      <c r="K13" s="70"/>
      <c r="L13" s="30"/>
      <c r="M13" s="31"/>
      <c r="N13" s="30"/>
    </row>
    <row r="14" spans="1:14" s="4" customFormat="1" ht="15">
      <c r="A14" s="79">
        <v>12</v>
      </c>
      <c r="B14" s="52" t="s">
        <v>171</v>
      </c>
      <c r="C14" s="2">
        <v>38585</v>
      </c>
      <c r="D14" s="10" t="s">
        <v>318</v>
      </c>
      <c r="E14" s="20" t="s">
        <v>165</v>
      </c>
      <c r="F14" s="4">
        <v>55</v>
      </c>
      <c r="G14" s="4">
        <v>18</v>
      </c>
      <c r="H14" s="35">
        <v>2894716</v>
      </c>
      <c r="I14" s="36">
        <v>288894</v>
      </c>
      <c r="J14" s="17">
        <f t="shared" si="0"/>
        <v>10.019993492422826</v>
      </c>
      <c r="K14" s="70"/>
      <c r="L14" s="30"/>
      <c r="M14" s="31"/>
      <c r="N14" s="30"/>
    </row>
    <row r="15" spans="1:14" s="4" customFormat="1" ht="15">
      <c r="A15" s="79">
        <v>13</v>
      </c>
      <c r="B15" s="50" t="s">
        <v>172</v>
      </c>
      <c r="C15" s="7">
        <v>38527</v>
      </c>
      <c r="D15" s="10" t="s">
        <v>318</v>
      </c>
      <c r="E15" s="10" t="s">
        <v>173</v>
      </c>
      <c r="F15" s="11">
        <v>137</v>
      </c>
      <c r="G15" s="11">
        <v>17</v>
      </c>
      <c r="H15" s="35">
        <v>2845560</v>
      </c>
      <c r="I15" s="36">
        <v>347065</v>
      </c>
      <c r="J15" s="12">
        <f t="shared" si="0"/>
        <v>8.198925273363779</v>
      </c>
      <c r="K15" s="70"/>
      <c r="L15" s="30"/>
      <c r="M15" s="31"/>
      <c r="N15" s="30"/>
    </row>
    <row r="16" spans="1:14" s="4" customFormat="1" ht="15">
      <c r="A16" s="79">
        <v>14</v>
      </c>
      <c r="B16" s="50" t="s">
        <v>174</v>
      </c>
      <c r="C16" s="7">
        <v>38452</v>
      </c>
      <c r="D16" s="13" t="s">
        <v>317</v>
      </c>
      <c r="E16" s="10" t="s">
        <v>99</v>
      </c>
      <c r="F16" s="11">
        <v>102</v>
      </c>
      <c r="G16" s="11">
        <v>17</v>
      </c>
      <c r="H16" s="35">
        <v>2800861</v>
      </c>
      <c r="I16" s="36">
        <v>327899</v>
      </c>
      <c r="J16" s="12">
        <f t="shared" si="0"/>
        <v>8.541840627754278</v>
      </c>
      <c r="K16" s="70"/>
      <c r="L16" s="30"/>
      <c r="M16" s="31"/>
      <c r="N16" s="30"/>
    </row>
    <row r="17" spans="1:14" s="4" customFormat="1" ht="15">
      <c r="A17" s="79">
        <v>15</v>
      </c>
      <c r="B17" s="49" t="s">
        <v>175</v>
      </c>
      <c r="C17" s="7">
        <v>38368</v>
      </c>
      <c r="D17" s="6" t="s">
        <v>96</v>
      </c>
      <c r="E17" s="10" t="s">
        <v>99</v>
      </c>
      <c r="F17" s="8">
        <v>80</v>
      </c>
      <c r="G17" s="8">
        <v>38</v>
      </c>
      <c r="H17" s="60">
        <f>783409.5+672566+392418+168504+54411+64946+58601+64120+20152+13919+28038+18395+13488+12795+8277+3206+3326.5+2899+422+2494+2511+191208.5+52491.25+20983+9705.5+4052+4553+3287+2148+4646.5+4535.5+5023+5448+1873+1975.25+1426+176+100</f>
        <v>2702529.5</v>
      </c>
      <c r="I17" s="36">
        <f>86363+71043+43171+22546+8141+10573+9585+10952+3417+2596+4707+3339+2364+2380+1458+540+671+701+80+511+492+23153+7937+3484+2007+768+830+670+362+791+720+747+935+313+335+201+22+25</f>
        <v>328930</v>
      </c>
      <c r="J17" s="18">
        <f t="shared" si="0"/>
        <v>8.216123491320342</v>
      </c>
      <c r="K17" s="70"/>
      <c r="L17" s="30"/>
      <c r="M17" s="31"/>
      <c r="N17" s="30"/>
    </row>
    <row r="18" spans="1:14" s="4" customFormat="1" ht="15">
      <c r="A18" s="79">
        <v>16</v>
      </c>
      <c r="B18" s="52" t="s">
        <v>177</v>
      </c>
      <c r="C18" s="2">
        <v>38641</v>
      </c>
      <c r="D18" s="10" t="s">
        <v>318</v>
      </c>
      <c r="E18" s="20" t="s">
        <v>178</v>
      </c>
      <c r="F18" s="4">
        <v>99</v>
      </c>
      <c r="G18" s="4">
        <v>11</v>
      </c>
      <c r="H18" s="35">
        <v>2573371</v>
      </c>
      <c r="I18" s="36">
        <v>271651</v>
      </c>
      <c r="J18" s="17">
        <f t="shared" si="0"/>
        <v>9.47307758852351</v>
      </c>
      <c r="K18" s="70"/>
      <c r="L18" s="30"/>
      <c r="M18" s="31"/>
      <c r="N18" s="30"/>
    </row>
    <row r="19" spans="1:14" s="4" customFormat="1" ht="15">
      <c r="A19" s="79">
        <v>17</v>
      </c>
      <c r="B19" s="50" t="s">
        <v>181</v>
      </c>
      <c r="C19" s="7">
        <v>38508</v>
      </c>
      <c r="D19" s="13" t="s">
        <v>317</v>
      </c>
      <c r="E19" s="10" t="s">
        <v>94</v>
      </c>
      <c r="F19" s="11">
        <v>152</v>
      </c>
      <c r="G19" s="11">
        <v>15</v>
      </c>
      <c r="H19" s="35">
        <v>2358248</v>
      </c>
      <c r="I19" s="36">
        <v>276007</v>
      </c>
      <c r="J19" s="12">
        <f t="shared" si="0"/>
        <v>8.54416011188122</v>
      </c>
      <c r="K19" s="70"/>
      <c r="L19" s="30"/>
      <c r="M19" s="31"/>
      <c r="N19" s="30"/>
    </row>
    <row r="20" spans="1:14" s="4" customFormat="1" ht="15">
      <c r="A20" s="79">
        <v>18</v>
      </c>
      <c r="B20" s="50" t="s">
        <v>182</v>
      </c>
      <c r="C20" s="7">
        <v>38375</v>
      </c>
      <c r="D20" s="10" t="s">
        <v>318</v>
      </c>
      <c r="E20" s="10" t="s">
        <v>165</v>
      </c>
      <c r="F20" s="11">
        <v>108</v>
      </c>
      <c r="G20" s="11">
        <v>39</v>
      </c>
      <c r="H20" s="35">
        <v>2305005</v>
      </c>
      <c r="I20" s="36">
        <v>277891</v>
      </c>
      <c r="J20" s="12">
        <f t="shared" si="0"/>
        <v>8.294637105915628</v>
      </c>
      <c r="K20" s="70"/>
      <c r="L20" s="30"/>
      <c r="M20" s="31"/>
      <c r="N20" s="30"/>
    </row>
    <row r="21" spans="1:14" s="4" customFormat="1" ht="15">
      <c r="A21" s="79">
        <v>19</v>
      </c>
      <c r="B21" s="49" t="s">
        <v>188</v>
      </c>
      <c r="C21" s="7">
        <v>38620</v>
      </c>
      <c r="D21" s="10" t="s">
        <v>318</v>
      </c>
      <c r="E21" s="6" t="s">
        <v>178</v>
      </c>
      <c r="F21" s="8">
        <v>61</v>
      </c>
      <c r="G21" s="8">
        <v>9</v>
      </c>
      <c r="H21" s="60">
        <v>1773463</v>
      </c>
      <c r="I21" s="36">
        <v>177958</v>
      </c>
      <c r="J21" s="18">
        <f t="shared" si="0"/>
        <v>9.965626720911676</v>
      </c>
      <c r="K21" s="70"/>
      <c r="L21" s="30"/>
      <c r="M21" s="31"/>
      <c r="N21" s="30"/>
    </row>
    <row r="22" spans="1:14" s="4" customFormat="1" ht="15">
      <c r="A22" s="79">
        <v>20</v>
      </c>
      <c r="B22" s="50" t="s">
        <v>189</v>
      </c>
      <c r="C22" s="7">
        <v>38452</v>
      </c>
      <c r="D22" s="10" t="s">
        <v>318</v>
      </c>
      <c r="E22" s="10" t="s">
        <v>173</v>
      </c>
      <c r="F22" s="11">
        <v>95</v>
      </c>
      <c r="G22" s="11">
        <v>26</v>
      </c>
      <c r="H22" s="35">
        <v>1701090</v>
      </c>
      <c r="I22" s="36">
        <v>158671</v>
      </c>
      <c r="J22" s="12">
        <f t="shared" si="0"/>
        <v>10.720862665515437</v>
      </c>
      <c r="K22" s="70"/>
      <c r="L22" s="30"/>
      <c r="M22" s="31"/>
      <c r="N22" s="30"/>
    </row>
    <row r="23" spans="1:14" s="4" customFormat="1" ht="15">
      <c r="A23" s="79">
        <v>21</v>
      </c>
      <c r="B23" s="49" t="s">
        <v>190</v>
      </c>
      <c r="C23" s="7">
        <v>38697</v>
      </c>
      <c r="D23" s="13" t="s">
        <v>317</v>
      </c>
      <c r="E23" s="6" t="s">
        <v>99</v>
      </c>
      <c r="F23" s="8">
        <v>141</v>
      </c>
      <c r="G23" s="8">
        <v>3</v>
      </c>
      <c r="H23" s="58">
        <f>930776+464533-446+213051</f>
        <v>1607914</v>
      </c>
      <c r="I23" s="59">
        <f>104948+53915-106+25211</f>
        <v>183968</v>
      </c>
      <c r="J23" s="5">
        <f t="shared" si="0"/>
        <v>8.740183075317447</v>
      </c>
      <c r="K23" s="70"/>
      <c r="L23" s="30"/>
      <c r="M23" s="31"/>
      <c r="N23" s="30"/>
    </row>
    <row r="24" spans="1:14" s="4" customFormat="1" ht="15">
      <c r="A24" s="79">
        <v>22</v>
      </c>
      <c r="B24" s="50" t="s">
        <v>11</v>
      </c>
      <c r="C24" s="7">
        <v>38361</v>
      </c>
      <c r="D24" s="10" t="s">
        <v>96</v>
      </c>
      <c r="E24" s="10" t="s">
        <v>12</v>
      </c>
      <c r="F24" s="11">
        <v>37</v>
      </c>
      <c r="G24" s="11">
        <v>28</v>
      </c>
      <c r="H24" s="35">
        <f>659650+421734+197166+56066+26078+17427+25433+18144+27821+1811+493.5+7565+4181.5+3162+140+1484+1484+728+280+504+1793+1407+646+512+440+510+1664+1188</f>
        <v>1479512</v>
      </c>
      <c r="I24" s="36">
        <f>60096+38612+18194+5957+3377+2817+3965+3389+4264+427+74+1077+688+516+28+371+371+204+56+126+279+169+61+112+44+72+416+297</f>
        <v>146059</v>
      </c>
      <c r="J24" s="12">
        <f t="shared" si="0"/>
        <v>10.129550387172307</v>
      </c>
      <c r="K24" s="70"/>
      <c r="L24" s="30"/>
      <c r="M24" s="31"/>
      <c r="N24" s="30"/>
    </row>
    <row r="25" spans="1:14" s="4" customFormat="1" ht="15">
      <c r="A25" s="79">
        <v>23</v>
      </c>
      <c r="B25" s="51" t="s">
        <v>13</v>
      </c>
      <c r="C25" s="7">
        <v>38466</v>
      </c>
      <c r="D25" s="13" t="s">
        <v>317</v>
      </c>
      <c r="E25" s="14" t="s">
        <v>99</v>
      </c>
      <c r="F25" s="15">
        <v>65</v>
      </c>
      <c r="G25" s="15">
        <v>19</v>
      </c>
      <c r="H25" s="58">
        <v>1473556</v>
      </c>
      <c r="I25" s="59">
        <v>155256</v>
      </c>
      <c r="J25" s="21">
        <f t="shared" si="0"/>
        <v>9.491137218529397</v>
      </c>
      <c r="K25" s="70"/>
      <c r="L25" s="30"/>
      <c r="M25" s="31"/>
      <c r="N25" s="30"/>
    </row>
    <row r="26" spans="1:14" s="4" customFormat="1" ht="15">
      <c r="A26" s="79">
        <v>24</v>
      </c>
      <c r="B26" s="51" t="s">
        <v>14</v>
      </c>
      <c r="C26" s="7">
        <v>38571</v>
      </c>
      <c r="D26" s="10" t="s">
        <v>318</v>
      </c>
      <c r="E26" s="14" t="s">
        <v>173</v>
      </c>
      <c r="F26" s="15">
        <v>96</v>
      </c>
      <c r="G26" s="15">
        <v>13</v>
      </c>
      <c r="H26" s="60">
        <v>1449217</v>
      </c>
      <c r="I26" s="36">
        <v>175085</v>
      </c>
      <c r="J26" s="9">
        <f t="shared" si="0"/>
        <v>8.277219636176714</v>
      </c>
      <c r="K26" s="70"/>
      <c r="L26" s="30"/>
      <c r="M26" s="31"/>
      <c r="N26" s="30"/>
    </row>
    <row r="27" spans="1:14" s="4" customFormat="1" ht="15">
      <c r="A27" s="79">
        <v>25</v>
      </c>
      <c r="B27" s="49" t="s">
        <v>15</v>
      </c>
      <c r="C27" s="7">
        <v>38375</v>
      </c>
      <c r="D27" s="6" t="s">
        <v>89</v>
      </c>
      <c r="E27" s="6" t="s">
        <v>16</v>
      </c>
      <c r="F27" s="8">
        <v>86</v>
      </c>
      <c r="G27" s="8">
        <v>19</v>
      </c>
      <c r="H27" s="60">
        <v>1447650.5</v>
      </c>
      <c r="I27" s="36">
        <v>167006</v>
      </c>
      <c r="J27" s="9">
        <f>IF(H27&lt;&gt;0,H27/I27,"")</f>
        <v>8.668254433972432</v>
      </c>
      <c r="K27" s="70"/>
      <c r="L27" s="30"/>
      <c r="M27" s="31"/>
      <c r="N27" s="30"/>
    </row>
    <row r="28" spans="1:14" s="4" customFormat="1" ht="15">
      <c r="A28" s="79">
        <v>26</v>
      </c>
      <c r="B28" s="50" t="s">
        <v>17</v>
      </c>
      <c r="C28" s="7">
        <v>38473</v>
      </c>
      <c r="D28" s="10" t="s">
        <v>96</v>
      </c>
      <c r="E28" s="10" t="s">
        <v>97</v>
      </c>
      <c r="F28" s="11">
        <v>110</v>
      </c>
      <c r="G28" s="11">
        <v>20</v>
      </c>
      <c r="H28" s="35">
        <f>827831.75+302940.25+148808.75+55079+41974+18468.5+20758+2655+3963+983+1539+209+895+461+2514+30+215+1138.5+28+1424</f>
        <v>1431914.75</v>
      </c>
      <c r="I28" s="36">
        <f>84699+31917+18690+9450+7367+3640+4667+407+823+153+305+74+193+75+537+2+19+175+2+356</f>
        <v>163551</v>
      </c>
      <c r="J28" s="12">
        <f>+H28/I28</f>
        <v>8.7551574126725</v>
      </c>
      <c r="K28" s="70"/>
      <c r="L28" s="30"/>
      <c r="M28" s="31"/>
      <c r="N28" s="30"/>
    </row>
    <row r="29" spans="1:14" s="4" customFormat="1" ht="15">
      <c r="A29" s="79">
        <v>27</v>
      </c>
      <c r="B29" s="50" t="s">
        <v>18</v>
      </c>
      <c r="C29" s="7">
        <v>38396</v>
      </c>
      <c r="D29" s="13" t="s">
        <v>317</v>
      </c>
      <c r="E29" s="10" t="s">
        <v>99</v>
      </c>
      <c r="F29" s="11">
        <v>25</v>
      </c>
      <c r="G29" s="11">
        <v>8</v>
      </c>
      <c r="H29" s="35">
        <f>431037+376139+288602-245+148454+40928+50436+44428+33934</f>
        <v>1413713</v>
      </c>
      <c r="I29" s="36">
        <f>37016+33054+25810+12999+4602+6239+5423+4113</f>
        <v>129256</v>
      </c>
      <c r="J29" s="12">
        <f>+H29/I29</f>
        <v>10.93731045367333</v>
      </c>
      <c r="K29" s="70"/>
      <c r="L29" s="30"/>
      <c r="M29" s="31"/>
      <c r="N29" s="30"/>
    </row>
    <row r="30" spans="1:14" s="4" customFormat="1" ht="15">
      <c r="A30" s="79">
        <v>28</v>
      </c>
      <c r="B30" s="49" t="s">
        <v>19</v>
      </c>
      <c r="C30" s="7">
        <v>38620</v>
      </c>
      <c r="D30" s="13" t="s">
        <v>317</v>
      </c>
      <c r="E30" s="6" t="s">
        <v>94</v>
      </c>
      <c r="F30" s="8">
        <v>70</v>
      </c>
      <c r="G30" s="8">
        <v>11</v>
      </c>
      <c r="H30" s="58">
        <v>1392975</v>
      </c>
      <c r="I30" s="59">
        <v>137156</v>
      </c>
      <c r="J30" s="5">
        <f>+H30/I30</f>
        <v>10.156136078625797</v>
      </c>
      <c r="K30" s="70"/>
      <c r="L30" s="30"/>
      <c r="M30" s="31"/>
      <c r="N30" s="30"/>
    </row>
    <row r="31" spans="1:14" s="4" customFormat="1" ht="15">
      <c r="A31" s="79">
        <v>29</v>
      </c>
      <c r="B31" s="50" t="s">
        <v>20</v>
      </c>
      <c r="C31" s="7">
        <v>38382</v>
      </c>
      <c r="D31" s="10" t="s">
        <v>96</v>
      </c>
      <c r="E31" s="10" t="s">
        <v>97</v>
      </c>
      <c r="F31" s="11">
        <v>80</v>
      </c>
      <c r="G31" s="11">
        <v>18</v>
      </c>
      <c r="H31" s="35">
        <f>667928.5+422494.5+139288+71324.5+23049.5+32432+3540.5+7287+4043+3439+1920+354+1623+2298+1780+163+2200+1276.5</f>
        <v>1386441</v>
      </c>
      <c r="I31" s="36">
        <f>67031+44640+16046+10311+3717+6651+677+1565+893+611+318+68+399+572+445+33+509+98</f>
        <v>154584</v>
      </c>
      <c r="J31" s="12">
        <f>H31/I31</f>
        <v>8.96885188635305</v>
      </c>
      <c r="K31" s="70"/>
      <c r="L31" s="30"/>
      <c r="M31" s="31"/>
      <c r="N31" s="30"/>
    </row>
    <row r="32" spans="1:14" s="4" customFormat="1" ht="15">
      <c r="A32" s="79">
        <v>30</v>
      </c>
      <c r="B32" s="50" t="s">
        <v>21</v>
      </c>
      <c r="C32" s="7">
        <v>38361</v>
      </c>
      <c r="D32" s="10" t="s">
        <v>318</v>
      </c>
      <c r="E32" s="10" t="s">
        <v>165</v>
      </c>
      <c r="F32" s="11">
        <v>56</v>
      </c>
      <c r="G32" s="11">
        <v>35</v>
      </c>
      <c r="H32" s="35">
        <v>1260782</v>
      </c>
      <c r="I32" s="36">
        <v>143588</v>
      </c>
      <c r="J32" s="12">
        <f>+H32/I32</f>
        <v>8.780552692425552</v>
      </c>
      <c r="K32" s="70"/>
      <c r="L32" s="30"/>
      <c r="M32" s="31"/>
      <c r="N32" s="30"/>
    </row>
    <row r="33" spans="1:14" s="4" customFormat="1" ht="15">
      <c r="A33" s="79">
        <v>31</v>
      </c>
      <c r="B33" s="50" t="s">
        <v>22</v>
      </c>
      <c r="C33" s="7">
        <v>38543</v>
      </c>
      <c r="D33" s="10" t="s">
        <v>318</v>
      </c>
      <c r="E33" s="10" t="s">
        <v>165</v>
      </c>
      <c r="F33" s="11">
        <v>68</v>
      </c>
      <c r="G33" s="11">
        <v>15</v>
      </c>
      <c r="H33" s="35">
        <v>1216410</v>
      </c>
      <c r="I33" s="36">
        <v>131486</v>
      </c>
      <c r="J33" s="12">
        <f>+H33/I33</f>
        <v>9.251251083765572</v>
      </c>
      <c r="K33" s="70"/>
      <c r="L33" s="30"/>
      <c r="M33" s="31"/>
      <c r="N33" s="30"/>
    </row>
    <row r="34" spans="1:14" s="4" customFormat="1" ht="15">
      <c r="A34" s="79">
        <v>32</v>
      </c>
      <c r="B34" s="50" t="s">
        <v>23</v>
      </c>
      <c r="C34" s="7">
        <v>38522</v>
      </c>
      <c r="D34" s="10" t="s">
        <v>318</v>
      </c>
      <c r="E34" s="10" t="s">
        <v>178</v>
      </c>
      <c r="F34" s="11">
        <v>47</v>
      </c>
      <c r="G34" s="11">
        <v>17</v>
      </c>
      <c r="H34" s="35">
        <v>1117590</v>
      </c>
      <c r="I34" s="36">
        <v>120969</v>
      </c>
      <c r="J34" s="12">
        <f>+H34/I34</f>
        <v>9.238647918061652</v>
      </c>
      <c r="K34" s="70"/>
      <c r="L34" s="30"/>
      <c r="M34" s="31"/>
      <c r="N34" s="30"/>
    </row>
    <row r="35" spans="1:14" s="4" customFormat="1" ht="15">
      <c r="A35" s="79">
        <v>33</v>
      </c>
      <c r="B35" s="33" t="s">
        <v>24</v>
      </c>
      <c r="C35" s="2">
        <v>38494</v>
      </c>
      <c r="D35" s="1" t="s">
        <v>96</v>
      </c>
      <c r="E35" s="1" t="s">
        <v>97</v>
      </c>
      <c r="F35" s="4">
        <v>88</v>
      </c>
      <c r="G35" s="4">
        <v>24</v>
      </c>
      <c r="H35" s="58">
        <f>253985.25+197941+176827+129137.25+73306.5+36496.5+20735+12653+3137+3974+3108+6704.75+3312+1885+643+108556.75+31027+8660.5+1196.5+2137+5262+2140+4040+1780</f>
        <v>1088645</v>
      </c>
      <c r="I35" s="59">
        <f>26929+21325+23241+17550+10624+6388+4049+2644+577+882+663+1354+764+460+116+14641+4967+986+117+181+1185+535+1010+445</f>
        <v>141633</v>
      </c>
      <c r="J35" s="5">
        <f>H35/I35</f>
        <v>7.686379586678246</v>
      </c>
      <c r="K35" s="70"/>
      <c r="L35" s="30"/>
      <c r="M35" s="31"/>
      <c r="N35" s="30"/>
    </row>
    <row r="36" spans="1:14" s="4" customFormat="1" ht="15">
      <c r="A36" s="79">
        <v>34</v>
      </c>
      <c r="B36" s="50" t="s">
        <v>25</v>
      </c>
      <c r="C36" s="7">
        <v>38557</v>
      </c>
      <c r="D36" s="13" t="s">
        <v>317</v>
      </c>
      <c r="E36" s="10" t="s">
        <v>99</v>
      </c>
      <c r="F36" s="11">
        <v>70</v>
      </c>
      <c r="G36" s="11">
        <v>12</v>
      </c>
      <c r="H36" s="35">
        <v>1065354</v>
      </c>
      <c r="I36" s="36">
        <v>120946</v>
      </c>
      <c r="J36" s="12">
        <f>+H36/I36</f>
        <v>8.808509582789013</v>
      </c>
      <c r="K36" s="70"/>
      <c r="L36" s="30"/>
      <c r="M36" s="31"/>
      <c r="N36" s="30"/>
    </row>
    <row r="37" spans="1:14" s="4" customFormat="1" ht="15">
      <c r="A37" s="79">
        <v>35</v>
      </c>
      <c r="B37" s="49" t="s">
        <v>26</v>
      </c>
      <c r="C37" s="7">
        <v>38564</v>
      </c>
      <c r="D37" s="13" t="s">
        <v>317</v>
      </c>
      <c r="E37" s="6" t="s">
        <v>94</v>
      </c>
      <c r="F37" s="8">
        <v>66</v>
      </c>
      <c r="G37" s="8">
        <v>12</v>
      </c>
      <c r="H37" s="58">
        <v>1056756</v>
      </c>
      <c r="I37" s="59">
        <v>114748</v>
      </c>
      <c r="J37" s="5">
        <f>H37/I37</f>
        <v>9.209363126154704</v>
      </c>
      <c r="K37" s="70"/>
      <c r="L37" s="30"/>
      <c r="M37" s="31"/>
      <c r="N37" s="30"/>
    </row>
    <row r="38" spans="1:14" s="4" customFormat="1" ht="15">
      <c r="A38" s="79">
        <v>36</v>
      </c>
      <c r="B38" s="50" t="s">
        <v>29</v>
      </c>
      <c r="C38" s="2">
        <v>38459</v>
      </c>
      <c r="D38" s="10" t="s">
        <v>96</v>
      </c>
      <c r="E38" s="10" t="s">
        <v>99</v>
      </c>
      <c r="F38" s="11">
        <v>133</v>
      </c>
      <c r="G38" s="11">
        <v>19</v>
      </c>
      <c r="H38" s="63">
        <f>814797.5+158602+44526+7105.5+1443+731+330+3273+1356+388+2317+2290.5+138+112.5+37+1136+51+98+1424</f>
        <v>1040156</v>
      </c>
      <c r="I38" s="64">
        <f>100614+19257+6285+1176+234+205+67+783+301+48+521+500+23+18+9+170+23+30+356</f>
        <v>130620</v>
      </c>
      <c r="J38" s="22">
        <f>H38/I38</f>
        <v>7.963221558719951</v>
      </c>
      <c r="K38" s="70"/>
      <c r="L38" s="30"/>
      <c r="M38" s="31"/>
      <c r="N38" s="30"/>
    </row>
    <row r="39" spans="1:14" s="4" customFormat="1" ht="15">
      <c r="A39" s="79">
        <v>37</v>
      </c>
      <c r="B39" s="51" t="s">
        <v>32</v>
      </c>
      <c r="C39" s="7">
        <v>38613</v>
      </c>
      <c r="D39" s="10" t="s">
        <v>318</v>
      </c>
      <c r="E39" s="14" t="s">
        <v>178</v>
      </c>
      <c r="F39" s="15">
        <v>61</v>
      </c>
      <c r="G39" s="15">
        <v>9</v>
      </c>
      <c r="H39" s="60">
        <v>1024635</v>
      </c>
      <c r="I39" s="36">
        <v>102419</v>
      </c>
      <c r="J39" s="18">
        <f aca="true" t="shared" si="1" ref="J39:J44">+H39/I39</f>
        <v>10.00434489694295</v>
      </c>
      <c r="K39" s="70"/>
      <c r="L39" s="30"/>
      <c r="M39" s="31"/>
      <c r="N39" s="30"/>
    </row>
    <row r="40" spans="1:14" s="4" customFormat="1" ht="15">
      <c r="A40" s="79">
        <v>38</v>
      </c>
      <c r="B40" s="49" t="s">
        <v>35</v>
      </c>
      <c r="C40" s="7">
        <v>38676</v>
      </c>
      <c r="D40" s="13" t="s">
        <v>317</v>
      </c>
      <c r="E40" s="6" t="s">
        <v>94</v>
      </c>
      <c r="F40" s="8">
        <v>20</v>
      </c>
      <c r="G40" s="8">
        <v>6</v>
      </c>
      <c r="H40" s="58">
        <f>335920+376545+97+181840+81712+12244+9502</f>
        <v>997860</v>
      </c>
      <c r="I40" s="59">
        <f>27565+30191+14999+6718+1030+1041</f>
        <v>81544</v>
      </c>
      <c r="J40" s="5">
        <f t="shared" si="1"/>
        <v>12.237074462866673</v>
      </c>
      <c r="K40" s="70"/>
      <c r="L40" s="30"/>
      <c r="M40" s="31"/>
      <c r="N40" s="30"/>
    </row>
    <row r="41" spans="1:14" s="4" customFormat="1" ht="15">
      <c r="A41" s="79">
        <v>39</v>
      </c>
      <c r="B41" s="50" t="s">
        <v>36</v>
      </c>
      <c r="C41" s="7">
        <v>38431</v>
      </c>
      <c r="D41" s="10" t="s">
        <v>318</v>
      </c>
      <c r="E41" s="10" t="s">
        <v>165</v>
      </c>
      <c r="F41" s="11">
        <v>60</v>
      </c>
      <c r="G41" s="11">
        <v>25</v>
      </c>
      <c r="H41" s="35">
        <v>956007</v>
      </c>
      <c r="I41" s="36">
        <v>100527</v>
      </c>
      <c r="J41" s="12">
        <f t="shared" si="1"/>
        <v>9.509952550061177</v>
      </c>
      <c r="K41" s="70"/>
      <c r="L41" s="30"/>
      <c r="M41" s="31"/>
      <c r="N41" s="30"/>
    </row>
    <row r="42" spans="1:14" s="4" customFormat="1" ht="15">
      <c r="A42" s="79">
        <v>40</v>
      </c>
      <c r="B42" s="50" t="s">
        <v>37</v>
      </c>
      <c r="C42" s="7">
        <v>38417</v>
      </c>
      <c r="D42" s="10" t="s">
        <v>318</v>
      </c>
      <c r="E42" s="10" t="s">
        <v>173</v>
      </c>
      <c r="F42" s="11">
        <v>90</v>
      </c>
      <c r="G42" s="11">
        <v>27</v>
      </c>
      <c r="H42" s="35">
        <v>924265</v>
      </c>
      <c r="I42" s="36">
        <v>102496</v>
      </c>
      <c r="J42" s="12">
        <f t="shared" si="1"/>
        <v>9.017571417421168</v>
      </c>
      <c r="K42" s="70"/>
      <c r="L42" s="30"/>
      <c r="M42" s="31"/>
      <c r="N42" s="30"/>
    </row>
    <row r="43" spans="1:14" s="4" customFormat="1" ht="15">
      <c r="A43" s="79">
        <v>41</v>
      </c>
      <c r="B43" s="50" t="s">
        <v>196</v>
      </c>
      <c r="C43" s="7">
        <v>38389</v>
      </c>
      <c r="D43" s="10" t="s">
        <v>318</v>
      </c>
      <c r="E43" s="10" t="s">
        <v>178</v>
      </c>
      <c r="F43" s="11">
        <v>78</v>
      </c>
      <c r="G43" s="11">
        <v>25</v>
      </c>
      <c r="H43" s="35">
        <v>904187</v>
      </c>
      <c r="I43" s="36">
        <v>98519</v>
      </c>
      <c r="J43" s="12">
        <f t="shared" si="1"/>
        <v>9.177793116048681</v>
      </c>
      <c r="K43" s="70"/>
      <c r="L43" s="30"/>
      <c r="M43" s="31"/>
      <c r="N43" s="30"/>
    </row>
    <row r="44" spans="1:14" s="4" customFormat="1" ht="15">
      <c r="A44" s="79">
        <v>42</v>
      </c>
      <c r="B44" s="50" t="s">
        <v>197</v>
      </c>
      <c r="C44" s="7">
        <v>38543</v>
      </c>
      <c r="D44" s="13" t="s">
        <v>317</v>
      </c>
      <c r="E44" s="10" t="s">
        <v>109</v>
      </c>
      <c r="F44" s="11">
        <v>60</v>
      </c>
      <c r="G44" s="11">
        <v>15</v>
      </c>
      <c r="H44" s="35">
        <v>855940</v>
      </c>
      <c r="I44" s="36">
        <v>93628</v>
      </c>
      <c r="J44" s="12">
        <f t="shared" si="1"/>
        <v>9.141923356260948</v>
      </c>
      <c r="K44" s="70"/>
      <c r="L44" s="30"/>
      <c r="M44" s="31"/>
      <c r="N44" s="30"/>
    </row>
    <row r="45" spans="1:14" s="4" customFormat="1" ht="15">
      <c r="A45" s="79">
        <v>43</v>
      </c>
      <c r="B45" s="51" t="s">
        <v>200</v>
      </c>
      <c r="C45" s="7">
        <v>38368</v>
      </c>
      <c r="D45" s="14" t="s">
        <v>96</v>
      </c>
      <c r="E45" s="14" t="s">
        <v>201</v>
      </c>
      <c r="F45" s="15">
        <v>65</v>
      </c>
      <c r="G45" s="15">
        <v>33</v>
      </c>
      <c r="H45" s="60">
        <f>237023+244842+160469+47021+21536+18820+18020.5+26440+10695+9162.5+9870+6322+1787+2032+757+348+420.5+158+4053+339.5+3161.5+1729.5+752+1417+1780+64+1208+952+552+139.5+544+40+8072</f>
        <v>840527.5</v>
      </c>
      <c r="I45" s="36">
        <f>25678+28966+21290+6590+4890+3520+3479+4786+1907+1716+2388+1533+368+541+126+70+67+48+991+81+743+414+155+169+445+16+302+238+117+23+48+12+2018</f>
        <v>113735</v>
      </c>
      <c r="J45" s="9">
        <f>H45/I45</f>
        <v>7.3902272827186</v>
      </c>
      <c r="K45" s="70"/>
      <c r="L45" s="30"/>
      <c r="M45" s="31"/>
      <c r="N45" s="30"/>
    </row>
    <row r="46" spans="1:14" s="4" customFormat="1" ht="15">
      <c r="A46" s="79">
        <v>44</v>
      </c>
      <c r="B46" s="50" t="s">
        <v>202</v>
      </c>
      <c r="C46" s="7">
        <v>38515</v>
      </c>
      <c r="D46" s="13" t="s">
        <v>317</v>
      </c>
      <c r="E46" s="10" t="s">
        <v>99</v>
      </c>
      <c r="F46" s="11">
        <v>95</v>
      </c>
      <c r="G46" s="11">
        <v>18</v>
      </c>
      <c r="H46" s="35">
        <v>835868</v>
      </c>
      <c r="I46" s="36">
        <v>112388</v>
      </c>
      <c r="J46" s="12">
        <f>+H46/I46</f>
        <v>7.437342064989145</v>
      </c>
      <c r="K46" s="70"/>
      <c r="L46" s="30"/>
      <c r="M46" s="31"/>
      <c r="N46" s="30"/>
    </row>
    <row r="47" spans="1:14" s="4" customFormat="1" ht="15">
      <c r="A47" s="79">
        <v>45</v>
      </c>
      <c r="B47" s="50" t="s">
        <v>203</v>
      </c>
      <c r="C47" s="7">
        <v>38424</v>
      </c>
      <c r="D47" s="13" t="s">
        <v>317</v>
      </c>
      <c r="E47" s="10" t="s">
        <v>94</v>
      </c>
      <c r="F47" s="11">
        <v>58</v>
      </c>
      <c r="G47" s="11">
        <v>8</v>
      </c>
      <c r="H47" s="35">
        <f>356870+122+266596+123347+43097+20154+3952+3861+6872</f>
        <v>824871</v>
      </c>
      <c r="I47" s="36">
        <f>36991-2+28153+13916+6862+3245+1115+822+1918</f>
        <v>93020</v>
      </c>
      <c r="J47" s="12">
        <f>+H47/I47</f>
        <v>8.86767361857665</v>
      </c>
      <c r="K47" s="70"/>
      <c r="L47" s="30"/>
      <c r="M47" s="31"/>
      <c r="N47" s="30"/>
    </row>
    <row r="48" spans="1:14" s="4" customFormat="1" ht="15">
      <c r="A48" s="79">
        <v>46</v>
      </c>
      <c r="B48" s="50" t="s">
        <v>206</v>
      </c>
      <c r="C48" s="7">
        <v>38382</v>
      </c>
      <c r="D48" s="10" t="s">
        <v>318</v>
      </c>
      <c r="E48" s="10" t="s">
        <v>165</v>
      </c>
      <c r="F48" s="11">
        <v>53</v>
      </c>
      <c r="G48" s="11">
        <v>26</v>
      </c>
      <c r="H48" s="35">
        <v>810374</v>
      </c>
      <c r="I48" s="36">
        <v>82051</v>
      </c>
      <c r="J48" s="12">
        <f>+H48/I48</f>
        <v>9.876467075355572</v>
      </c>
      <c r="K48" s="70"/>
      <c r="L48" s="30"/>
      <c r="M48" s="31"/>
      <c r="N48" s="30"/>
    </row>
    <row r="49" spans="1:14" s="4" customFormat="1" ht="15">
      <c r="A49" s="79">
        <v>47</v>
      </c>
      <c r="B49" s="50" t="s">
        <v>211</v>
      </c>
      <c r="C49" s="7">
        <v>38480</v>
      </c>
      <c r="D49" s="10" t="s">
        <v>318</v>
      </c>
      <c r="E49" s="10" t="s">
        <v>173</v>
      </c>
      <c r="F49" s="11">
        <v>80</v>
      </c>
      <c r="G49" s="11">
        <v>9</v>
      </c>
      <c r="H49" s="35">
        <v>804608</v>
      </c>
      <c r="I49" s="36">
        <v>83961</v>
      </c>
      <c r="J49" s="12">
        <f>+H49/I49</f>
        <v>9.583115970510118</v>
      </c>
      <c r="K49" s="70"/>
      <c r="L49" s="30"/>
      <c r="M49" s="31"/>
      <c r="N49" s="30"/>
    </row>
    <row r="50" spans="1:14" s="4" customFormat="1" ht="15">
      <c r="A50" s="79">
        <v>48</v>
      </c>
      <c r="B50" s="50" t="s">
        <v>212</v>
      </c>
      <c r="C50" s="7">
        <v>38410</v>
      </c>
      <c r="D50" s="10" t="s">
        <v>318</v>
      </c>
      <c r="E50" s="10" t="s">
        <v>173</v>
      </c>
      <c r="F50" s="11">
        <v>40</v>
      </c>
      <c r="G50" s="11">
        <v>10</v>
      </c>
      <c r="H50" s="35">
        <v>781870</v>
      </c>
      <c r="I50" s="36">
        <v>83452</v>
      </c>
      <c r="J50" s="12">
        <f>+H50/I50</f>
        <v>9.369098403872885</v>
      </c>
      <c r="K50" s="70"/>
      <c r="L50" s="30"/>
      <c r="M50" s="31"/>
      <c r="N50" s="30"/>
    </row>
    <row r="51" spans="1:14" s="4" customFormat="1" ht="15">
      <c r="A51" s="79">
        <v>49</v>
      </c>
      <c r="B51" s="49" t="s">
        <v>214</v>
      </c>
      <c r="C51" s="7">
        <v>38634</v>
      </c>
      <c r="D51" s="13" t="s">
        <v>317</v>
      </c>
      <c r="E51" s="6" t="s">
        <v>99</v>
      </c>
      <c r="F51" s="8">
        <v>75</v>
      </c>
      <c r="G51" s="8">
        <v>8</v>
      </c>
      <c r="H51" s="58">
        <v>711802</v>
      </c>
      <c r="I51" s="59">
        <v>71076</v>
      </c>
      <c r="J51" s="5">
        <f>H51/I51</f>
        <v>10.014660363554505</v>
      </c>
      <c r="K51" s="70"/>
      <c r="L51" s="30"/>
      <c r="M51" s="31"/>
      <c r="N51" s="30"/>
    </row>
    <row r="52" spans="1:14" s="4" customFormat="1" ht="15">
      <c r="A52" s="79">
        <v>50</v>
      </c>
      <c r="B52" s="50" t="s">
        <v>215</v>
      </c>
      <c r="C52" s="7">
        <v>38578</v>
      </c>
      <c r="D52" s="13" t="s">
        <v>317</v>
      </c>
      <c r="E52" s="10" t="s">
        <v>109</v>
      </c>
      <c r="F52" s="11">
        <v>68</v>
      </c>
      <c r="G52" s="11">
        <v>10</v>
      </c>
      <c r="H52" s="35">
        <v>704049</v>
      </c>
      <c r="I52" s="36">
        <v>78867</v>
      </c>
      <c r="J52" s="12">
        <f>+H52/I52</f>
        <v>8.927041728479592</v>
      </c>
      <c r="K52" s="70"/>
      <c r="L52" s="30"/>
      <c r="M52" s="31"/>
      <c r="N52" s="30"/>
    </row>
  </sheetData>
  <sheetProtection/>
  <printOptions/>
  <pageMargins left="0.75" right="0.75" top="1" bottom="1" header="0.5" footer="0.5"/>
  <pageSetup orientation="portrait" paperSize="9"/>
  <ignoredErrors>
    <ignoredError sqref="H3:I51 J3:J26" unlockedFormula="1"/>
    <ignoredError sqref="J27:J5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Antrakt Sinema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</dc:creator>
  <cp:keywords/>
  <dc:description/>
  <cp:lastModifiedBy>Sadi Çilingir</cp:lastModifiedBy>
  <dcterms:created xsi:type="dcterms:W3CDTF">2010-01-17T20:08:46Z</dcterms:created>
  <dcterms:modified xsi:type="dcterms:W3CDTF">2010-01-24T18:19:51Z</dcterms:modified>
  <cp:category/>
  <cp:version/>
  <cp:contentType/>
  <cp:contentStatus/>
</cp:coreProperties>
</file>